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145" yWindow="330" windowWidth="9810" windowHeight="6930"/>
  </bookViews>
  <sheets>
    <sheet name="Intro" sheetId="12" r:id="rId1"/>
    <sheet name="Scenarios" sheetId="10" r:id="rId2"/>
    <sheet name="Summary" sheetId="2" r:id="rId3"/>
    <sheet name="Ethanol" sheetId="5" r:id="rId4"/>
    <sheet name="Gasoline" sheetId="6" r:id="rId5"/>
    <sheet name="CB_DATA_" sheetId="11" state="veryHidden" r:id="rId6"/>
    <sheet name="Figure 1" sheetId="17" r:id="rId7"/>
    <sheet name="Figure 2" sheetId="16" r:id="rId8"/>
  </sheets>
  <definedNames>
    <definedName name="A_0">Scenarios!$B$108</definedName>
    <definedName name="A_1">Scenarios!$B$109</definedName>
    <definedName name="A_2">Scenarios!$B$110</definedName>
    <definedName name="A_3">Scenarios!$B$111</definedName>
    <definedName name="AcrePerHa">Scenarios!$C$103</definedName>
    <definedName name="CB_3cb5c2a052174a759fd5619dc277f2f2" localSheetId="5" hidden="1">#N/A</definedName>
    <definedName name="CB_7ffffde15f2643e69246650422f491c1" localSheetId="1" hidden="1">Scenarios!#REF!</definedName>
    <definedName name="CB_8e8ce1379a9d4ff09c366cb53cbab916" localSheetId="1" hidden="1">Scenarios!$D$52</definedName>
    <definedName name="CB_Block_00000000000000000000000000000000" localSheetId="5" hidden="1">"'7.0.0.0"</definedName>
    <definedName name="CB_Block_00000000000000000000000000000000" localSheetId="1" hidden="1">"'7.0.0.0"</definedName>
    <definedName name="CB_Block_00000000000000000000000000000001" localSheetId="5" hidden="1">"'633665000641535552"</definedName>
    <definedName name="CB_Block_00000000000000000000000000000001" localSheetId="1" hidden="1">"'633665000641335264"</definedName>
    <definedName name="CB_Block_00000000000000000000000000000003" localSheetId="5" hidden="1">"'7.3.960.0"</definedName>
    <definedName name="CB_Block_00000000000000000000000000000003" localSheetId="1" hidden="1">"'7.3.960.0"</definedName>
    <definedName name="CB_BlockExt_00000000000000000000000000000003" localSheetId="5" hidden="1">"'7.3.1"</definedName>
    <definedName name="CB_BlockExt_00000000000000000000000000000003" localSheetId="1" hidden="1">"'7.3.1"</definedName>
    <definedName name="CBCR_03ef2a1328d548d0b7246c76a87748cc" localSheetId="1" hidden="1">CONCATENATE(Scenarios!$A$52, " (", Scenarios!$D$35, ")")</definedName>
    <definedName name="CBCR_6456be0ddf64408b9dc1a418cab4afab" localSheetId="1" hidden="1">Scenarios!#REF!</definedName>
    <definedName name="CBCR_7918038ad027487fbf37b8e1548ca6ed" localSheetId="1" hidden="1">Scenarios!#REF!</definedName>
    <definedName name="CBCR_a38e50b67e2e4c8b95084e38df01d883" localSheetId="1" hidden="1">Scenarios!#REF!</definedName>
    <definedName name="CBWorkbookPriority" hidden="1">-2097592660</definedName>
    <definedName name="CBx_750165699f5849a08d63e7205972862a" localSheetId="5" hidden="1">"'Scenarios'!$A$1"</definedName>
    <definedName name="CBx_af60bdd8bbd24a06a00214070fee49b5" localSheetId="5" hidden="1">"'CB_DATA_'!$A$1"</definedName>
    <definedName name="CBx_f74b3613479b44c1bafe5decb22c65e9" localSheetId="5" hidden="1">"'Scenarios (old)'!$A$1"</definedName>
    <definedName name="CBx_Sheet_Guid" localSheetId="5" hidden="1">"'af60bdd8-bbd2-4a06-a002-14070fee49b5"</definedName>
    <definedName name="CBx_Sheet_Guid" localSheetId="1" hidden="1">"'75016569-9f58-49a0-8d63-e7205972862a"</definedName>
    <definedName name="CBx_SheetRef" localSheetId="5" hidden="1">CB_DATA_!$A$14</definedName>
    <definedName name="CBx_SheetRef" localSheetId="1" hidden="1">CB_DATA_!$B$14</definedName>
    <definedName name="CBx_StorageType" localSheetId="5" hidden="1">2</definedName>
    <definedName name="CBx_StorageType" localSheetId="1" hidden="1">2</definedName>
    <definedName name="DiscountRate">Scenarios!$B$12</definedName>
    <definedName name="EthanolLHV">Scenarios!$C$102</definedName>
    <definedName name="FlowAssessmentPeriod">Scenarios!#REF!</definedName>
    <definedName name="ForegoneSeqYears">Ethanol!#REF!</definedName>
    <definedName name="GasolineGWI">Scenarios!$B$13</definedName>
    <definedName name="iLucEmissions">Scenarios!$B$33</definedName>
    <definedName name="KgPerBu">Scenarios!$C$104</definedName>
    <definedName name="LiterPerGal">Scenarios!$C$105</definedName>
    <definedName name="PercentRecovery">Scenarios!$B$19</definedName>
    <definedName name="ProcessEmissions">Scenarios!$B$14</definedName>
    <definedName name="ProductionYears">Scenarios!$B$20</definedName>
    <definedName name="RecoveryYears">Scenarios!$B$18</definedName>
    <definedName name="T_1">Scenarios!$B$112</definedName>
    <definedName name="T_2">Scenarios!$B$113</definedName>
    <definedName name="T_3">Scenarios!$B$114</definedName>
  </definedNames>
  <calcPr calcId="125725"/>
</workbook>
</file>

<file path=xl/calcChain.xml><?xml version="1.0" encoding="utf-8"?>
<calcChain xmlns="http://schemas.openxmlformats.org/spreadsheetml/2006/main">
  <c r="T19" i="5"/>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8"/>
  <c r="B26" i="10"/>
  <c r="D36"/>
  <c r="E36" s="1"/>
  <c r="D44"/>
  <c r="D47"/>
  <c r="D50"/>
  <c r="D56"/>
  <c r="D65"/>
  <c r="D71"/>
  <c r="C1" i="17"/>
  <c r="C4" i="6"/>
  <c r="C10" i="5"/>
  <c r="C11"/>
  <c r="C13"/>
  <c r="C12"/>
  <c r="C18"/>
  <c r="G18"/>
  <c r="O140" i="10"/>
  <c r="N140"/>
  <c r="L140"/>
  <c r="K140"/>
  <c r="I3" i="16"/>
  <c r="H3"/>
  <c r="A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5"/>
  <c r="B6"/>
  <c r="B7"/>
  <c r="B8"/>
  <c r="B9"/>
  <c r="B4"/>
  <c r="C11" i="11"/>
  <c r="S18" i="5"/>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I3" i="10"/>
  <c r="L141"/>
  <c r="A11" i="11"/>
  <c r="B11"/>
  <c r="D4" i="6"/>
  <c r="E4"/>
  <c r="F4"/>
  <c r="G4"/>
  <c r="H4"/>
  <c r="D4" i="16"/>
  <c r="A5" i="6"/>
  <c r="B5"/>
  <c r="C5" s="1"/>
  <c r="A6"/>
  <c r="B6"/>
  <c r="C6" s="1"/>
  <c r="A7"/>
  <c r="B7"/>
  <c r="C7" s="1"/>
  <c r="A8"/>
  <c r="B8"/>
  <c r="C8" s="1"/>
  <c r="A9"/>
  <c r="B9"/>
  <c r="C9" s="1"/>
  <c r="A10"/>
  <c r="B10"/>
  <c r="C10" s="1"/>
  <c r="A11"/>
  <c r="B11"/>
  <c r="C11" s="1"/>
  <c r="A12"/>
  <c r="B12"/>
  <c r="C12" s="1"/>
  <c r="A13"/>
  <c r="B13"/>
  <c r="C13" s="1"/>
  <c r="A14"/>
  <c r="B14"/>
  <c r="C14" s="1"/>
  <c r="A15"/>
  <c r="B15"/>
  <c r="C15" s="1"/>
  <c r="A16"/>
  <c r="B16"/>
  <c r="C16" s="1"/>
  <c r="A17"/>
  <c r="B17"/>
  <c r="C17" s="1"/>
  <c r="A18"/>
  <c r="B18"/>
  <c r="C18" s="1"/>
  <c r="A19"/>
  <c r="B19"/>
  <c r="C19" s="1"/>
  <c r="A20"/>
  <c r="B20"/>
  <c r="C20" s="1"/>
  <c r="A21"/>
  <c r="B21"/>
  <c r="C21" s="1"/>
  <c r="A22"/>
  <c r="B22"/>
  <c r="C22" s="1"/>
  <c r="A23"/>
  <c r="B23"/>
  <c r="C23" s="1"/>
  <c r="A24"/>
  <c r="B24"/>
  <c r="C24" s="1"/>
  <c r="A25"/>
  <c r="B25"/>
  <c r="C25" s="1"/>
  <c r="A26"/>
  <c r="B26"/>
  <c r="C26" s="1"/>
  <c r="A27"/>
  <c r="B27"/>
  <c r="C27" s="1"/>
  <c r="A28"/>
  <c r="B28"/>
  <c r="C28" s="1"/>
  <c r="A29"/>
  <c r="B29"/>
  <c r="C29" s="1"/>
  <c r="A30"/>
  <c r="B30"/>
  <c r="C30" s="1"/>
  <c r="A31"/>
  <c r="B31"/>
  <c r="C31" s="1"/>
  <c r="A32"/>
  <c r="B32"/>
  <c r="C32" s="1"/>
  <c r="A33"/>
  <c r="B33"/>
  <c r="C33" s="1"/>
  <c r="A34"/>
  <c r="B34"/>
  <c r="C34" s="1"/>
  <c r="A35"/>
  <c r="B35"/>
  <c r="C35" s="1"/>
  <c r="A36"/>
  <c r="B36"/>
  <c r="C36" s="1"/>
  <c r="A37"/>
  <c r="B37"/>
  <c r="C37" s="1"/>
  <c r="A38"/>
  <c r="B38"/>
  <c r="C38" s="1"/>
  <c r="A39"/>
  <c r="B39"/>
  <c r="C39" s="1"/>
  <c r="A40"/>
  <c r="B40"/>
  <c r="C40" s="1"/>
  <c r="A41"/>
  <c r="B41"/>
  <c r="C41" s="1"/>
  <c r="A42"/>
  <c r="B42"/>
  <c r="C42" s="1"/>
  <c r="A43"/>
  <c r="B43"/>
  <c r="C43" s="1"/>
  <c r="A44"/>
  <c r="B44"/>
  <c r="C44" s="1"/>
  <c r="A45"/>
  <c r="B45"/>
  <c r="C45" s="1"/>
  <c r="A46"/>
  <c r="B46"/>
  <c r="C46" s="1"/>
  <c r="A47"/>
  <c r="B47"/>
  <c r="C47" s="1"/>
  <c r="A48"/>
  <c r="B48"/>
  <c r="C48" s="1"/>
  <c r="A49"/>
  <c r="B49"/>
  <c r="C49" s="1"/>
  <c r="A50"/>
  <c r="B50"/>
  <c r="C50" s="1"/>
  <c r="A51"/>
  <c r="B51"/>
  <c r="C51" s="1"/>
  <c r="A52"/>
  <c r="B52"/>
  <c r="C52" s="1"/>
  <c r="A53"/>
  <c r="B53"/>
  <c r="C53" s="1"/>
  <c r="A54"/>
  <c r="B54"/>
  <c r="C54" s="1"/>
  <c r="A55"/>
  <c r="B55"/>
  <c r="C55" s="1"/>
  <c r="A56"/>
  <c r="B56"/>
  <c r="C56" s="1"/>
  <c r="A57"/>
  <c r="B57"/>
  <c r="C57" s="1"/>
  <c r="A58"/>
  <c r="B58"/>
  <c r="C58" s="1"/>
  <c r="A59"/>
  <c r="B59"/>
  <c r="C59" s="1"/>
  <c r="A60"/>
  <c r="B60"/>
  <c r="C60" s="1"/>
  <c r="A61"/>
  <c r="B61"/>
  <c r="C61" s="1"/>
  <c r="A62"/>
  <c r="B62"/>
  <c r="C62" s="1"/>
  <c r="A63"/>
  <c r="B63"/>
  <c r="C63" s="1"/>
  <c r="A64"/>
  <c r="B64"/>
  <c r="C64" s="1"/>
  <c r="A65"/>
  <c r="B65"/>
  <c r="C65" s="1"/>
  <c r="A66"/>
  <c r="B66"/>
  <c r="C66" s="1"/>
  <c r="A67"/>
  <c r="B67"/>
  <c r="C67" s="1"/>
  <c r="A68"/>
  <c r="B68"/>
  <c r="C68" s="1"/>
  <c r="A69"/>
  <c r="B69"/>
  <c r="C69" s="1"/>
  <c r="A70"/>
  <c r="B70"/>
  <c r="C70" s="1"/>
  <c r="A71"/>
  <c r="B71"/>
  <c r="C71" s="1"/>
  <c r="A72"/>
  <c r="B72"/>
  <c r="C72" s="1"/>
  <c r="A73"/>
  <c r="B73"/>
  <c r="C73" s="1"/>
  <c r="A74"/>
  <c r="B74"/>
  <c r="C74" s="1"/>
  <c r="A75"/>
  <c r="B75"/>
  <c r="C75" s="1"/>
  <c r="A76"/>
  <c r="B76"/>
  <c r="C76" s="1"/>
  <c r="A77"/>
  <c r="B77"/>
  <c r="C77" s="1"/>
  <c r="A78"/>
  <c r="B78"/>
  <c r="C78" s="1"/>
  <c r="A79"/>
  <c r="B79"/>
  <c r="C79" s="1"/>
  <c r="A80"/>
  <c r="B80"/>
  <c r="C80" s="1"/>
  <c r="A81"/>
  <c r="B81"/>
  <c r="C81" s="1"/>
  <c r="A82"/>
  <c r="B82"/>
  <c r="C82" s="1"/>
  <c r="A83"/>
  <c r="B83"/>
  <c r="C83" s="1"/>
  <c r="A84"/>
  <c r="B84"/>
  <c r="C84" s="1"/>
  <c r="A85"/>
  <c r="B85"/>
  <c r="C85" s="1"/>
  <c r="A86"/>
  <c r="B86"/>
  <c r="C86" s="1"/>
  <c r="A87"/>
  <c r="B87"/>
  <c r="C87" s="1"/>
  <c r="A88"/>
  <c r="B88"/>
  <c r="C88" s="1"/>
  <c r="A89"/>
  <c r="B89"/>
  <c r="C89" s="1"/>
  <c r="A90"/>
  <c r="B90"/>
  <c r="C90" s="1"/>
  <c r="A91"/>
  <c r="B91"/>
  <c r="C91" s="1"/>
  <c r="A92"/>
  <c r="B92"/>
  <c r="C92" s="1"/>
  <c r="A93"/>
  <c r="B93"/>
  <c r="C93" s="1"/>
  <c r="A94"/>
  <c r="B94"/>
  <c r="C94" s="1"/>
  <c r="A95"/>
  <c r="B95"/>
  <c r="C95" s="1"/>
  <c r="A96"/>
  <c r="B96"/>
  <c r="C96" s="1"/>
  <c r="A97"/>
  <c r="B97"/>
  <c r="C97" s="1"/>
  <c r="A98"/>
  <c r="B98"/>
  <c r="C98" s="1"/>
  <c r="A99"/>
  <c r="B99"/>
  <c r="C99" s="1"/>
  <c r="A100"/>
  <c r="B100"/>
  <c r="C100" s="1"/>
  <c r="A101"/>
  <c r="B101"/>
  <c r="C101" s="1"/>
  <c r="A102"/>
  <c r="B102"/>
  <c r="C102" s="1"/>
  <c r="A103"/>
  <c r="B103"/>
  <c r="C103" s="1"/>
  <c r="A104"/>
  <c r="B104"/>
  <c r="C104" s="1"/>
  <c r="A105"/>
  <c r="B105"/>
  <c r="C105" s="1"/>
  <c r="C3" i="5"/>
  <c r="C14"/>
  <c r="A19"/>
  <c r="B19"/>
  <c r="C19" s="1"/>
  <c r="A20"/>
  <c r="B20"/>
  <c r="C20" s="1"/>
  <c r="A21"/>
  <c r="B21"/>
  <c r="C21" s="1"/>
  <c r="A22"/>
  <c r="B22"/>
  <c r="C22" s="1"/>
  <c r="A23"/>
  <c r="B23"/>
  <c r="C23" s="1"/>
  <c r="A24"/>
  <c r="B24"/>
  <c r="C24" s="1"/>
  <c r="A25"/>
  <c r="B25"/>
  <c r="C25" s="1"/>
  <c r="A26"/>
  <c r="B26"/>
  <c r="C26" s="1"/>
  <c r="A27"/>
  <c r="B27"/>
  <c r="C27" s="1"/>
  <c r="A28"/>
  <c r="B28"/>
  <c r="C28" s="1"/>
  <c r="A29"/>
  <c r="B29"/>
  <c r="C29" s="1"/>
  <c r="A30"/>
  <c r="B30"/>
  <c r="C30" s="1"/>
  <c r="A31"/>
  <c r="B31"/>
  <c r="C31" s="1"/>
  <c r="A32"/>
  <c r="B32"/>
  <c r="C32" s="1"/>
  <c r="A33"/>
  <c r="B33"/>
  <c r="C33" s="1"/>
  <c r="A34"/>
  <c r="B34"/>
  <c r="C34" s="1"/>
  <c r="A35"/>
  <c r="B35"/>
  <c r="C35" s="1"/>
  <c r="A36"/>
  <c r="B36"/>
  <c r="C36" s="1"/>
  <c r="A37"/>
  <c r="B37"/>
  <c r="C37" s="1"/>
  <c r="A38"/>
  <c r="B38"/>
  <c r="C38" s="1"/>
  <c r="A39"/>
  <c r="B39"/>
  <c r="C39" s="1"/>
  <c r="A40"/>
  <c r="B40"/>
  <c r="C40" s="1"/>
  <c r="A41"/>
  <c r="B41"/>
  <c r="C41" s="1"/>
  <c r="A42"/>
  <c r="B42"/>
  <c r="C42" s="1"/>
  <c r="A43"/>
  <c r="B43"/>
  <c r="C43" s="1"/>
  <c r="A44"/>
  <c r="B44"/>
  <c r="C44" s="1"/>
  <c r="A45"/>
  <c r="B45"/>
  <c r="C45" s="1"/>
  <c r="A46"/>
  <c r="B46"/>
  <c r="C46" s="1"/>
  <c r="A47"/>
  <c r="B47"/>
  <c r="C47" s="1"/>
  <c r="A48"/>
  <c r="B48"/>
  <c r="C48" s="1"/>
  <c r="A49"/>
  <c r="B49"/>
  <c r="C49" s="1"/>
  <c r="A50"/>
  <c r="B50"/>
  <c r="C50" s="1"/>
  <c r="A51"/>
  <c r="B51"/>
  <c r="C51" s="1"/>
  <c r="A52"/>
  <c r="B52"/>
  <c r="C52" s="1"/>
  <c r="A53"/>
  <c r="B53"/>
  <c r="C53" s="1"/>
  <c r="A54"/>
  <c r="B54"/>
  <c r="C54" s="1"/>
  <c r="A55"/>
  <c r="B55"/>
  <c r="C55" s="1"/>
  <c r="A56"/>
  <c r="B56"/>
  <c r="C56" s="1"/>
  <c r="A57"/>
  <c r="B57"/>
  <c r="C57" s="1"/>
  <c r="A58"/>
  <c r="B58"/>
  <c r="C58" s="1"/>
  <c r="A59"/>
  <c r="B59"/>
  <c r="C59" s="1"/>
  <c r="A60"/>
  <c r="B60"/>
  <c r="C60" s="1"/>
  <c r="A61"/>
  <c r="B61"/>
  <c r="C61" s="1"/>
  <c r="A62"/>
  <c r="B62"/>
  <c r="C62" s="1"/>
  <c r="A63"/>
  <c r="B63"/>
  <c r="C63" s="1"/>
  <c r="A64"/>
  <c r="B64"/>
  <c r="C64" s="1"/>
  <c r="A65"/>
  <c r="B65"/>
  <c r="C65" s="1"/>
  <c r="A66"/>
  <c r="B66"/>
  <c r="C66" s="1"/>
  <c r="A67"/>
  <c r="B67"/>
  <c r="C67" s="1"/>
  <c r="A68"/>
  <c r="B68"/>
  <c r="C68" s="1"/>
  <c r="A69"/>
  <c r="B69"/>
  <c r="C69" s="1"/>
  <c r="A70"/>
  <c r="B70"/>
  <c r="C70" s="1"/>
  <c r="A71"/>
  <c r="B71"/>
  <c r="C71" s="1"/>
  <c r="A72"/>
  <c r="B72"/>
  <c r="C72" s="1"/>
  <c r="A73"/>
  <c r="B73"/>
  <c r="C73" s="1"/>
  <c r="A74"/>
  <c r="B74"/>
  <c r="C74" s="1"/>
  <c r="A75"/>
  <c r="B75"/>
  <c r="C75" s="1"/>
  <c r="A76"/>
  <c r="B76"/>
  <c r="C76" s="1"/>
  <c r="A77"/>
  <c r="B77"/>
  <c r="C77" s="1"/>
  <c r="A78"/>
  <c r="B78"/>
  <c r="C78" s="1"/>
  <c r="A79"/>
  <c r="B79"/>
  <c r="C79" s="1"/>
  <c r="A80"/>
  <c r="B80"/>
  <c r="C80" s="1"/>
  <c r="A81"/>
  <c r="B81"/>
  <c r="C81" s="1"/>
  <c r="A82"/>
  <c r="B82"/>
  <c r="C82" s="1"/>
  <c r="A83"/>
  <c r="B83"/>
  <c r="C83" s="1"/>
  <c r="A84"/>
  <c r="B84"/>
  <c r="C84" s="1"/>
  <c r="A85"/>
  <c r="B85"/>
  <c r="C85" s="1"/>
  <c r="A86"/>
  <c r="B86"/>
  <c r="C86" s="1"/>
  <c r="A87"/>
  <c r="B87"/>
  <c r="C87" s="1"/>
  <c r="A88"/>
  <c r="B88"/>
  <c r="C88" s="1"/>
  <c r="A89"/>
  <c r="B89"/>
  <c r="C89" s="1"/>
  <c r="A90"/>
  <c r="B90"/>
  <c r="C90" s="1"/>
  <c r="A91"/>
  <c r="B91"/>
  <c r="C91" s="1"/>
  <c r="A92"/>
  <c r="B92"/>
  <c r="A93"/>
  <c r="B93"/>
  <c r="A94"/>
  <c r="B94"/>
  <c r="A95"/>
  <c r="B95"/>
  <c r="A96"/>
  <c r="B96"/>
  <c r="A97"/>
  <c r="B97"/>
  <c r="A98"/>
  <c r="B98"/>
  <c r="A99"/>
  <c r="B99"/>
  <c r="A100"/>
  <c r="B100"/>
  <c r="A101"/>
  <c r="B101"/>
  <c r="A102"/>
  <c r="B102"/>
  <c r="A103"/>
  <c r="B103"/>
  <c r="A104"/>
  <c r="B104"/>
  <c r="A105"/>
  <c r="B105"/>
  <c r="A106"/>
  <c r="B106"/>
  <c r="A107"/>
  <c r="B107"/>
  <c r="A108"/>
  <c r="B108"/>
  <c r="A109"/>
  <c r="B109"/>
  <c r="A110"/>
  <c r="B110"/>
  <c r="A111"/>
  <c r="B111"/>
  <c r="A112"/>
  <c r="B112"/>
  <c r="A113"/>
  <c r="B113"/>
  <c r="A114"/>
  <c r="B114"/>
  <c r="A115"/>
  <c r="B115"/>
  <c r="A116"/>
  <c r="B116"/>
  <c r="A117"/>
  <c r="B117"/>
  <c r="A118"/>
  <c r="B118"/>
  <c r="A119"/>
  <c r="B119"/>
  <c r="B5" i="2"/>
  <c r="E5"/>
  <c r="H5"/>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C44" i="10"/>
  <c r="C65"/>
  <c r="E44"/>
  <c r="B47"/>
  <c r="C47"/>
  <c r="E47"/>
  <c r="C48"/>
  <c r="C49"/>
  <c r="C53"/>
  <c r="C50"/>
  <c r="E50"/>
  <c r="C51"/>
  <c r="C52"/>
  <c r="B56"/>
  <c r="C56"/>
  <c r="E56"/>
  <c r="E57"/>
  <c r="E58"/>
  <c r="C59"/>
  <c r="E59"/>
  <c r="C60"/>
  <c r="E60"/>
  <c r="C61"/>
  <c r="E61"/>
  <c r="C62"/>
  <c r="E62"/>
  <c r="E63"/>
  <c r="E64"/>
  <c r="C71"/>
  <c r="E71"/>
  <c r="F78"/>
  <c r="C79"/>
  <c r="C81"/>
  <c r="F92"/>
  <c r="F93"/>
  <c r="E97"/>
  <c r="F97" s="1"/>
  <c r="D37" s="1"/>
  <c r="E98"/>
  <c r="E86"/>
  <c r="E88"/>
  <c r="F98"/>
  <c r="F99"/>
  <c r="C54"/>
  <c r="C68"/>
  <c r="C72"/>
  <c r="D29"/>
  <c r="B27"/>
  <c r="D31"/>
  <c r="D28"/>
  <c r="D30"/>
  <c r="D5" i="6"/>
  <c r="E5"/>
  <c r="E6"/>
  <c r="E7"/>
  <c r="E8"/>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E86"/>
  <c r="E87"/>
  <c r="E88"/>
  <c r="E89"/>
  <c r="E90"/>
  <c r="E91"/>
  <c r="E92"/>
  <c r="E93"/>
  <c r="E94"/>
  <c r="E95"/>
  <c r="E96"/>
  <c r="E97"/>
  <c r="E98"/>
  <c r="E99"/>
  <c r="E100"/>
  <c r="E101"/>
  <c r="E102"/>
  <c r="E103"/>
  <c r="E104"/>
  <c r="E105"/>
  <c r="F5"/>
  <c r="F6"/>
  <c r="F7"/>
  <c r="F8"/>
  <c r="F9"/>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C73" i="10"/>
  <c r="C74"/>
  <c r="H5" i="6"/>
  <c r="D6"/>
  <c r="B6" i="2"/>
  <c r="D5" i="16"/>
  <c r="H6" i="6"/>
  <c r="D7"/>
  <c r="E6" i="2"/>
  <c r="H6"/>
  <c r="B7"/>
  <c r="H7"/>
  <c r="D6" i="16"/>
  <c r="E7" i="2"/>
  <c r="H7" i="6"/>
  <c r="D8"/>
  <c r="B8" i="2"/>
  <c r="D7" i="16"/>
  <c r="H8" i="6"/>
  <c r="D9"/>
  <c r="H8" i="2"/>
  <c r="E8"/>
  <c r="B9"/>
  <c r="H9"/>
  <c r="D8" i="16"/>
  <c r="E9" i="2"/>
  <c r="H9" i="6"/>
  <c r="D10"/>
  <c r="B10" i="2"/>
  <c r="D9" i="16"/>
  <c r="H10" i="6"/>
  <c r="D11"/>
  <c r="H10" i="2"/>
  <c r="E10"/>
  <c r="B11"/>
  <c r="D10" i="16"/>
  <c r="E11" i="2"/>
  <c r="H11" i="6"/>
  <c r="D12"/>
  <c r="B12" i="2"/>
  <c r="D11" i="16"/>
  <c r="H11" i="2"/>
  <c r="H12" i="6"/>
  <c r="D13"/>
  <c r="H12" i="2"/>
  <c r="E12"/>
  <c r="B13"/>
  <c r="D12" i="16"/>
  <c r="E13" i="2"/>
  <c r="H13" i="6"/>
  <c r="D14"/>
  <c r="B14" i="2"/>
  <c r="D13" i="16"/>
  <c r="H13" i="2"/>
  <c r="H14" i="6"/>
  <c r="D15"/>
  <c r="H14" i="2"/>
  <c r="E14"/>
  <c r="B15"/>
  <c r="D14" i="16"/>
  <c r="E15" i="2"/>
  <c r="H15" i="6"/>
  <c r="D16"/>
  <c r="B16" i="2"/>
  <c r="D15" i="16"/>
  <c r="H15" i="2"/>
  <c r="H16" i="6"/>
  <c r="D17"/>
  <c r="H16" i="2"/>
  <c r="E16"/>
  <c r="B17"/>
  <c r="D16" i="16"/>
  <c r="E17" i="2"/>
  <c r="H17" i="6"/>
  <c r="D18"/>
  <c r="H17" i="2"/>
  <c r="B18"/>
  <c r="D17" i="16"/>
  <c r="H18" i="6"/>
  <c r="D19"/>
  <c r="H18" i="2"/>
  <c r="E18"/>
  <c r="B19"/>
  <c r="D18" i="16"/>
  <c r="E19" i="2"/>
  <c r="H19" i="6"/>
  <c r="D20"/>
  <c r="H19" i="2"/>
  <c r="B20"/>
  <c r="D19" i="16"/>
  <c r="H20" i="6"/>
  <c r="D21"/>
  <c r="H20" i="2"/>
  <c r="E20"/>
  <c r="B21"/>
  <c r="D20" i="16"/>
  <c r="E21" i="2"/>
  <c r="H21" i="6"/>
  <c r="D22"/>
  <c r="H21" i="2"/>
  <c r="B22"/>
  <c r="D21" i="16"/>
  <c r="H22" i="6"/>
  <c r="D23"/>
  <c r="H22" i="2"/>
  <c r="E22"/>
  <c r="B23"/>
  <c r="D22" i="16"/>
  <c r="E23" i="2"/>
  <c r="H23" i="6"/>
  <c r="D24"/>
  <c r="H23" i="2"/>
  <c r="B24"/>
  <c r="D23" i="16"/>
  <c r="H24" i="6"/>
  <c r="D25"/>
  <c r="H24" i="2"/>
  <c r="E24"/>
  <c r="B25"/>
  <c r="D24" i="16"/>
  <c r="E25" i="2"/>
  <c r="H25" i="6"/>
  <c r="D26"/>
  <c r="H25" i="2"/>
  <c r="B26"/>
  <c r="D25" i="16"/>
  <c r="H26" i="6"/>
  <c r="D27"/>
  <c r="H26" i="2"/>
  <c r="E26"/>
  <c r="B27"/>
  <c r="D26" i="16"/>
  <c r="E27" i="2"/>
  <c r="H27" i="6"/>
  <c r="D28"/>
  <c r="H27" i="2"/>
  <c r="B28"/>
  <c r="D27" i="16"/>
  <c r="H28" i="6"/>
  <c r="D29"/>
  <c r="H28" i="2"/>
  <c r="E28"/>
  <c r="B29"/>
  <c r="D28" i="16"/>
  <c r="E29" i="2"/>
  <c r="H29" i="6"/>
  <c r="D30"/>
  <c r="H29" i="2"/>
  <c r="B30"/>
  <c r="D29" i="16"/>
  <c r="H30" i="6"/>
  <c r="D31"/>
  <c r="H30" i="2"/>
  <c r="E30"/>
  <c r="B31"/>
  <c r="D30" i="16"/>
  <c r="E31" i="2"/>
  <c r="H31" i="6"/>
  <c r="D32"/>
  <c r="H31" i="2"/>
  <c r="B32"/>
  <c r="D31" i="16"/>
  <c r="H32" i="6"/>
  <c r="D33"/>
  <c r="H32" i="2"/>
  <c r="E32"/>
  <c r="B33"/>
  <c r="D32" i="16"/>
  <c r="E33" i="2"/>
  <c r="H33" i="6"/>
  <c r="D34"/>
  <c r="H33" i="2"/>
  <c r="B34"/>
  <c r="D33" i="16"/>
  <c r="H34" i="6"/>
  <c r="D35"/>
  <c r="H34" i="2"/>
  <c r="E34"/>
  <c r="B35"/>
  <c r="D34" i="16"/>
  <c r="E35" i="2"/>
  <c r="H35" i="6"/>
  <c r="D36"/>
  <c r="H35" i="2"/>
  <c r="B36"/>
  <c r="D35" i="16"/>
  <c r="H36" i="6"/>
  <c r="D37"/>
  <c r="H36" i="2"/>
  <c r="E36"/>
  <c r="B37"/>
  <c r="D36" i="16"/>
  <c r="E37" i="2"/>
  <c r="H37" i="6"/>
  <c r="D38"/>
  <c r="H37" i="2"/>
  <c r="B38"/>
  <c r="D37" i="16"/>
  <c r="H38" i="6"/>
  <c r="D39"/>
  <c r="H38" i="2"/>
  <c r="E38"/>
  <c r="B39"/>
  <c r="D38" i="16"/>
  <c r="E39" i="2"/>
  <c r="H39" i="6"/>
  <c r="D40"/>
  <c r="H39" i="2"/>
  <c r="B40"/>
  <c r="D39" i="16"/>
  <c r="H40" i="6"/>
  <c r="D41"/>
  <c r="H40" i="2"/>
  <c r="E40"/>
  <c r="B41"/>
  <c r="D40" i="16"/>
  <c r="E41" i="2"/>
  <c r="H41" i="6"/>
  <c r="D42"/>
  <c r="H41" i="2"/>
  <c r="B42"/>
  <c r="D41" i="16"/>
  <c r="H42" i="6"/>
  <c r="D43"/>
  <c r="H42" i="2"/>
  <c r="E42"/>
  <c r="B43"/>
  <c r="D42" i="16"/>
  <c r="E43" i="2"/>
  <c r="H43" i="6"/>
  <c r="D44"/>
  <c r="H43" i="2"/>
  <c r="B44"/>
  <c r="D43" i="16"/>
  <c r="H44" i="6"/>
  <c r="D45"/>
  <c r="H44" i="2"/>
  <c r="E44"/>
  <c r="B45"/>
  <c r="D44" i="16"/>
  <c r="E45" i="2"/>
  <c r="H45" i="6"/>
  <c r="D46"/>
  <c r="H45" i="2"/>
  <c r="B46"/>
  <c r="D45" i="16"/>
  <c r="H46" i="6"/>
  <c r="D47"/>
  <c r="H46" i="2"/>
  <c r="E46"/>
  <c r="B47"/>
  <c r="D46" i="16"/>
  <c r="E47" i="2"/>
  <c r="H47" i="6"/>
  <c r="D48"/>
  <c r="H47" i="2"/>
  <c r="B48"/>
  <c r="D47" i="16"/>
  <c r="H48" i="6"/>
  <c r="D49"/>
  <c r="H48" i="2"/>
  <c r="E48"/>
  <c r="B49"/>
  <c r="D48" i="16"/>
  <c r="E49" i="2"/>
  <c r="H49" i="6"/>
  <c r="D50"/>
  <c r="H49" i="2"/>
  <c r="B50"/>
  <c r="D49" i="16"/>
  <c r="H50" i="6"/>
  <c r="D51"/>
  <c r="H50" i="2"/>
  <c r="E50"/>
  <c r="B51"/>
  <c r="D50" i="16"/>
  <c r="E51" i="2"/>
  <c r="H51" i="6"/>
  <c r="D52"/>
  <c r="H51" i="2"/>
  <c r="B52"/>
  <c r="D51" i="16"/>
  <c r="H52" i="6"/>
  <c r="D53"/>
  <c r="H52" i="2"/>
  <c r="E52"/>
  <c r="B53"/>
  <c r="D52" i="16"/>
  <c r="E53" i="2"/>
  <c r="H53" i="6"/>
  <c r="D54"/>
  <c r="H53" i="2"/>
  <c r="B54"/>
  <c r="D53" i="16"/>
  <c r="H54" i="6"/>
  <c r="D55"/>
  <c r="H54" i="2"/>
  <c r="E54"/>
  <c r="B55"/>
  <c r="D54" i="16"/>
  <c r="E55" i="2"/>
  <c r="H55" i="6"/>
  <c r="D56"/>
  <c r="H55" i="2"/>
  <c r="B56"/>
  <c r="D55" i="16"/>
  <c r="H56" i="6"/>
  <c r="D57"/>
  <c r="H56" i="2"/>
  <c r="E56"/>
  <c r="B57"/>
  <c r="D56" i="16"/>
  <c r="E57" i="2"/>
  <c r="H57" i="6"/>
  <c r="D58"/>
  <c r="H57" i="2"/>
  <c r="B58"/>
  <c r="D57" i="16"/>
  <c r="H58" i="6"/>
  <c r="D59"/>
  <c r="H58" i="2"/>
  <c r="E58"/>
  <c r="B59"/>
  <c r="D58" i="16"/>
  <c r="E59" i="2"/>
  <c r="H59" i="6"/>
  <c r="D60"/>
  <c r="H59" i="2"/>
  <c r="B60"/>
  <c r="D59" i="16"/>
  <c r="H60" i="6"/>
  <c r="D61"/>
  <c r="H60" i="2"/>
  <c r="E60"/>
  <c r="B61"/>
  <c r="D60" i="16"/>
  <c r="E61" i="2"/>
  <c r="H61" i="6"/>
  <c r="D62"/>
  <c r="H61" i="2"/>
  <c r="B62"/>
  <c r="D61" i="16"/>
  <c r="H62" i="6"/>
  <c r="D63"/>
  <c r="H62" i="2"/>
  <c r="E62"/>
  <c r="B63"/>
  <c r="D62" i="16"/>
  <c r="E63" i="2"/>
  <c r="H63" i="6"/>
  <c r="D64"/>
  <c r="H63" i="2"/>
  <c r="B64"/>
  <c r="D63" i="16"/>
  <c r="H64" i="6"/>
  <c r="D65"/>
  <c r="H64" i="2"/>
  <c r="E64"/>
  <c r="B65"/>
  <c r="D64" i="16"/>
  <c r="E65" i="2"/>
  <c r="H65" i="6"/>
  <c r="D66"/>
  <c r="H65" i="2"/>
  <c r="B66"/>
  <c r="D65" i="16"/>
  <c r="H66" i="6"/>
  <c r="D67"/>
  <c r="H66" i="2"/>
  <c r="E66"/>
  <c r="B67"/>
  <c r="D66" i="16"/>
  <c r="E67" i="2"/>
  <c r="H67" i="6"/>
  <c r="D68"/>
  <c r="H67" i="2"/>
  <c r="B68"/>
  <c r="D67" i="16"/>
  <c r="H68" i="6"/>
  <c r="D69"/>
  <c r="H68" i="2"/>
  <c r="E68"/>
  <c r="B69"/>
  <c r="D68" i="16"/>
  <c r="E69" i="2"/>
  <c r="H69" i="6"/>
  <c r="D70"/>
  <c r="H69" i="2"/>
  <c r="B70"/>
  <c r="D69" i="16"/>
  <c r="H70" i="6"/>
  <c r="D71"/>
  <c r="H70" i="2"/>
  <c r="E70"/>
  <c r="B71"/>
  <c r="D70" i="16"/>
  <c r="E71" i="2"/>
  <c r="H71" i="6"/>
  <c r="D72"/>
  <c r="H71" i="2"/>
  <c r="B72"/>
  <c r="D71" i="16"/>
  <c r="H72" i="6"/>
  <c r="D73"/>
  <c r="H72" i="2"/>
  <c r="E72"/>
  <c r="B73"/>
  <c r="D72" i="16"/>
  <c r="E73" i="2"/>
  <c r="H73" i="6"/>
  <c r="D74"/>
  <c r="H73" i="2"/>
  <c r="B74"/>
  <c r="D73" i="16"/>
  <c r="H74" i="6"/>
  <c r="D75"/>
  <c r="H74" i="2"/>
  <c r="E74"/>
  <c r="B75"/>
  <c r="D74" i="16"/>
  <c r="E75" i="2"/>
  <c r="H75" i="6"/>
  <c r="D76"/>
  <c r="H75" i="2"/>
  <c r="B76"/>
  <c r="D75" i="16"/>
  <c r="H76" i="6"/>
  <c r="D77"/>
  <c r="H76" i="2"/>
  <c r="E76"/>
  <c r="B77"/>
  <c r="D76" i="16"/>
  <c r="E77" i="2"/>
  <c r="H77" i="6"/>
  <c r="D78"/>
  <c r="H77" i="2"/>
  <c r="B78"/>
  <c r="D77" i="16"/>
  <c r="H78" i="6"/>
  <c r="D79"/>
  <c r="H78" i="2"/>
  <c r="E78"/>
  <c r="B79"/>
  <c r="D78" i="16"/>
  <c r="E79" i="2"/>
  <c r="H79" i="6"/>
  <c r="D80"/>
  <c r="H79" i="2"/>
  <c r="B80"/>
  <c r="D79" i="16"/>
  <c r="H80" i="6"/>
  <c r="D81"/>
  <c r="H80" i="2"/>
  <c r="E80"/>
  <c r="B81"/>
  <c r="D80" i="16"/>
  <c r="E81" i="2"/>
  <c r="H81" i="6"/>
  <c r="D82"/>
  <c r="H81" i="2"/>
  <c r="B82"/>
  <c r="D81" i="16"/>
  <c r="H82" i="6"/>
  <c r="D83"/>
  <c r="H82" i="2"/>
  <c r="E82"/>
  <c r="B83"/>
  <c r="D82" i="16"/>
  <c r="E83" i="2"/>
  <c r="H83" i="6"/>
  <c r="D84"/>
  <c r="H83" i="2"/>
  <c r="B84"/>
  <c r="D83" i="16"/>
  <c r="H84" i="6"/>
  <c r="D85"/>
  <c r="H84" i="2"/>
  <c r="E84"/>
  <c r="B85"/>
  <c r="D84" i="16"/>
  <c r="E85" i="2"/>
  <c r="H85" i="6"/>
  <c r="D86"/>
  <c r="H85" i="2"/>
  <c r="B86"/>
  <c r="D85" i="16"/>
  <c r="H86" i="6"/>
  <c r="D87"/>
  <c r="H86" i="2"/>
  <c r="E86"/>
  <c r="B87"/>
  <c r="D86" i="16"/>
  <c r="E87" i="2"/>
  <c r="H87" i="6"/>
  <c r="D88"/>
  <c r="H87" i="2"/>
  <c r="B88"/>
  <c r="D87" i="16"/>
  <c r="H88" i="6"/>
  <c r="D89"/>
  <c r="H88" i="2"/>
  <c r="E88"/>
  <c r="B89"/>
  <c r="D88" i="16"/>
  <c r="E89" i="2"/>
  <c r="H89" i="6"/>
  <c r="D90"/>
  <c r="H89" i="2"/>
  <c r="B90"/>
  <c r="D89" i="16"/>
  <c r="H90" i="6"/>
  <c r="D91"/>
  <c r="H90" i="2"/>
  <c r="E90"/>
  <c r="B91"/>
  <c r="D90" i="16"/>
  <c r="E91" i="2"/>
  <c r="H91" i="6"/>
  <c r="D92"/>
  <c r="H91" i="2"/>
  <c r="B92"/>
  <c r="D91" i="16"/>
  <c r="H92" i="6"/>
  <c r="D93"/>
  <c r="H92" i="2"/>
  <c r="E92"/>
  <c r="B93"/>
  <c r="D92" i="16"/>
  <c r="E93" i="2"/>
  <c r="H93" i="6"/>
  <c r="D94"/>
  <c r="H93" i="2"/>
  <c r="B94"/>
  <c r="D93" i="16"/>
  <c r="H94" i="6"/>
  <c r="D95"/>
  <c r="H94" i="2"/>
  <c r="E94"/>
  <c r="B95"/>
  <c r="D94" i="16"/>
  <c r="E95" i="2"/>
  <c r="H95" i="6"/>
  <c r="D96"/>
  <c r="H95" i="2"/>
  <c r="B96"/>
  <c r="D95" i="16"/>
  <c r="H96" i="6"/>
  <c r="D97"/>
  <c r="H96" i="2"/>
  <c r="E96"/>
  <c r="B97"/>
  <c r="D96" i="16"/>
  <c r="E97" i="2"/>
  <c r="H97" i="6"/>
  <c r="D98"/>
  <c r="H97" i="2"/>
  <c r="B98"/>
  <c r="D97" i="16"/>
  <c r="H98" i="6"/>
  <c r="D99"/>
  <c r="H98" i="2"/>
  <c r="E98"/>
  <c r="B99"/>
  <c r="D98" i="16"/>
  <c r="E99" i="2"/>
  <c r="H99" i="6"/>
  <c r="D100"/>
  <c r="H99" i="2"/>
  <c r="B100"/>
  <c r="D99" i="16"/>
  <c r="H100" i="6"/>
  <c r="D101"/>
  <c r="H100" i="2"/>
  <c r="E100"/>
  <c r="B101"/>
  <c r="D100" i="16"/>
  <c r="E101" i="2"/>
  <c r="H101" i="6"/>
  <c r="D102"/>
  <c r="H101" i="2"/>
  <c r="B102"/>
  <c r="D101" i="16"/>
  <c r="H102" i="6"/>
  <c r="D103"/>
  <c r="H102" i="2"/>
  <c r="E102"/>
  <c r="B103"/>
  <c r="D102" i="16"/>
  <c r="E103" i="2"/>
  <c r="H103" i="6"/>
  <c r="D104"/>
  <c r="H103" i="2"/>
  <c r="B104"/>
  <c r="D103" i="16"/>
  <c r="H104" i="6"/>
  <c r="D105"/>
  <c r="H105"/>
  <c r="H104" i="2"/>
  <c r="E104"/>
  <c r="B105"/>
  <c r="D104" i="16"/>
  <c r="E105" i="2"/>
  <c r="H105"/>
  <c r="E65" i="10"/>
  <c r="E48" l="1"/>
  <c r="D48"/>
  <c r="C119" i="5"/>
  <c r="E119"/>
  <c r="F119"/>
  <c r="G119"/>
  <c r="O119" s="1"/>
  <c r="C118"/>
  <c r="E118"/>
  <c r="F118"/>
  <c r="G118"/>
  <c r="O118" s="1"/>
  <c r="C117"/>
  <c r="E117"/>
  <c r="F117"/>
  <c r="G117"/>
  <c r="O117" s="1"/>
  <c r="C116"/>
  <c r="E116"/>
  <c r="F116"/>
  <c r="G116"/>
  <c r="O116" s="1"/>
  <c r="C115"/>
  <c r="E115"/>
  <c r="F115"/>
  <c r="G115"/>
  <c r="O115" s="1"/>
  <c r="C114"/>
  <c r="E114"/>
  <c r="F114"/>
  <c r="G114"/>
  <c r="O114" s="1"/>
  <c r="C113"/>
  <c r="E113"/>
  <c r="F113"/>
  <c r="G113"/>
  <c r="O113" s="1"/>
  <c r="C112"/>
  <c r="E112"/>
  <c r="F112"/>
  <c r="G112"/>
  <c r="O112" s="1"/>
  <c r="C111"/>
  <c r="E111"/>
  <c r="F111"/>
  <c r="G111"/>
  <c r="O111" s="1"/>
  <c r="C110"/>
  <c r="E110"/>
  <c r="F110"/>
  <c r="G110"/>
  <c r="O110" s="1"/>
  <c r="C109"/>
  <c r="E109"/>
  <c r="F109"/>
  <c r="G109"/>
  <c r="O109" s="1"/>
  <c r="C108"/>
  <c r="E108"/>
  <c r="F108"/>
  <c r="G108"/>
  <c r="O108" s="1"/>
  <c r="C107"/>
  <c r="E107"/>
  <c r="F107"/>
  <c r="G107"/>
  <c r="O107" s="1"/>
  <c r="C106"/>
  <c r="E106"/>
  <c r="F106"/>
  <c r="G106"/>
  <c r="O106" s="1"/>
  <c r="C105"/>
  <c r="E105"/>
  <c r="F105"/>
  <c r="G105"/>
  <c r="O105" s="1"/>
  <c r="C104"/>
  <c r="E104"/>
  <c r="F104"/>
  <c r="G104"/>
  <c r="O104" s="1"/>
  <c r="C103"/>
  <c r="E103"/>
  <c r="F103"/>
  <c r="G103"/>
  <c r="O103" s="1"/>
  <c r="C102"/>
  <c r="E102"/>
  <c r="F102"/>
  <c r="C101"/>
  <c r="E101"/>
  <c r="F101"/>
  <c r="C100"/>
  <c r="E100"/>
  <c r="F100"/>
  <c r="C99"/>
  <c r="E99"/>
  <c r="F99"/>
  <c r="C98"/>
  <c r="E98"/>
  <c r="F98"/>
  <c r="C97"/>
  <c r="E97"/>
  <c r="F97"/>
  <c r="C96"/>
  <c r="E96"/>
  <c r="F96"/>
  <c r="C95"/>
  <c r="E95"/>
  <c r="F95"/>
  <c r="C94"/>
  <c r="E94"/>
  <c r="F94"/>
  <c r="C93"/>
  <c r="E93"/>
  <c r="F93"/>
  <c r="C92"/>
  <c r="E92"/>
  <c r="F92"/>
  <c r="G19"/>
  <c r="G20"/>
  <c r="G21"/>
  <c r="G22"/>
  <c r="G23"/>
  <c r="G24"/>
  <c r="G25"/>
  <c r="G26"/>
  <c r="G27"/>
  <c r="G28"/>
  <c r="G29"/>
  <c r="G30"/>
  <c r="G31"/>
  <c r="G32"/>
  <c r="G33"/>
  <c r="G34"/>
  <c r="G35"/>
  <c r="G36"/>
  <c r="G37"/>
  <c r="G38"/>
  <c r="G39"/>
  <c r="G40"/>
  <c r="G41"/>
  <c r="G42"/>
  <c r="F43"/>
  <c r="E43"/>
  <c r="F44"/>
  <c r="E44"/>
  <c r="F45"/>
  <c r="E45"/>
  <c r="F46"/>
  <c r="E46"/>
  <c r="F47"/>
  <c r="E47"/>
  <c r="F48"/>
  <c r="E48"/>
  <c r="F49"/>
  <c r="E49"/>
  <c r="F50"/>
  <c r="E50"/>
  <c r="F51"/>
  <c r="E51"/>
  <c r="F52"/>
  <c r="E52"/>
  <c r="F53"/>
  <c r="E53"/>
  <c r="F54"/>
  <c r="E54"/>
  <c r="F55"/>
  <c r="E55"/>
  <c r="F56"/>
  <c r="E56"/>
  <c r="F57"/>
  <c r="E57"/>
  <c r="F58"/>
  <c r="E58"/>
  <c r="F59"/>
  <c r="E59"/>
  <c r="F60"/>
  <c r="E60"/>
  <c r="F61"/>
  <c r="E61"/>
  <c r="F62"/>
  <c r="E62"/>
  <c r="F63"/>
  <c r="E63"/>
  <c r="F64"/>
  <c r="E64"/>
  <c r="F65"/>
  <c r="E65"/>
  <c r="F66"/>
  <c r="E66"/>
  <c r="F67"/>
  <c r="E67"/>
  <c r="F68"/>
  <c r="E68"/>
  <c r="F69"/>
  <c r="E69"/>
  <c r="F70"/>
  <c r="E70"/>
  <c r="F71"/>
  <c r="E71"/>
  <c r="F72"/>
  <c r="E72"/>
  <c r="F73"/>
  <c r="E73"/>
  <c r="F74"/>
  <c r="E74"/>
  <c r="F75"/>
  <c r="E75"/>
  <c r="F76"/>
  <c r="E76"/>
  <c r="F77"/>
  <c r="E77"/>
  <c r="F78"/>
  <c r="E78"/>
  <c r="F79"/>
  <c r="E79"/>
  <c r="F80"/>
  <c r="E80"/>
  <c r="F81"/>
  <c r="E81"/>
  <c r="F82"/>
  <c r="E82"/>
  <c r="F83"/>
  <c r="E83"/>
  <c r="F84"/>
  <c r="E84"/>
  <c r="F85"/>
  <c r="E85"/>
  <c r="F86"/>
  <c r="E86"/>
  <c r="F87"/>
  <c r="E87"/>
  <c r="F88"/>
  <c r="E88"/>
  <c r="F89"/>
  <c r="E89"/>
  <c r="F90"/>
  <c r="E90"/>
  <c r="F91"/>
  <c r="E91"/>
  <c r="E49" i="10" l="1"/>
  <c r="E52" s="1"/>
  <c r="E51"/>
  <c r="D49"/>
  <c r="D51"/>
  <c r="H103" i="5"/>
  <c r="H104"/>
  <c r="H105"/>
  <c r="H106"/>
  <c r="H107"/>
  <c r="H108"/>
  <c r="H109"/>
  <c r="H110"/>
  <c r="H111"/>
  <c r="H112"/>
  <c r="H113"/>
  <c r="H114"/>
  <c r="H115"/>
  <c r="H116"/>
  <c r="H117"/>
  <c r="H118"/>
  <c r="H119"/>
  <c r="E53" i="10" l="1"/>
  <c r="E68"/>
  <c r="E72" s="1"/>
  <c r="D52"/>
  <c r="D53"/>
  <c r="B25" s="1"/>
  <c r="D68"/>
  <c r="D72" s="1"/>
  <c r="E73" l="1"/>
  <c r="E74"/>
  <c r="E54"/>
  <c r="D73"/>
  <c r="D74"/>
  <c r="G26"/>
  <c r="C6" i="5" s="1"/>
  <c r="B32" i="10"/>
  <c r="D54"/>
  <c r="B22"/>
  <c r="J9" l="1"/>
  <c r="J8"/>
  <c r="J7"/>
  <c r="J6"/>
  <c r="J5"/>
  <c r="J4"/>
  <c r="B28"/>
  <c r="B30"/>
  <c r="B29"/>
  <c r="B31"/>
  <c r="F18" i="5"/>
  <c r="F19"/>
  <c r="F20"/>
  <c r="F21"/>
  <c r="F22"/>
  <c r="F23"/>
  <c r="F24"/>
  <c r="F25"/>
  <c r="F26"/>
  <c r="F27"/>
  <c r="F28"/>
  <c r="F29"/>
  <c r="F30"/>
  <c r="F31"/>
  <c r="F32"/>
  <c r="F33"/>
  <c r="F34"/>
  <c r="F35"/>
  <c r="F36"/>
  <c r="F37"/>
  <c r="F38"/>
  <c r="F39"/>
  <c r="F40"/>
  <c r="F41"/>
  <c r="F42"/>
  <c r="G102"/>
  <c r="G101"/>
  <c r="G100"/>
  <c r="G99"/>
  <c r="G98"/>
  <c r="G97"/>
  <c r="G96"/>
  <c r="G95"/>
  <c r="G94"/>
  <c r="G93"/>
  <c r="G92"/>
  <c r="G73"/>
  <c r="G74"/>
  <c r="G75"/>
  <c r="G76"/>
  <c r="G77"/>
  <c r="G78"/>
  <c r="G79"/>
  <c r="G80"/>
  <c r="G81"/>
  <c r="G82"/>
  <c r="G83"/>
  <c r="G84"/>
  <c r="G85"/>
  <c r="G86"/>
  <c r="G87"/>
  <c r="G88"/>
  <c r="G89"/>
  <c r="G90"/>
  <c r="G91"/>
  <c r="E26" i="10" l="1"/>
  <c r="C4" i="5" s="1"/>
  <c r="B33" i="10"/>
  <c r="F26"/>
  <c r="C5" i="5" s="1"/>
  <c r="O91"/>
  <c r="H91"/>
  <c r="O90"/>
  <c r="H90"/>
  <c r="O89"/>
  <c r="H89"/>
  <c r="O88"/>
  <c r="H88"/>
  <c r="O87"/>
  <c r="H87"/>
  <c r="O86"/>
  <c r="H86"/>
  <c r="O85"/>
  <c r="H85"/>
  <c r="O84"/>
  <c r="H84"/>
  <c r="O83"/>
  <c r="H83"/>
  <c r="O82"/>
  <c r="H82"/>
  <c r="O81"/>
  <c r="H81"/>
  <c r="O80"/>
  <c r="H80"/>
  <c r="O79"/>
  <c r="H79"/>
  <c r="O78"/>
  <c r="H78"/>
  <c r="O77"/>
  <c r="H77"/>
  <c r="O76"/>
  <c r="H76"/>
  <c r="O75"/>
  <c r="H75"/>
  <c r="O74"/>
  <c r="H74"/>
  <c r="O73"/>
  <c r="H73"/>
  <c r="O92"/>
  <c r="H92"/>
  <c r="O93"/>
  <c r="H93"/>
  <c r="O94"/>
  <c r="H94"/>
  <c r="O95"/>
  <c r="H95"/>
  <c r="O96"/>
  <c r="H96"/>
  <c r="O97"/>
  <c r="H97"/>
  <c r="O98"/>
  <c r="H98"/>
  <c r="O99"/>
  <c r="H99"/>
  <c r="O100"/>
  <c r="H100"/>
  <c r="O101"/>
  <c r="H101"/>
  <c r="O102"/>
  <c r="H102"/>
  <c r="C8" l="1"/>
  <c r="C7"/>
  <c r="K4" i="10"/>
  <c r="L4" s="1"/>
  <c r="K5"/>
  <c r="L5" s="1"/>
  <c r="K6"/>
  <c r="L6" s="1"/>
  <c r="K7"/>
  <c r="L7" s="1"/>
  <c r="K8"/>
  <c r="L8" s="1"/>
  <c r="K9"/>
  <c r="L9" s="1"/>
  <c r="C9" i="5"/>
  <c r="D18"/>
  <c r="G43" l="1"/>
  <c r="G44"/>
  <c r="G45"/>
  <c r="G46"/>
  <c r="G47"/>
  <c r="G48"/>
  <c r="G49"/>
  <c r="G50"/>
  <c r="G51"/>
  <c r="G52"/>
  <c r="G53"/>
  <c r="G54"/>
  <c r="G55"/>
  <c r="G56"/>
  <c r="G57"/>
  <c r="G58"/>
  <c r="G59"/>
  <c r="G60"/>
  <c r="G61"/>
  <c r="G62"/>
  <c r="G63"/>
  <c r="G64"/>
  <c r="G65"/>
  <c r="G66"/>
  <c r="G67"/>
  <c r="G68"/>
  <c r="G69"/>
  <c r="G70"/>
  <c r="G71"/>
  <c r="G72"/>
  <c r="E18"/>
  <c r="H18" s="1"/>
  <c r="E19"/>
  <c r="E20"/>
  <c r="E21"/>
  <c r="E22"/>
  <c r="E23"/>
  <c r="E24"/>
  <c r="E25"/>
  <c r="E26"/>
  <c r="E27"/>
  <c r="E28"/>
  <c r="E29"/>
  <c r="E30"/>
  <c r="E31"/>
  <c r="E32"/>
  <c r="E33"/>
  <c r="E34"/>
  <c r="E35"/>
  <c r="E36"/>
  <c r="E37"/>
  <c r="E38"/>
  <c r="E39"/>
  <c r="E40"/>
  <c r="E41"/>
  <c r="E42"/>
  <c r="O18"/>
  <c r="P18" l="1"/>
  <c r="H42"/>
  <c r="O42"/>
  <c r="H41"/>
  <c r="O41"/>
  <c r="H40"/>
  <c r="O40"/>
  <c r="H39"/>
  <c r="O39"/>
  <c r="H38"/>
  <c r="O38"/>
  <c r="H37"/>
  <c r="O37"/>
  <c r="H36"/>
  <c r="O36"/>
  <c r="H35"/>
  <c r="O35"/>
  <c r="H34"/>
  <c r="O34"/>
  <c r="H33"/>
  <c r="O33"/>
  <c r="H32"/>
  <c r="O32"/>
  <c r="H31"/>
  <c r="O31"/>
  <c r="H30"/>
  <c r="O30"/>
  <c r="H29"/>
  <c r="O29"/>
  <c r="H28"/>
  <c r="O28"/>
  <c r="H27"/>
  <c r="O27"/>
  <c r="H26"/>
  <c r="O26"/>
  <c r="H25"/>
  <c r="O25"/>
  <c r="H24"/>
  <c r="O24"/>
  <c r="H23"/>
  <c r="O23"/>
  <c r="H22"/>
  <c r="O22"/>
  <c r="H21"/>
  <c r="O21"/>
  <c r="H20"/>
  <c r="O20"/>
  <c r="H19"/>
  <c r="O19"/>
  <c r="Q20" s="1"/>
  <c r="W20" s="1"/>
  <c r="L18"/>
  <c r="K18"/>
  <c r="J18"/>
  <c r="I18"/>
  <c r="M18" s="1"/>
  <c r="O72"/>
  <c r="H72"/>
  <c r="O71"/>
  <c r="H71"/>
  <c r="O70"/>
  <c r="H70"/>
  <c r="O69"/>
  <c r="H69"/>
  <c r="O68"/>
  <c r="H68"/>
  <c r="O67"/>
  <c r="H67"/>
  <c r="O66"/>
  <c r="H66"/>
  <c r="O65"/>
  <c r="H65"/>
  <c r="O64"/>
  <c r="H64"/>
  <c r="O63"/>
  <c r="H63"/>
  <c r="O62"/>
  <c r="H62"/>
  <c r="O61"/>
  <c r="H61"/>
  <c r="O60"/>
  <c r="H60"/>
  <c r="O59"/>
  <c r="H59"/>
  <c r="O58"/>
  <c r="H58"/>
  <c r="O57"/>
  <c r="H57"/>
  <c r="O56"/>
  <c r="H56"/>
  <c r="O55"/>
  <c r="H55"/>
  <c r="O54"/>
  <c r="H54"/>
  <c r="O53"/>
  <c r="H53"/>
  <c r="O52"/>
  <c r="H52"/>
  <c r="O51"/>
  <c r="H51"/>
  <c r="O50"/>
  <c r="H50"/>
  <c r="O49"/>
  <c r="H49"/>
  <c r="O48"/>
  <c r="H48"/>
  <c r="O47"/>
  <c r="H47"/>
  <c r="O46"/>
  <c r="H46"/>
  <c r="O45"/>
  <c r="H45"/>
  <c r="O44"/>
  <c r="H44"/>
  <c r="O43"/>
  <c r="H43"/>
  <c r="F4" i="16" l="1"/>
  <c r="C5" i="2"/>
  <c r="L19" i="5"/>
  <c r="K19"/>
  <c r="J19"/>
  <c r="I19"/>
  <c r="M19" s="1"/>
  <c r="L20"/>
  <c r="K20"/>
  <c r="J20"/>
  <c r="I20"/>
  <c r="M20" s="1"/>
  <c r="L21"/>
  <c r="K21"/>
  <c r="J21"/>
  <c r="I21"/>
  <c r="M21" s="1"/>
  <c r="L22"/>
  <c r="K22"/>
  <c r="J22"/>
  <c r="I22"/>
  <c r="M22" s="1"/>
  <c r="L23"/>
  <c r="K23"/>
  <c r="J23"/>
  <c r="I23"/>
  <c r="M23" s="1"/>
  <c r="L24"/>
  <c r="K24"/>
  <c r="J24"/>
  <c r="I24"/>
  <c r="M24" s="1"/>
  <c r="L25"/>
  <c r="K25"/>
  <c r="J25"/>
  <c r="I25"/>
  <c r="M25" s="1"/>
  <c r="L26"/>
  <c r="K26"/>
  <c r="J26"/>
  <c r="I26"/>
  <c r="M26" s="1"/>
  <c r="L27"/>
  <c r="K27"/>
  <c r="J27"/>
  <c r="I27"/>
  <c r="M27" s="1"/>
  <c r="L28"/>
  <c r="K28"/>
  <c r="J28"/>
  <c r="I28"/>
  <c r="M28" s="1"/>
  <c r="L29"/>
  <c r="K29"/>
  <c r="J29"/>
  <c r="I29"/>
  <c r="M29" s="1"/>
  <c r="L30"/>
  <c r="K30"/>
  <c r="J30"/>
  <c r="I30"/>
  <c r="M30" s="1"/>
  <c r="L31"/>
  <c r="K31"/>
  <c r="J31"/>
  <c r="I31"/>
  <c r="M31" s="1"/>
  <c r="L32"/>
  <c r="K32"/>
  <c r="J32"/>
  <c r="I32"/>
  <c r="M32" s="1"/>
  <c r="L33"/>
  <c r="K33"/>
  <c r="J33"/>
  <c r="I33"/>
  <c r="M33" s="1"/>
  <c r="L34"/>
  <c r="K34"/>
  <c r="J34"/>
  <c r="I34"/>
  <c r="M34" s="1"/>
  <c r="L35"/>
  <c r="K35"/>
  <c r="J35"/>
  <c r="I35"/>
  <c r="M35" s="1"/>
  <c r="L36"/>
  <c r="K36"/>
  <c r="J36"/>
  <c r="I36"/>
  <c r="M36" s="1"/>
  <c r="L37"/>
  <c r="K37"/>
  <c r="J37"/>
  <c r="I37"/>
  <c r="M37" s="1"/>
  <c r="L38"/>
  <c r="K38"/>
  <c r="J38"/>
  <c r="I38"/>
  <c r="M38" s="1"/>
  <c r="L39"/>
  <c r="K39"/>
  <c r="J39"/>
  <c r="I39"/>
  <c r="M39" s="1"/>
  <c r="L40"/>
  <c r="K40"/>
  <c r="J40"/>
  <c r="I40"/>
  <c r="M40" s="1"/>
  <c r="L41"/>
  <c r="K41"/>
  <c r="J41"/>
  <c r="I41"/>
  <c r="M41" s="1"/>
  <c r="L42"/>
  <c r="L43" s="1"/>
  <c r="L44" s="1"/>
  <c r="L45" s="1"/>
  <c r="L46" s="1"/>
  <c r="L47" s="1"/>
  <c r="L48" s="1"/>
  <c r="L49" s="1"/>
  <c r="L50" s="1"/>
  <c r="L51" s="1"/>
  <c r="L52" s="1"/>
  <c r="L53" s="1"/>
  <c r="L54" s="1"/>
  <c r="L55" s="1"/>
  <c r="L56" s="1"/>
  <c r="L57" s="1"/>
  <c r="L58" s="1"/>
  <c r="L59" s="1"/>
  <c r="L60" s="1"/>
  <c r="L61" s="1"/>
  <c r="L62" s="1"/>
  <c r="L63" s="1"/>
  <c r="L64" s="1"/>
  <c r="L65" s="1"/>
  <c r="L66" s="1"/>
  <c r="L67" s="1"/>
  <c r="L68" s="1"/>
  <c r="L69" s="1"/>
  <c r="L70" s="1"/>
  <c r="L71" s="1"/>
  <c r="L72" s="1"/>
  <c r="L73" s="1"/>
  <c r="L74" s="1"/>
  <c r="L75" s="1"/>
  <c r="L76" s="1"/>
  <c r="L77" s="1"/>
  <c r="L78" s="1"/>
  <c r="L79" s="1"/>
  <c r="L80" s="1"/>
  <c r="L81" s="1"/>
  <c r="L82" s="1"/>
  <c r="L83" s="1"/>
  <c r="L84" s="1"/>
  <c r="L85" s="1"/>
  <c r="L86" s="1"/>
  <c r="L87" s="1"/>
  <c r="L88" s="1"/>
  <c r="L89" s="1"/>
  <c r="L90" s="1"/>
  <c r="L91" s="1"/>
  <c r="L92" s="1"/>
  <c r="L93" s="1"/>
  <c r="L94" s="1"/>
  <c r="L95" s="1"/>
  <c r="L96" s="1"/>
  <c r="L97" s="1"/>
  <c r="L98" s="1"/>
  <c r="L99" s="1"/>
  <c r="L100" s="1"/>
  <c r="L101" s="1"/>
  <c r="L102" s="1"/>
  <c r="L103" s="1"/>
  <c r="L104" s="1"/>
  <c r="L105" s="1"/>
  <c r="L106" s="1"/>
  <c r="L107" s="1"/>
  <c r="L108" s="1"/>
  <c r="L109" s="1"/>
  <c r="L110" s="1"/>
  <c r="L111" s="1"/>
  <c r="L112" s="1"/>
  <c r="L113" s="1"/>
  <c r="L114" s="1"/>
  <c r="L115" s="1"/>
  <c r="L116" s="1"/>
  <c r="L117" s="1"/>
  <c r="L118" s="1"/>
  <c r="L119" s="1"/>
  <c r="K42"/>
  <c r="K43" s="1"/>
  <c r="K44" s="1"/>
  <c r="K45" s="1"/>
  <c r="K46" s="1"/>
  <c r="K47" s="1"/>
  <c r="K48" s="1"/>
  <c r="K49" s="1"/>
  <c r="K50" s="1"/>
  <c r="K51" s="1"/>
  <c r="K52" s="1"/>
  <c r="K53" s="1"/>
  <c r="K54" s="1"/>
  <c r="K55" s="1"/>
  <c r="K56" s="1"/>
  <c r="K57" s="1"/>
  <c r="K58" s="1"/>
  <c r="K59" s="1"/>
  <c r="K60" s="1"/>
  <c r="K61" s="1"/>
  <c r="K62" s="1"/>
  <c r="K63" s="1"/>
  <c r="K64" s="1"/>
  <c r="K65" s="1"/>
  <c r="K66" s="1"/>
  <c r="K67" s="1"/>
  <c r="K68" s="1"/>
  <c r="K69" s="1"/>
  <c r="K70" s="1"/>
  <c r="K71" s="1"/>
  <c r="K72" s="1"/>
  <c r="K73" s="1"/>
  <c r="K74" s="1"/>
  <c r="K75" s="1"/>
  <c r="K76" s="1"/>
  <c r="K77" s="1"/>
  <c r="K78" s="1"/>
  <c r="K79" s="1"/>
  <c r="K80" s="1"/>
  <c r="K81" s="1"/>
  <c r="K82" s="1"/>
  <c r="K83" s="1"/>
  <c r="K84" s="1"/>
  <c r="K85" s="1"/>
  <c r="K86" s="1"/>
  <c r="K87" s="1"/>
  <c r="K88" s="1"/>
  <c r="K89" s="1"/>
  <c r="K90" s="1"/>
  <c r="K91" s="1"/>
  <c r="K92" s="1"/>
  <c r="K93" s="1"/>
  <c r="K94" s="1"/>
  <c r="K95" s="1"/>
  <c r="K96" s="1"/>
  <c r="K97" s="1"/>
  <c r="K98" s="1"/>
  <c r="K99" s="1"/>
  <c r="K100" s="1"/>
  <c r="K101" s="1"/>
  <c r="K102" s="1"/>
  <c r="K103" s="1"/>
  <c r="K104" s="1"/>
  <c r="K105" s="1"/>
  <c r="K106" s="1"/>
  <c r="K107" s="1"/>
  <c r="K108" s="1"/>
  <c r="K109" s="1"/>
  <c r="K110" s="1"/>
  <c r="K111" s="1"/>
  <c r="K112" s="1"/>
  <c r="K113" s="1"/>
  <c r="K114" s="1"/>
  <c r="K115" s="1"/>
  <c r="K116" s="1"/>
  <c r="K117" s="1"/>
  <c r="K118" s="1"/>
  <c r="K119" s="1"/>
  <c r="J42"/>
  <c r="J43" s="1"/>
  <c r="J44" s="1"/>
  <c r="J45" s="1"/>
  <c r="J46" s="1"/>
  <c r="J47" s="1"/>
  <c r="J48" s="1"/>
  <c r="J49" s="1"/>
  <c r="J50" s="1"/>
  <c r="J51" s="1"/>
  <c r="J52" s="1"/>
  <c r="J53" s="1"/>
  <c r="J54" s="1"/>
  <c r="J55" s="1"/>
  <c r="J56" s="1"/>
  <c r="J57" s="1"/>
  <c r="J58" s="1"/>
  <c r="J59" s="1"/>
  <c r="J60" s="1"/>
  <c r="J61" s="1"/>
  <c r="J62" s="1"/>
  <c r="J63" s="1"/>
  <c r="J64" s="1"/>
  <c r="J65" s="1"/>
  <c r="J66" s="1"/>
  <c r="J67" s="1"/>
  <c r="J68" s="1"/>
  <c r="J69" s="1"/>
  <c r="J70" s="1"/>
  <c r="J71" s="1"/>
  <c r="J72" s="1"/>
  <c r="J73" s="1"/>
  <c r="J74" s="1"/>
  <c r="J75" s="1"/>
  <c r="J76" s="1"/>
  <c r="J77" s="1"/>
  <c r="J78" s="1"/>
  <c r="J79" s="1"/>
  <c r="J80" s="1"/>
  <c r="J81" s="1"/>
  <c r="J82" s="1"/>
  <c r="J83" s="1"/>
  <c r="J84" s="1"/>
  <c r="J85" s="1"/>
  <c r="J86" s="1"/>
  <c r="J87" s="1"/>
  <c r="J88" s="1"/>
  <c r="J89" s="1"/>
  <c r="J90" s="1"/>
  <c r="J91" s="1"/>
  <c r="J92" s="1"/>
  <c r="J93" s="1"/>
  <c r="J94" s="1"/>
  <c r="J95" s="1"/>
  <c r="J96" s="1"/>
  <c r="J97" s="1"/>
  <c r="J98" s="1"/>
  <c r="J99" s="1"/>
  <c r="J100" s="1"/>
  <c r="J101" s="1"/>
  <c r="J102" s="1"/>
  <c r="J103" s="1"/>
  <c r="J104" s="1"/>
  <c r="J105" s="1"/>
  <c r="J106" s="1"/>
  <c r="J107" s="1"/>
  <c r="J108" s="1"/>
  <c r="J109" s="1"/>
  <c r="J110" s="1"/>
  <c r="J111" s="1"/>
  <c r="J112" s="1"/>
  <c r="J113" s="1"/>
  <c r="J114" s="1"/>
  <c r="J115" s="1"/>
  <c r="J116" s="1"/>
  <c r="J117" s="1"/>
  <c r="J118" s="1"/>
  <c r="J119" s="1"/>
  <c r="I42"/>
  <c r="M42" s="1"/>
  <c r="Q18"/>
  <c r="W18" s="1"/>
  <c r="V18"/>
  <c r="I43"/>
  <c r="P19"/>
  <c r="V19" s="1"/>
  <c r="P20"/>
  <c r="V20" s="1"/>
  <c r="P21"/>
  <c r="V21" s="1"/>
  <c r="P119"/>
  <c r="V119" s="1"/>
  <c r="P118"/>
  <c r="V118" s="1"/>
  <c r="P117"/>
  <c r="V117" s="1"/>
  <c r="H9" i="10" s="1"/>
  <c r="P116" i="5"/>
  <c r="V116" s="1"/>
  <c r="P115"/>
  <c r="V115" s="1"/>
  <c r="P114"/>
  <c r="V114" s="1"/>
  <c r="P113"/>
  <c r="V113" s="1"/>
  <c r="P112"/>
  <c r="V112" s="1"/>
  <c r="P111"/>
  <c r="V111" s="1"/>
  <c r="P110"/>
  <c r="V110" s="1"/>
  <c r="P109"/>
  <c r="V109" s="1"/>
  <c r="P108"/>
  <c r="V108" s="1"/>
  <c r="P107"/>
  <c r="V107" s="1"/>
  <c r="P106"/>
  <c r="V106" s="1"/>
  <c r="P105"/>
  <c r="V105" s="1"/>
  <c r="P104"/>
  <c r="V104" s="1"/>
  <c r="P103"/>
  <c r="V103" s="1"/>
  <c r="P102"/>
  <c r="V102" s="1"/>
  <c r="P101"/>
  <c r="V101" s="1"/>
  <c r="P100"/>
  <c r="V100" s="1"/>
  <c r="P99"/>
  <c r="V99" s="1"/>
  <c r="P98"/>
  <c r="V98" s="1"/>
  <c r="P97"/>
  <c r="V97" s="1"/>
  <c r="P96"/>
  <c r="V96" s="1"/>
  <c r="P95"/>
  <c r="V95" s="1"/>
  <c r="P94"/>
  <c r="V94" s="1"/>
  <c r="P93"/>
  <c r="V93" s="1"/>
  <c r="P92"/>
  <c r="V92" s="1"/>
  <c r="P91"/>
  <c r="V91" s="1"/>
  <c r="P90"/>
  <c r="V90" s="1"/>
  <c r="P89"/>
  <c r="V89" s="1"/>
  <c r="P88"/>
  <c r="V88" s="1"/>
  <c r="P87"/>
  <c r="V87" s="1"/>
  <c r="P86"/>
  <c r="V86" s="1"/>
  <c r="P85"/>
  <c r="V85" s="1"/>
  <c r="P84"/>
  <c r="V84" s="1"/>
  <c r="P83"/>
  <c r="V83" s="1"/>
  <c r="P82"/>
  <c r="V82" s="1"/>
  <c r="P81"/>
  <c r="V81" s="1"/>
  <c r="P80"/>
  <c r="V80" s="1"/>
  <c r="P79"/>
  <c r="V79" s="1"/>
  <c r="P78"/>
  <c r="V78" s="1"/>
  <c r="P77"/>
  <c r="V77" s="1"/>
  <c r="P76"/>
  <c r="V76" s="1"/>
  <c r="P75"/>
  <c r="V75" s="1"/>
  <c r="P74"/>
  <c r="V74" s="1"/>
  <c r="P73"/>
  <c r="V73" s="1"/>
  <c r="P72"/>
  <c r="V72" s="1"/>
  <c r="P71"/>
  <c r="V71" s="1"/>
  <c r="P70"/>
  <c r="V70" s="1"/>
  <c r="P69"/>
  <c r="V69" s="1"/>
  <c r="P68"/>
  <c r="V68" s="1"/>
  <c r="P67"/>
  <c r="V67" s="1"/>
  <c r="H8" i="10" s="1"/>
  <c r="P66" i="5"/>
  <c r="V66" s="1"/>
  <c r="P65"/>
  <c r="V65" s="1"/>
  <c r="P64"/>
  <c r="V64" s="1"/>
  <c r="P63"/>
  <c r="V63" s="1"/>
  <c r="P62"/>
  <c r="V62" s="1"/>
  <c r="P61"/>
  <c r="V61" s="1"/>
  <c r="P60"/>
  <c r="V60" s="1"/>
  <c r="P59"/>
  <c r="V59" s="1"/>
  <c r="P58"/>
  <c r="V58" s="1"/>
  <c r="P57"/>
  <c r="V57" s="1"/>
  <c r="H7" i="10" s="1"/>
  <c r="P56" i="5"/>
  <c r="V56" s="1"/>
  <c r="P55"/>
  <c r="V55" s="1"/>
  <c r="P54"/>
  <c r="V54" s="1"/>
  <c r="P53"/>
  <c r="V53" s="1"/>
  <c r="P52"/>
  <c r="V52" s="1"/>
  <c r="P51"/>
  <c r="V51" s="1"/>
  <c r="P50"/>
  <c r="V50" s="1"/>
  <c r="P49"/>
  <c r="V49" s="1"/>
  <c r="P48"/>
  <c r="V48" s="1"/>
  <c r="P47"/>
  <c r="V47" s="1"/>
  <c r="H6" i="10" s="1"/>
  <c r="P46" i="5"/>
  <c r="V46" s="1"/>
  <c r="P45"/>
  <c r="V45" s="1"/>
  <c r="P44"/>
  <c r="V44" s="1"/>
  <c r="P43"/>
  <c r="V43" s="1"/>
  <c r="P42"/>
  <c r="V42" s="1"/>
  <c r="P41"/>
  <c r="V41" s="1"/>
  <c r="P40"/>
  <c r="V40" s="1"/>
  <c r="P39"/>
  <c r="V39" s="1"/>
  <c r="P38"/>
  <c r="V38" s="1"/>
  <c r="P37"/>
  <c r="V37" s="1"/>
  <c r="H5" i="10" s="1"/>
  <c r="P36" i="5"/>
  <c r="V36" s="1"/>
  <c r="P35"/>
  <c r="V35" s="1"/>
  <c r="P34"/>
  <c r="V34" s="1"/>
  <c r="P33"/>
  <c r="V33" s="1"/>
  <c r="P32"/>
  <c r="V32" s="1"/>
  <c r="P31"/>
  <c r="V31" s="1"/>
  <c r="P30"/>
  <c r="V30" s="1"/>
  <c r="P29"/>
  <c r="V29" s="1"/>
  <c r="P28"/>
  <c r="V28" s="1"/>
  <c r="P27"/>
  <c r="V27" s="1"/>
  <c r="H4" i="10" s="1"/>
  <c r="P26" i="5"/>
  <c r="V26" s="1"/>
  <c r="P25"/>
  <c r="V25" s="1"/>
  <c r="P24"/>
  <c r="V24" s="1"/>
  <c r="P23"/>
  <c r="V23" s="1"/>
  <c r="P22"/>
  <c r="V22" s="1"/>
  <c r="Q19"/>
  <c r="W19" s="1"/>
  <c r="Q119"/>
  <c r="W119" s="1"/>
  <c r="Q118"/>
  <c r="W118" s="1"/>
  <c r="Q117"/>
  <c r="W117" s="1"/>
  <c r="I9" i="10" s="1"/>
  <c r="Q116" i="5"/>
  <c r="W116" s="1"/>
  <c r="Q115"/>
  <c r="W115" s="1"/>
  <c r="Q114"/>
  <c r="W114" s="1"/>
  <c r="Q113"/>
  <c r="W113" s="1"/>
  <c r="Q112"/>
  <c r="W112" s="1"/>
  <c r="Q111"/>
  <c r="W111" s="1"/>
  <c r="Q110"/>
  <c r="W110" s="1"/>
  <c r="Q109"/>
  <c r="W109" s="1"/>
  <c r="Q108"/>
  <c r="W108" s="1"/>
  <c r="Q107"/>
  <c r="W107" s="1"/>
  <c r="Q106"/>
  <c r="W106" s="1"/>
  <c r="Q105"/>
  <c r="W105" s="1"/>
  <c r="Q104"/>
  <c r="W104" s="1"/>
  <c r="Q103"/>
  <c r="W103" s="1"/>
  <c r="Q102"/>
  <c r="W102" s="1"/>
  <c r="Q101"/>
  <c r="W101" s="1"/>
  <c r="Q100"/>
  <c r="W100" s="1"/>
  <c r="Q99"/>
  <c r="W99" s="1"/>
  <c r="Q98"/>
  <c r="W98" s="1"/>
  <c r="Q97"/>
  <c r="W97" s="1"/>
  <c r="Q96"/>
  <c r="W96" s="1"/>
  <c r="Q95"/>
  <c r="W95" s="1"/>
  <c r="Q94"/>
  <c r="W94" s="1"/>
  <c r="Q93"/>
  <c r="W93" s="1"/>
  <c r="Q92"/>
  <c r="W92" s="1"/>
  <c r="Q91"/>
  <c r="W91" s="1"/>
  <c r="Q90"/>
  <c r="W90" s="1"/>
  <c r="Q89"/>
  <c r="W89" s="1"/>
  <c r="Q88"/>
  <c r="W88" s="1"/>
  <c r="Q87"/>
  <c r="W87" s="1"/>
  <c r="Q86"/>
  <c r="W86" s="1"/>
  <c r="Q85"/>
  <c r="W85" s="1"/>
  <c r="Q84"/>
  <c r="W84" s="1"/>
  <c r="Q83"/>
  <c r="W83" s="1"/>
  <c r="Q82"/>
  <c r="W82" s="1"/>
  <c r="Q81"/>
  <c r="W81" s="1"/>
  <c r="Q80"/>
  <c r="W80" s="1"/>
  <c r="Q79"/>
  <c r="W79" s="1"/>
  <c r="Q78"/>
  <c r="W78" s="1"/>
  <c r="Q77"/>
  <c r="W77" s="1"/>
  <c r="Q76"/>
  <c r="W76" s="1"/>
  <c r="Q75"/>
  <c r="W75" s="1"/>
  <c r="Q74"/>
  <c r="W74" s="1"/>
  <c r="Q73"/>
  <c r="W73" s="1"/>
  <c r="Q72"/>
  <c r="W72" s="1"/>
  <c r="Q71"/>
  <c r="W71" s="1"/>
  <c r="Q70"/>
  <c r="W70" s="1"/>
  <c r="Q69"/>
  <c r="W69" s="1"/>
  <c r="Q68"/>
  <c r="W68" s="1"/>
  <c r="Q67"/>
  <c r="W67" s="1"/>
  <c r="I8" i="10" s="1"/>
  <c r="Q66" i="5"/>
  <c r="W66" s="1"/>
  <c r="Q65"/>
  <c r="W65" s="1"/>
  <c r="Q64"/>
  <c r="W64" s="1"/>
  <c r="Q63"/>
  <c r="W63" s="1"/>
  <c r="Q62"/>
  <c r="W62" s="1"/>
  <c r="Q61"/>
  <c r="W61" s="1"/>
  <c r="Q60"/>
  <c r="W60" s="1"/>
  <c r="Q59"/>
  <c r="W59" s="1"/>
  <c r="Q58"/>
  <c r="W58" s="1"/>
  <c r="Q57"/>
  <c r="W57" s="1"/>
  <c r="I7" i="10" s="1"/>
  <c r="Q56" i="5"/>
  <c r="W56" s="1"/>
  <c r="Q55"/>
  <c r="W55" s="1"/>
  <c r="Q54"/>
  <c r="W54" s="1"/>
  <c r="Q53"/>
  <c r="W53" s="1"/>
  <c r="Q52"/>
  <c r="W52" s="1"/>
  <c r="Q51"/>
  <c r="W51" s="1"/>
  <c r="Q50"/>
  <c r="W50" s="1"/>
  <c r="Q49"/>
  <c r="W49" s="1"/>
  <c r="Q48"/>
  <c r="W48" s="1"/>
  <c r="Q47"/>
  <c r="W47" s="1"/>
  <c r="I6" i="10" s="1"/>
  <c r="Q46" i="5"/>
  <c r="W46" s="1"/>
  <c r="Q45"/>
  <c r="W45" s="1"/>
  <c r="Q44"/>
  <c r="W44" s="1"/>
  <c r="Q43"/>
  <c r="W43" s="1"/>
  <c r="Q42"/>
  <c r="W42" s="1"/>
  <c r="Q41"/>
  <c r="W41" s="1"/>
  <c r="Q40"/>
  <c r="W40" s="1"/>
  <c r="Q39"/>
  <c r="W39" s="1"/>
  <c r="Q38"/>
  <c r="W38" s="1"/>
  <c r="Q37"/>
  <c r="W37" s="1"/>
  <c r="I5" i="10" s="1"/>
  <c r="Q36" i="5"/>
  <c r="W36" s="1"/>
  <c r="Q35"/>
  <c r="W35" s="1"/>
  <c r="Q34"/>
  <c r="W34" s="1"/>
  <c r="Q33"/>
  <c r="W33" s="1"/>
  <c r="Q32"/>
  <c r="W32" s="1"/>
  <c r="Q31"/>
  <c r="W31" s="1"/>
  <c r="Q30"/>
  <c r="W30" s="1"/>
  <c r="Q29"/>
  <c r="W29" s="1"/>
  <c r="Q28"/>
  <c r="W28" s="1"/>
  <c r="Q27"/>
  <c r="W27" s="1"/>
  <c r="I4" i="10" s="1"/>
  <c r="Q26" i="5"/>
  <c r="W26" s="1"/>
  <c r="Q25"/>
  <c r="W25" s="1"/>
  <c r="Q24"/>
  <c r="W24" s="1"/>
  <c r="Q23"/>
  <c r="W23" s="1"/>
  <c r="Q22"/>
  <c r="W22" s="1"/>
  <c r="Q21"/>
  <c r="W21" s="1"/>
  <c r="M43" l="1"/>
  <c r="I44"/>
  <c r="F28" i="16"/>
  <c r="C29" i="2"/>
  <c r="D29" s="1"/>
  <c r="F27" i="16"/>
  <c r="C28" i="2"/>
  <c r="D28" s="1"/>
  <c r="F26" i="16"/>
  <c r="C27" i="2"/>
  <c r="D27" s="1"/>
  <c r="F25" i="16"/>
  <c r="C26" i="2"/>
  <c r="D26" s="1"/>
  <c r="F24" i="16"/>
  <c r="C25" i="2"/>
  <c r="D25" s="1"/>
  <c r="F23" i="16"/>
  <c r="C24" i="2"/>
  <c r="D24" s="1"/>
  <c r="F22" i="16"/>
  <c r="C23" i="2"/>
  <c r="D23" s="1"/>
  <c r="F21" i="16"/>
  <c r="C22" i="2"/>
  <c r="D22" s="1"/>
  <c r="F20" i="16"/>
  <c r="C21" i="2"/>
  <c r="D21" s="1"/>
  <c r="F19" i="16"/>
  <c r="C20" i="2"/>
  <c r="D20" s="1"/>
  <c r="F18" i="16"/>
  <c r="C19" i="2"/>
  <c r="D19" s="1"/>
  <c r="F17" i="16"/>
  <c r="C18" i="2"/>
  <c r="D18" s="1"/>
  <c r="F16" i="16"/>
  <c r="C17" i="2"/>
  <c r="D17" s="1"/>
  <c r="F15" i="16"/>
  <c r="C16" i="2"/>
  <c r="D16" s="1"/>
  <c r="F14" i="16"/>
  <c r="C15" i="2"/>
  <c r="D15" s="1"/>
  <c r="F13" i="16"/>
  <c r="C14" i="2"/>
  <c r="D14" s="1"/>
  <c r="F12" i="16"/>
  <c r="C13" i="2"/>
  <c r="D13" s="1"/>
  <c r="C12"/>
  <c r="D12" s="1"/>
  <c r="F11" i="16"/>
  <c r="C11" i="2"/>
  <c r="D11" s="1"/>
  <c r="F10" i="16"/>
  <c r="C10" i="2"/>
  <c r="D10" s="1"/>
  <c r="F9" i="16"/>
  <c r="C9" i="2"/>
  <c r="D9" s="1"/>
  <c r="F8" i="16"/>
  <c r="C8" i="2"/>
  <c r="D8" s="1"/>
  <c r="F7" i="16"/>
  <c r="C7" i="2"/>
  <c r="D7" s="1"/>
  <c r="F6" i="16"/>
  <c r="C6" i="2"/>
  <c r="D6" s="1"/>
  <c r="F5" i="16"/>
  <c r="H5" s="1"/>
  <c r="D5" i="2"/>
  <c r="I5"/>
  <c r="J5" s="1"/>
  <c r="F5"/>
  <c r="I29"/>
  <c r="J29" s="1"/>
  <c r="I28"/>
  <c r="J28" s="1"/>
  <c r="I27"/>
  <c r="J27" s="1"/>
  <c r="I26"/>
  <c r="J26" s="1"/>
  <c r="I25"/>
  <c r="J25" s="1"/>
  <c r="I24"/>
  <c r="I23"/>
  <c r="J23" s="1"/>
  <c r="I22"/>
  <c r="J22" s="1"/>
  <c r="I21"/>
  <c r="J21" s="1"/>
  <c r="I20"/>
  <c r="J20" s="1"/>
  <c r="I19"/>
  <c r="J19" s="1"/>
  <c r="I18"/>
  <c r="J18" s="1"/>
  <c r="I17"/>
  <c r="J17" s="1"/>
  <c r="I16"/>
  <c r="J16" s="1"/>
  <c r="I15"/>
  <c r="J15" s="1"/>
  <c r="I14"/>
  <c r="I13"/>
  <c r="J13" s="1"/>
  <c r="I11"/>
  <c r="J11" s="1"/>
  <c r="I12"/>
  <c r="J12" s="1"/>
  <c r="I10"/>
  <c r="J10" s="1"/>
  <c r="I8"/>
  <c r="J8" s="1"/>
  <c r="I9"/>
  <c r="J9" s="1"/>
  <c r="I7"/>
  <c r="J7" s="1"/>
  <c r="I6"/>
  <c r="J6" s="1"/>
  <c r="I4" i="16"/>
  <c r="H4"/>
  <c r="G4"/>
  <c r="G28"/>
  <c r="H28"/>
  <c r="I28"/>
  <c r="G27"/>
  <c r="H27"/>
  <c r="I27"/>
  <c r="G26"/>
  <c r="H26"/>
  <c r="I26"/>
  <c r="G25"/>
  <c r="H25"/>
  <c r="I25"/>
  <c r="G24"/>
  <c r="H24"/>
  <c r="I24"/>
  <c r="G23"/>
  <c r="H23"/>
  <c r="I23"/>
  <c r="G22"/>
  <c r="H22"/>
  <c r="I22"/>
  <c r="G21"/>
  <c r="H21"/>
  <c r="I21"/>
  <c r="G20"/>
  <c r="H20"/>
  <c r="I20"/>
  <c r="G19"/>
  <c r="H19"/>
  <c r="I19"/>
  <c r="G18"/>
  <c r="H18"/>
  <c r="I18"/>
  <c r="I17"/>
  <c r="H17"/>
  <c r="G17"/>
  <c r="G16"/>
  <c r="H16"/>
  <c r="I16"/>
  <c r="I15"/>
  <c r="H15"/>
  <c r="G15"/>
  <c r="G14"/>
  <c r="H14"/>
  <c r="I14"/>
  <c r="I13"/>
  <c r="H13"/>
  <c r="G13"/>
  <c r="G12"/>
  <c r="H12"/>
  <c r="I12"/>
  <c r="G10"/>
  <c r="H10"/>
  <c r="I10"/>
  <c r="G11"/>
  <c r="H11"/>
  <c r="I11"/>
  <c r="I9"/>
  <c r="H9"/>
  <c r="G9"/>
  <c r="I8"/>
  <c r="H8"/>
  <c r="I7"/>
  <c r="H7"/>
  <c r="G8"/>
  <c r="G7"/>
  <c r="G6"/>
  <c r="H6"/>
  <c r="I6"/>
  <c r="G5"/>
  <c r="I5"/>
  <c r="J14" i="2" l="1"/>
  <c r="E4" i="10"/>
  <c r="F4" s="1"/>
  <c r="G4" s="1"/>
  <c r="J24" i="2"/>
  <c r="E5" i="10"/>
  <c r="F5" s="1"/>
  <c r="G5" s="1"/>
  <c r="G5" i="2"/>
  <c r="F6"/>
  <c r="M44" i="5"/>
  <c r="I45"/>
  <c r="F29" i="16"/>
  <c r="C30" i="2"/>
  <c r="D30" l="1"/>
  <c r="I30"/>
  <c r="J30" s="1"/>
  <c r="G29" i="16"/>
  <c r="H29"/>
  <c r="I29"/>
  <c r="M45" i="5"/>
  <c r="I46"/>
  <c r="F30" i="16"/>
  <c r="C31" i="2"/>
  <c r="G6"/>
  <c r="F7"/>
  <c r="G7" l="1"/>
  <c r="F8"/>
  <c r="D31"/>
  <c r="I31"/>
  <c r="J31" s="1"/>
  <c r="I30" i="16"/>
  <c r="H30"/>
  <c r="G30"/>
  <c r="M46" i="5"/>
  <c r="I47"/>
  <c r="F31" i="16"/>
  <c r="I31" s="1"/>
  <c r="C32" i="2"/>
  <c r="D32" s="1"/>
  <c r="M47" i="5" l="1"/>
  <c r="I48"/>
  <c r="F32" i="16"/>
  <c r="C33" i="2"/>
  <c r="G8"/>
  <c r="F9"/>
  <c r="G31" i="16"/>
  <c r="H31"/>
  <c r="I32" i="2"/>
  <c r="J32" s="1"/>
  <c r="G9" l="1"/>
  <c r="F10"/>
  <c r="D33"/>
  <c r="I33"/>
  <c r="J33" s="1"/>
  <c r="I32" i="16"/>
  <c r="H32"/>
  <c r="G32"/>
  <c r="M48" i="5"/>
  <c r="I49"/>
  <c r="F33" i="16"/>
  <c r="C34" i="2"/>
  <c r="D34" l="1"/>
  <c r="I34"/>
  <c r="I33" i="16"/>
  <c r="G33"/>
  <c r="H33"/>
  <c r="M49" i="5"/>
  <c r="I50"/>
  <c r="F34" i="16"/>
  <c r="C35" i="2"/>
  <c r="G10"/>
  <c r="F11"/>
  <c r="G11" l="1"/>
  <c r="F12"/>
  <c r="D35"/>
  <c r="I35"/>
  <c r="J35" s="1"/>
  <c r="G34" i="16"/>
  <c r="I34"/>
  <c r="H34"/>
  <c r="M50" i="5"/>
  <c r="I51"/>
  <c r="F35" i="16"/>
  <c r="C36" i="2"/>
  <c r="J34"/>
  <c r="E6" i="10"/>
  <c r="F6" s="1"/>
  <c r="G6" s="1"/>
  <c r="D36" i="2" l="1"/>
  <c r="I36"/>
  <c r="J36" s="1"/>
  <c r="I35" i="16"/>
  <c r="H35"/>
  <c r="G35"/>
  <c r="M51" i="5"/>
  <c r="I52"/>
  <c r="F36" i="16"/>
  <c r="C37" i="2"/>
  <c r="G12"/>
  <c r="F13"/>
  <c r="G13" l="1"/>
  <c r="F14"/>
  <c r="D37"/>
  <c r="I37"/>
  <c r="J37" s="1"/>
  <c r="I36" i="16"/>
  <c r="H36"/>
  <c r="G36"/>
  <c r="M52" i="5"/>
  <c r="I53"/>
  <c r="F37" i="16"/>
  <c r="C38" i="2"/>
  <c r="D38" l="1"/>
  <c r="I38"/>
  <c r="J38" s="1"/>
  <c r="I37" i="16"/>
  <c r="H37"/>
  <c r="G37"/>
  <c r="M53" i="5"/>
  <c r="I54"/>
  <c r="F38" i="16"/>
  <c r="C39" i="2"/>
  <c r="B4" i="10"/>
  <c r="C4" s="1"/>
  <c r="D4" s="1"/>
  <c r="G14" i="2"/>
  <c r="F15"/>
  <c r="G15" l="1"/>
  <c r="F16"/>
  <c r="D39"/>
  <c r="I39"/>
  <c r="J39" s="1"/>
  <c r="I38" i="16"/>
  <c r="H38"/>
  <c r="G38"/>
  <c r="M54" i="5"/>
  <c r="I55"/>
  <c r="F39" i="16"/>
  <c r="C40" i="2"/>
  <c r="D40" l="1"/>
  <c r="I40"/>
  <c r="J40" s="1"/>
  <c r="I39" i="16"/>
  <c r="H39"/>
  <c r="G39"/>
  <c r="M55" i="5"/>
  <c r="I56"/>
  <c r="F40" i="16"/>
  <c r="C41" i="2"/>
  <c r="G16"/>
  <c r="F17"/>
  <c r="G17" l="1"/>
  <c r="F18"/>
  <c r="D41"/>
  <c r="I41"/>
  <c r="J41" s="1"/>
  <c r="I40" i="16"/>
  <c r="H40"/>
  <c r="G40"/>
  <c r="M56" i="5"/>
  <c r="I57"/>
  <c r="F41" i="16"/>
  <c r="C42" i="2"/>
  <c r="D42" l="1"/>
  <c r="I42"/>
  <c r="J42" s="1"/>
  <c r="I41" i="16"/>
  <c r="H41"/>
  <c r="G41"/>
  <c r="M57" i="5"/>
  <c r="I58"/>
  <c r="F42" i="16"/>
  <c r="C43" i="2"/>
  <c r="G18"/>
  <c r="F19"/>
  <c r="G19" l="1"/>
  <c r="F20"/>
  <c r="D43"/>
  <c r="I43"/>
  <c r="J43" s="1"/>
  <c r="I42" i="16"/>
  <c r="H42"/>
  <c r="G42"/>
  <c r="M58" i="5"/>
  <c r="I59"/>
  <c r="F43" i="16"/>
  <c r="C44" i="2"/>
  <c r="D44" l="1"/>
  <c r="I44"/>
  <c r="I43" i="16"/>
  <c r="H43"/>
  <c r="G43"/>
  <c r="M59" i="5"/>
  <c r="I60"/>
  <c r="F44" i="16"/>
  <c r="C45" i="2"/>
  <c r="G20"/>
  <c r="F21"/>
  <c r="G21" l="1"/>
  <c r="F22"/>
  <c r="D45"/>
  <c r="I45"/>
  <c r="J45" s="1"/>
  <c r="I44" i="16"/>
  <c r="H44"/>
  <c r="G44"/>
  <c r="M60" i="5"/>
  <c r="I61"/>
  <c r="F45" i="16"/>
  <c r="C46" i="2"/>
  <c r="J44"/>
  <c r="E7" i="10"/>
  <c r="F7" s="1"/>
  <c r="G7" s="1"/>
  <c r="D46" i="2" l="1"/>
  <c r="I46"/>
  <c r="J46" s="1"/>
  <c r="I45" i="16"/>
  <c r="H45"/>
  <c r="G45"/>
  <c r="M61" i="5"/>
  <c r="I62"/>
  <c r="F46" i="16"/>
  <c r="C47" i="2"/>
  <c r="G22"/>
  <c r="F23"/>
  <c r="G23" l="1"/>
  <c r="F24"/>
  <c r="D47"/>
  <c r="I47"/>
  <c r="J47" s="1"/>
  <c r="I46" i="16"/>
  <c r="H46"/>
  <c r="G46"/>
  <c r="M62" i="5"/>
  <c r="I63"/>
  <c r="F47" i="16"/>
  <c r="C48" i="2"/>
  <c r="D48" l="1"/>
  <c r="I48"/>
  <c r="J48" s="1"/>
  <c r="I47" i="16"/>
  <c r="H47"/>
  <c r="G47"/>
  <c r="M63" i="5"/>
  <c r="I64"/>
  <c r="F48" i="16"/>
  <c r="C49" i="2"/>
  <c r="B5" i="10"/>
  <c r="C5" s="1"/>
  <c r="D5" s="1"/>
  <c r="G24" i="2"/>
  <c r="F25"/>
  <c r="G25" l="1"/>
  <c r="F26"/>
  <c r="D49"/>
  <c r="I49"/>
  <c r="J49" s="1"/>
  <c r="I48" i="16"/>
  <c r="H48"/>
  <c r="G48"/>
  <c r="M64" i="5"/>
  <c r="I65"/>
  <c r="F49" i="16"/>
  <c r="C50" i="2"/>
  <c r="D50" l="1"/>
  <c r="I50"/>
  <c r="J50" s="1"/>
  <c r="I49" i="16"/>
  <c r="H49"/>
  <c r="G49"/>
  <c r="M65" i="5"/>
  <c r="I66"/>
  <c r="F50" i="16"/>
  <c r="C51" i="2"/>
  <c r="G26"/>
  <c r="F27"/>
  <c r="G27" l="1"/>
  <c r="F28"/>
  <c r="D51"/>
  <c r="I51"/>
  <c r="J51" s="1"/>
  <c r="I50" i="16"/>
  <c r="H50"/>
  <c r="G50"/>
  <c r="M66" i="5"/>
  <c r="I67"/>
  <c r="F51" i="16"/>
  <c r="C52" i="2"/>
  <c r="D52" l="1"/>
  <c r="I52"/>
  <c r="J52" s="1"/>
  <c r="I51" i="16"/>
  <c r="H51"/>
  <c r="G51"/>
  <c r="M67" i="5"/>
  <c r="I68"/>
  <c r="F52" i="16"/>
  <c r="C53" i="2"/>
  <c r="G28"/>
  <c r="F29"/>
  <c r="G29" l="1"/>
  <c r="F30"/>
  <c r="D53"/>
  <c r="I53"/>
  <c r="J53" s="1"/>
  <c r="I52" i="16"/>
  <c r="H52"/>
  <c r="G52"/>
  <c r="M68" i="5"/>
  <c r="I69"/>
  <c r="F53" i="16"/>
  <c r="C54" i="2"/>
  <c r="D54" l="1"/>
  <c r="I54"/>
  <c r="I53" i="16"/>
  <c r="H53"/>
  <c r="G53"/>
  <c r="M69" i="5"/>
  <c r="I70"/>
  <c r="F54" i="16"/>
  <c r="C55" i="2"/>
  <c r="G30"/>
  <c r="F31"/>
  <c r="G31" l="1"/>
  <c r="F32"/>
  <c r="D55"/>
  <c r="I55"/>
  <c r="J55" s="1"/>
  <c r="I54" i="16"/>
  <c r="H54"/>
  <c r="G54"/>
  <c r="M70" i="5"/>
  <c r="I71"/>
  <c r="F55" i="16"/>
  <c r="C56" i="2"/>
  <c r="J54"/>
  <c r="E8" i="10"/>
  <c r="F8" s="1"/>
  <c r="G8" s="1"/>
  <c r="D56" i="2" l="1"/>
  <c r="I56"/>
  <c r="J56" s="1"/>
  <c r="I55" i="16"/>
  <c r="H55"/>
  <c r="G55"/>
  <c r="M71" i="5"/>
  <c r="I72"/>
  <c r="F56" i="16"/>
  <c r="C57" i="2"/>
  <c r="G32"/>
  <c r="F33"/>
  <c r="G33" l="1"/>
  <c r="F34"/>
  <c r="D57"/>
  <c r="I57"/>
  <c r="J57" s="1"/>
  <c r="I56" i="16"/>
  <c r="H56"/>
  <c r="G56"/>
  <c r="M72" i="5"/>
  <c r="I73"/>
  <c r="F57" i="16"/>
  <c r="C58" i="2"/>
  <c r="D58" l="1"/>
  <c r="I58"/>
  <c r="J58" s="1"/>
  <c r="I57" i="16"/>
  <c r="H57"/>
  <c r="G57"/>
  <c r="M73" i="5"/>
  <c r="I74"/>
  <c r="F58" i="16"/>
  <c r="C59" i="2"/>
  <c r="B6" i="10"/>
  <c r="C6" s="1"/>
  <c r="D6" s="1"/>
  <c r="G34" i="2"/>
  <c r="F35"/>
  <c r="G35" l="1"/>
  <c r="F36"/>
  <c r="D59"/>
  <c r="I59"/>
  <c r="J59" s="1"/>
  <c r="I58" i="16"/>
  <c r="H58"/>
  <c r="G58"/>
  <c r="M74" i="5"/>
  <c r="I75"/>
  <c r="F59" i="16"/>
  <c r="C60" i="2"/>
  <c r="D60" l="1"/>
  <c r="I60"/>
  <c r="J60" s="1"/>
  <c r="I59" i="16"/>
  <c r="H59"/>
  <c r="G59"/>
  <c r="M75" i="5"/>
  <c r="I76"/>
  <c r="F60" i="16"/>
  <c r="C61" i="2"/>
  <c r="G36"/>
  <c r="F37"/>
  <c r="G37" l="1"/>
  <c r="F38"/>
  <c r="D61"/>
  <c r="I61"/>
  <c r="J61" s="1"/>
  <c r="I60" i="16"/>
  <c r="H60"/>
  <c r="G60"/>
  <c r="M76" i="5"/>
  <c r="I77"/>
  <c r="F61" i="16"/>
  <c r="C62" i="2"/>
  <c r="D62" l="1"/>
  <c r="I62"/>
  <c r="J62" s="1"/>
  <c r="I61" i="16"/>
  <c r="H61"/>
  <c r="G61"/>
  <c r="M77" i="5"/>
  <c r="I78"/>
  <c r="F62" i="16"/>
  <c r="C63" i="2"/>
  <c r="G38"/>
  <c r="F39"/>
  <c r="G39" l="1"/>
  <c r="F40"/>
  <c r="D63"/>
  <c r="I63"/>
  <c r="J63" s="1"/>
  <c r="I62" i="16"/>
  <c r="H62"/>
  <c r="G62"/>
  <c r="M78" i="5"/>
  <c r="I79"/>
  <c r="F63" i="16"/>
  <c r="C64" i="2"/>
  <c r="D64" l="1"/>
  <c r="I64"/>
  <c r="J64" s="1"/>
  <c r="I63" i="16"/>
  <c r="H63"/>
  <c r="G63"/>
  <c r="M79" i="5"/>
  <c r="I80"/>
  <c r="F64" i="16"/>
  <c r="C65" i="2"/>
  <c r="G40"/>
  <c r="F41"/>
  <c r="G41" l="1"/>
  <c r="F42"/>
  <c r="D65"/>
  <c r="I65"/>
  <c r="J65" s="1"/>
  <c r="I64" i="16"/>
  <c r="H64"/>
  <c r="G64"/>
  <c r="M80" i="5"/>
  <c r="I81"/>
  <c r="F65" i="16"/>
  <c r="C66" i="2"/>
  <c r="D66" l="1"/>
  <c r="I66"/>
  <c r="J66" s="1"/>
  <c r="I65" i="16"/>
  <c r="H65"/>
  <c r="G65"/>
  <c r="M81" i="5"/>
  <c r="I82"/>
  <c r="F66" i="16"/>
  <c r="C67" i="2"/>
  <c r="G42"/>
  <c r="F43"/>
  <c r="G43" l="1"/>
  <c r="F44"/>
  <c r="D67"/>
  <c r="I67"/>
  <c r="J67" s="1"/>
  <c r="I66" i="16"/>
  <c r="H66"/>
  <c r="G66"/>
  <c r="M82" i="5"/>
  <c r="I83"/>
  <c r="F67" i="16"/>
  <c r="C68" i="2"/>
  <c r="D68" l="1"/>
  <c r="I68"/>
  <c r="J68" s="1"/>
  <c r="I67" i="16"/>
  <c r="H67"/>
  <c r="G67"/>
  <c r="M83" i="5"/>
  <c r="I84"/>
  <c r="F68" i="16"/>
  <c r="C69" i="2"/>
  <c r="B7" i="10"/>
  <c r="C7" s="1"/>
  <c r="D7" s="1"/>
  <c r="G44" i="2"/>
  <c r="F45"/>
  <c r="G45" l="1"/>
  <c r="F46"/>
  <c r="D69"/>
  <c r="I69"/>
  <c r="J69" s="1"/>
  <c r="I68" i="16"/>
  <c r="H68"/>
  <c r="G68"/>
  <c r="M84" i="5"/>
  <c r="I85"/>
  <c r="F69" i="16"/>
  <c r="C70" i="2"/>
  <c r="D70" l="1"/>
  <c r="I70"/>
  <c r="J70" s="1"/>
  <c r="I69" i="16"/>
  <c r="H69"/>
  <c r="G69"/>
  <c r="M85" i="5"/>
  <c r="I86"/>
  <c r="F70" i="16"/>
  <c r="C71" i="2"/>
  <c r="G46"/>
  <c r="F47"/>
  <c r="G47" l="1"/>
  <c r="F48"/>
  <c r="D71"/>
  <c r="I71"/>
  <c r="J71" s="1"/>
  <c r="I70" i="16"/>
  <c r="H70"/>
  <c r="G70"/>
  <c r="M86" i="5"/>
  <c r="I87"/>
  <c r="F71" i="16"/>
  <c r="C72" i="2"/>
  <c r="D72" l="1"/>
  <c r="I72"/>
  <c r="J72" s="1"/>
  <c r="I71" i="16"/>
  <c r="H71"/>
  <c r="G71"/>
  <c r="M87" i="5"/>
  <c r="I88"/>
  <c r="F72" i="16"/>
  <c r="C73" i="2"/>
  <c r="G48"/>
  <c r="F49"/>
  <c r="G49" l="1"/>
  <c r="F50"/>
  <c r="D73"/>
  <c r="I73"/>
  <c r="J73" s="1"/>
  <c r="I72" i="16"/>
  <c r="H72"/>
  <c r="G72"/>
  <c r="M88" i="5"/>
  <c r="I89"/>
  <c r="F73" i="16"/>
  <c r="C74" i="2"/>
  <c r="D74" l="1"/>
  <c r="I74"/>
  <c r="J74" s="1"/>
  <c r="I73" i="16"/>
  <c r="H73"/>
  <c r="G73"/>
  <c r="M89" i="5"/>
  <c r="I90"/>
  <c r="F74" i="16"/>
  <c r="C75" i="2"/>
  <c r="G50"/>
  <c r="F51"/>
  <c r="G51" l="1"/>
  <c r="F52"/>
  <c r="D75"/>
  <c r="I75"/>
  <c r="J75" s="1"/>
  <c r="I74" i="16"/>
  <c r="H74"/>
  <c r="G74"/>
  <c r="M90" i="5"/>
  <c r="I91"/>
  <c r="F75" i="16"/>
  <c r="C76" i="2"/>
  <c r="D76" l="1"/>
  <c r="I76"/>
  <c r="J76" s="1"/>
  <c r="I75" i="16"/>
  <c r="H75"/>
  <c r="G75"/>
  <c r="M91" i="5"/>
  <c r="I92"/>
  <c r="F76" i="16"/>
  <c r="C77" i="2"/>
  <c r="G52"/>
  <c r="F53"/>
  <c r="G53" l="1"/>
  <c r="F54"/>
  <c r="D77"/>
  <c r="I77"/>
  <c r="J77" s="1"/>
  <c r="I76" i="16"/>
  <c r="H76"/>
  <c r="G76"/>
  <c r="M92" i="5"/>
  <c r="I93"/>
  <c r="F77" i="16"/>
  <c r="C78" i="2"/>
  <c r="D78" l="1"/>
  <c r="I78"/>
  <c r="J78" s="1"/>
  <c r="I77" i="16"/>
  <c r="H77"/>
  <c r="G77"/>
  <c r="M93" i="5"/>
  <c r="I94"/>
  <c r="F78" i="16"/>
  <c r="C79" i="2"/>
  <c r="B8" i="10"/>
  <c r="C8" s="1"/>
  <c r="D8" s="1"/>
  <c r="G54" i="2"/>
  <c r="F55"/>
  <c r="G55" l="1"/>
  <c r="F56"/>
  <c r="D79"/>
  <c r="I79"/>
  <c r="J79" s="1"/>
  <c r="I78" i="16"/>
  <c r="H78"/>
  <c r="G78"/>
  <c r="M94" i="5"/>
  <c r="I95"/>
  <c r="F79" i="16"/>
  <c r="C80" i="2"/>
  <c r="D80" l="1"/>
  <c r="I80"/>
  <c r="J80" s="1"/>
  <c r="I79" i="16"/>
  <c r="H79"/>
  <c r="G79"/>
  <c r="M95" i="5"/>
  <c r="I96"/>
  <c r="F80" i="16"/>
  <c r="C81" i="2"/>
  <c r="G56"/>
  <c r="F57"/>
  <c r="G57" l="1"/>
  <c r="F58"/>
  <c r="D81"/>
  <c r="I81"/>
  <c r="J81" s="1"/>
  <c r="I80" i="16"/>
  <c r="H80"/>
  <c r="G80"/>
  <c r="M96" i="5"/>
  <c r="I97"/>
  <c r="F81" i="16"/>
  <c r="C82" i="2"/>
  <c r="D82" l="1"/>
  <c r="I82"/>
  <c r="J82" s="1"/>
  <c r="I81" i="16"/>
  <c r="H81"/>
  <c r="G81"/>
  <c r="M97" i="5"/>
  <c r="I98"/>
  <c r="F82" i="16"/>
  <c r="C83" i="2"/>
  <c r="G58"/>
  <c r="F59"/>
  <c r="G59" l="1"/>
  <c r="F60"/>
  <c r="D83"/>
  <c r="I83"/>
  <c r="J83" s="1"/>
  <c r="I82" i="16"/>
  <c r="H82"/>
  <c r="G82"/>
  <c r="M98" i="5"/>
  <c r="I99"/>
  <c r="F83" i="16"/>
  <c r="C84" i="2"/>
  <c r="D84" l="1"/>
  <c r="I84"/>
  <c r="J84" s="1"/>
  <c r="I83" i="16"/>
  <c r="H83"/>
  <c r="G83"/>
  <c r="M99" i="5"/>
  <c r="I100"/>
  <c r="F84" i="16"/>
  <c r="C85" i="2"/>
  <c r="G60"/>
  <c r="F61"/>
  <c r="G61" l="1"/>
  <c r="F62"/>
  <c r="D85"/>
  <c r="I85"/>
  <c r="J85" s="1"/>
  <c r="I84" i="16"/>
  <c r="H84"/>
  <c r="G84"/>
  <c r="M100" i="5"/>
  <c r="I101"/>
  <c r="F85" i="16"/>
  <c r="C86" i="2"/>
  <c r="D86" l="1"/>
  <c r="I86"/>
  <c r="J86" s="1"/>
  <c r="I85" i="16"/>
  <c r="H85"/>
  <c r="G85"/>
  <c r="M101" i="5"/>
  <c r="I102"/>
  <c r="F86" i="16"/>
  <c r="C87" i="2"/>
  <c r="G62"/>
  <c r="F63"/>
  <c r="G63" l="1"/>
  <c r="F64"/>
  <c r="D87"/>
  <c r="I87"/>
  <c r="J87" s="1"/>
  <c r="I86" i="16"/>
  <c r="H86"/>
  <c r="G86"/>
  <c r="M102" i="5"/>
  <c r="I103"/>
  <c r="F87" i="16"/>
  <c r="C88" i="2"/>
  <c r="D88" l="1"/>
  <c r="I88"/>
  <c r="J88" s="1"/>
  <c r="I87" i="16"/>
  <c r="H87"/>
  <c r="G87"/>
  <c r="M103" i="5"/>
  <c r="I104"/>
  <c r="F88" i="16"/>
  <c r="C89" i="2"/>
  <c r="G64"/>
  <c r="F65"/>
  <c r="G65" l="1"/>
  <c r="F66"/>
  <c r="D89"/>
  <c r="I89"/>
  <c r="J89" s="1"/>
  <c r="I88" i="16"/>
  <c r="H88"/>
  <c r="G88"/>
  <c r="M104" i="5"/>
  <c r="I105"/>
  <c r="F89" i="16"/>
  <c r="C90" i="2"/>
  <c r="D90" l="1"/>
  <c r="I90"/>
  <c r="J90" s="1"/>
  <c r="I89" i="16"/>
  <c r="H89"/>
  <c r="G89"/>
  <c r="M105" i="5"/>
  <c r="I106"/>
  <c r="F90" i="16"/>
  <c r="C91" i="2"/>
  <c r="G66"/>
  <c r="F67"/>
  <c r="G67" l="1"/>
  <c r="F68"/>
  <c r="D91"/>
  <c r="I91"/>
  <c r="J91" s="1"/>
  <c r="I90" i="16"/>
  <c r="H90"/>
  <c r="G90"/>
  <c r="M106" i="5"/>
  <c r="I107"/>
  <c r="F91" i="16"/>
  <c r="C92" i="2"/>
  <c r="D92" l="1"/>
  <c r="I92"/>
  <c r="J92" s="1"/>
  <c r="I91" i="16"/>
  <c r="H91"/>
  <c r="G91"/>
  <c r="M107" i="5"/>
  <c r="I108"/>
  <c r="F92" i="16"/>
  <c r="C93" i="2"/>
  <c r="G68"/>
  <c r="F69"/>
  <c r="G69" l="1"/>
  <c r="F70"/>
  <c r="D93"/>
  <c r="I93"/>
  <c r="J93" s="1"/>
  <c r="I92" i="16"/>
  <c r="H92"/>
  <c r="G92"/>
  <c r="M108" i="5"/>
  <c r="I109"/>
  <c r="F93" i="16"/>
  <c r="C94" i="2"/>
  <c r="D94" l="1"/>
  <c r="I94"/>
  <c r="J94" s="1"/>
  <c r="I93" i="16"/>
  <c r="H93"/>
  <c r="G93"/>
  <c r="M109" i="5"/>
  <c r="I110"/>
  <c r="F94" i="16"/>
  <c r="C95" i="2"/>
  <c r="G70"/>
  <c r="F71"/>
  <c r="G71" l="1"/>
  <c r="F72"/>
  <c r="D95"/>
  <c r="I95"/>
  <c r="J95" s="1"/>
  <c r="I94" i="16"/>
  <c r="H94"/>
  <c r="G94"/>
  <c r="M110" i="5"/>
  <c r="I111"/>
  <c r="F95" i="16"/>
  <c r="C96" i="2"/>
  <c r="D96" l="1"/>
  <c r="I96"/>
  <c r="J96" s="1"/>
  <c r="I95" i="16"/>
  <c r="H95"/>
  <c r="G95"/>
  <c r="M111" i="5"/>
  <c r="I112"/>
  <c r="F96" i="16"/>
  <c r="C97" i="2"/>
  <c r="G72"/>
  <c r="F73"/>
  <c r="G73" l="1"/>
  <c r="F74"/>
  <c r="D97"/>
  <c r="I97"/>
  <c r="J97" s="1"/>
  <c r="I96" i="16"/>
  <c r="H96"/>
  <c r="G96"/>
  <c r="M112" i="5"/>
  <c r="I113"/>
  <c r="F97" i="16"/>
  <c r="C98" i="2"/>
  <c r="D98" l="1"/>
  <c r="I98"/>
  <c r="J98" s="1"/>
  <c r="I97" i="16"/>
  <c r="H97"/>
  <c r="G97"/>
  <c r="M113" i="5"/>
  <c r="I114"/>
  <c r="F98" i="16"/>
  <c r="C99" i="2"/>
  <c r="G74"/>
  <c r="F75"/>
  <c r="G75" l="1"/>
  <c r="F76"/>
  <c r="D99"/>
  <c r="I99"/>
  <c r="J99" s="1"/>
  <c r="I98" i="16"/>
  <c r="H98"/>
  <c r="G98"/>
  <c r="M114" i="5"/>
  <c r="I115"/>
  <c r="F99" i="16"/>
  <c r="C100" i="2"/>
  <c r="D100" l="1"/>
  <c r="I100"/>
  <c r="J100" s="1"/>
  <c r="I99" i="16"/>
  <c r="H99"/>
  <c r="G99"/>
  <c r="M115" i="5"/>
  <c r="I116"/>
  <c r="F100" i="16"/>
  <c r="C101" i="2"/>
  <c r="G76"/>
  <c r="F77"/>
  <c r="G77" l="1"/>
  <c r="F78"/>
  <c r="D101"/>
  <c r="I101"/>
  <c r="J101" s="1"/>
  <c r="I100" i="16"/>
  <c r="H100"/>
  <c r="G100"/>
  <c r="M116" i="5"/>
  <c r="I117"/>
  <c r="F101" i="16"/>
  <c r="C102" i="2"/>
  <c r="D102" l="1"/>
  <c r="I102"/>
  <c r="J102" s="1"/>
  <c r="I101" i="16"/>
  <c r="H101"/>
  <c r="G101"/>
  <c r="M117" i="5"/>
  <c r="I118"/>
  <c r="F102" i="16"/>
  <c r="C103" i="2"/>
  <c r="G78"/>
  <c r="F79"/>
  <c r="G79" l="1"/>
  <c r="F80"/>
  <c r="D103"/>
  <c r="I103"/>
  <c r="J103" s="1"/>
  <c r="I102" i="16"/>
  <c r="H102"/>
  <c r="G102"/>
  <c r="M118" i="5"/>
  <c r="I119"/>
  <c r="M119" s="1"/>
  <c r="F103" i="16"/>
  <c r="C104" i="2"/>
  <c r="D104" l="1"/>
  <c r="I104"/>
  <c r="I103" i="16"/>
  <c r="H103"/>
  <c r="G103"/>
  <c r="F104"/>
  <c r="C105" i="2"/>
  <c r="G80"/>
  <c r="F81"/>
  <c r="G81" l="1"/>
  <c r="F82"/>
  <c r="D105"/>
  <c r="I105"/>
  <c r="J105" s="1"/>
  <c r="G104" i="16"/>
  <c r="I104"/>
  <c r="H104"/>
  <c r="J104" i="2"/>
  <c r="E9" i="10"/>
  <c r="F9" s="1"/>
  <c r="G9" s="1"/>
  <c r="G82" i="2" l="1"/>
  <c r="F83"/>
  <c r="G83" l="1"/>
  <c r="F84"/>
  <c r="G84" l="1"/>
  <c r="F85"/>
  <c r="G85" l="1"/>
  <c r="F86"/>
  <c r="G86" l="1"/>
  <c r="F87"/>
  <c r="G87" l="1"/>
  <c r="F88"/>
  <c r="G88" l="1"/>
  <c r="F89"/>
  <c r="G89" l="1"/>
  <c r="F90"/>
  <c r="G90" l="1"/>
  <c r="F91"/>
  <c r="G91" l="1"/>
  <c r="F92"/>
  <c r="G92" l="1"/>
  <c r="F93"/>
  <c r="G93" l="1"/>
  <c r="F94"/>
  <c r="G94" l="1"/>
  <c r="F95"/>
  <c r="G95" l="1"/>
  <c r="F96"/>
  <c r="G96" l="1"/>
  <c r="F97"/>
  <c r="G97" l="1"/>
  <c r="F98"/>
  <c r="G98" l="1"/>
  <c r="F99"/>
  <c r="G99" l="1"/>
  <c r="F100"/>
  <c r="G100" l="1"/>
  <c r="F101"/>
  <c r="G101" l="1"/>
  <c r="F102"/>
  <c r="G102" l="1"/>
  <c r="F103"/>
  <c r="G103" l="1"/>
  <c r="F104"/>
  <c r="F105" l="1"/>
  <c r="G105" s="1"/>
  <c r="G104"/>
  <c r="B9" i="10"/>
  <c r="C9" s="1"/>
  <c r="D9" s="1"/>
</calcChain>
</file>

<file path=xl/comments1.xml><?xml version="1.0" encoding="utf-8"?>
<comments xmlns="http://schemas.openxmlformats.org/spreadsheetml/2006/main">
  <authors>
    <author>rjp</author>
  </authors>
  <commentList>
    <comment ref="J2" authorId="0">
      <text>
        <r>
          <rPr>
            <sz val="9"/>
            <color indexed="81"/>
            <rFont val="Tahoma"/>
            <family val="2"/>
          </rPr>
          <t>For "Amortized", the production period parameter is ignored, and the total emissions is divided by the number of years listed on the left, which serves as both production period and analytic horizon.</t>
        </r>
      </text>
    </comment>
    <comment ref="B3" authorId="0">
      <text>
        <r>
          <rPr>
            <sz val="9"/>
            <color indexed="81"/>
            <rFont val="Tahoma"/>
            <family val="2"/>
          </rPr>
          <t>Ratio of cumulative radiative forcing per MJ for ethanol to nominal gasoline.</t>
        </r>
      </text>
    </comment>
    <comment ref="C3" authorId="0">
      <text>
        <r>
          <rPr>
            <sz val="9"/>
            <color indexed="81"/>
            <rFont val="Tahoma"/>
            <family val="2"/>
          </rPr>
          <t>Fuel Warming Index: This is the FWP for each fuel times the nominal global warming intensity of the baseline gasoline.</t>
        </r>
      </text>
    </comment>
    <comment ref="D3" authorId="0">
      <text>
        <r>
          <rPr>
            <sz val="9"/>
            <color indexed="81"/>
            <rFont val="Tahoma"/>
            <family val="2"/>
          </rPr>
          <t>Percent reduction for using ethanol instead of gasoline. Green cells indicate reductions; red cells indicate increases.</t>
        </r>
      </text>
    </comment>
    <comment ref="E3" authorId="0">
      <text>
        <r>
          <rPr>
            <sz val="9"/>
            <color indexed="81"/>
            <rFont val="Tahoma"/>
            <family val="2"/>
          </rPr>
          <t>Economic Fuel Warming Potential: The ratio of NPV of Extra CO2 of ethanol to gasoline.</t>
        </r>
      </text>
    </comment>
    <comment ref="F3" authorId="0">
      <text>
        <r>
          <rPr>
            <sz val="9"/>
            <color indexed="81"/>
            <rFont val="Tahoma"/>
            <family val="2"/>
          </rPr>
          <t>Economic Fuel Warming Intensity: similar to FWI, but based on ratio of NPV for each fuel over the given time horizon.</t>
        </r>
      </text>
    </comment>
    <comment ref="G3" authorId="0">
      <text>
        <r>
          <rPr>
            <sz val="9"/>
            <color indexed="81"/>
            <rFont val="Tahoma"/>
            <family val="2"/>
          </rPr>
          <t>Percent reduction for using ethanol instead of gasoline. Green cells indicate reductions; red cells indicate increases.</t>
        </r>
      </text>
    </comment>
    <comment ref="G25" authorId="0">
      <text>
        <r>
          <rPr>
            <b/>
            <sz val="9"/>
            <color indexed="81"/>
            <rFont val="Tahoma"/>
            <family val="2"/>
          </rPr>
          <t>g CO2e/MJ/y</t>
        </r>
      </text>
    </comment>
    <comment ref="D35" authorId="0">
      <text>
        <r>
          <rPr>
            <sz val="9"/>
            <color indexed="81"/>
            <rFont val="Tahoma"/>
            <family val="2"/>
          </rPr>
          <t>GTAP 1.75 to 15 billion gallon scenario, with carbon accounting based on Searchinger model.</t>
        </r>
      </text>
    </comment>
    <comment ref="E35" authorId="0">
      <text>
        <r>
          <rPr>
            <sz val="9"/>
            <color indexed="81"/>
            <rFont val="Tahoma"/>
            <family val="2"/>
          </rPr>
          <t>Use this column to adjust any of the values marked in yellow.</t>
        </r>
      </text>
    </comment>
    <comment ref="A38" authorId="0">
      <text>
        <r>
          <rPr>
            <sz val="9"/>
            <color indexed="81"/>
            <rFont val="Tahoma"/>
            <family val="2"/>
          </rPr>
          <t xml:space="preserve">Allows for yield increase over time.
</t>
        </r>
      </text>
    </comment>
    <comment ref="C38" authorId="0">
      <text>
        <r>
          <rPr>
            <sz val="9"/>
            <color indexed="81"/>
            <rFont val="Tahoma"/>
            <family val="2"/>
          </rPr>
          <t xml:space="preserve">Assumed 2016 yield for corn ethanol. </t>
        </r>
      </text>
    </comment>
    <comment ref="A39" authorId="0">
      <text>
        <r>
          <rPr>
            <sz val="9"/>
            <color indexed="81"/>
            <rFont val="Tahoma"/>
            <family val="2"/>
          </rPr>
          <t>The ratio of new land required to land originally used for biofuels production.</t>
        </r>
      </text>
    </comment>
    <comment ref="A52" authorId="0">
      <text>
        <r>
          <rPr>
            <sz val="9"/>
            <color indexed="81"/>
            <rFont val="Tahoma"/>
            <family val="2"/>
          </rPr>
          <t>Not including foregone sequestration, which is calculated based on assumed years of production.</t>
        </r>
      </text>
    </comment>
    <comment ref="A89" authorId="0">
      <text>
        <r>
          <rPr>
            <sz val="9"/>
            <color indexed="81"/>
            <rFont val="Tahoma"/>
            <family val="2"/>
          </rPr>
          <t>To correct (somewhat) for use of 2001 yields, which are lower than current yields.</t>
        </r>
      </text>
    </comment>
  </commentList>
</comments>
</file>

<file path=xl/comments2.xml><?xml version="1.0" encoding="utf-8"?>
<comments xmlns="http://schemas.openxmlformats.org/spreadsheetml/2006/main">
  <authors>
    <author>rjp</author>
  </authors>
  <commentList>
    <comment ref="O17" authorId="0">
      <text>
        <r>
          <rPr>
            <sz val="9"/>
            <color indexed="81"/>
            <rFont val="Tahoma"/>
            <family val="2"/>
          </rPr>
          <t>This assumes continual production for the full 100 years, i.e. no recovery.</t>
        </r>
      </text>
    </comment>
  </commentList>
</comments>
</file>

<file path=xl/comments3.xml><?xml version="1.0" encoding="utf-8"?>
<comments xmlns="http://schemas.openxmlformats.org/spreadsheetml/2006/main">
  <authors>
    <author>rjp</author>
  </authors>
  <commentList>
    <comment ref="H3" authorId="0">
      <text>
        <r>
          <rPr>
            <b/>
            <sz val="9"/>
            <color indexed="81"/>
            <rFont val="Tahoma"/>
            <family val="2"/>
          </rPr>
          <t>NB: This cell defines a label used in the legend.</t>
        </r>
      </text>
    </comment>
    <comment ref="I3" authorId="0">
      <text>
        <r>
          <rPr>
            <b/>
            <sz val="9"/>
            <color indexed="81"/>
            <rFont val="Tahoma"/>
            <family val="2"/>
          </rPr>
          <t>NB: This cell defines a label used in the legend.</t>
        </r>
      </text>
    </comment>
  </commentList>
</comments>
</file>

<file path=xl/sharedStrings.xml><?xml version="1.0" encoding="utf-8"?>
<sst xmlns="http://schemas.openxmlformats.org/spreadsheetml/2006/main" count="353" uniqueCount="245">
  <si>
    <t>Total Flux</t>
  </si>
  <si>
    <t>㜸〱捤㕡㕢㙣ㅣ㔷ㄹ摥搹摤ㄹ敦慣搷昶收㑡搳㤴㜶㥢㍡㙤㔲愷㕢挷㤷搸㙤〹愹扤㡥㘳户㑥散摡㑥〲㐲搵㌲摥㍤㘳㑦㌳ㄷ㜷㘶搶戱㜹㈹㉦昰〴㐸〸〹愹ㄵ㔵㉢〴㐸㐰愵㍥昱㐰ㅦ㠰〷ㅥ换㌳㠸㌷㥥㜸愰㐲慤㜸㐶攵晢捥捣㕥戳搹戸㙥㤰㍣㤱晦㍤搷㝦捥晣户昳㥤晦㈴愱㈴ㄲ㠹捦昱昰㤷㑦㥡㠵挷搶昶㠲㔰㌸挵㤲㘷摢愲ㄲ㕡㥥ㅢㄴ㘷㝣摦搸㕢戲㠲㌰㠵〱㕡搹㐲㝦愰㤶〳敢㍢㈲㔳摥ㄱ㝥㠰㐱㙡㈲㤱挹攸㐹昴㤳〹晦昲昵㡡捥㔹戹㌴挸㙡㘹㜶㜹攳つ㜰㕤ぢ㍤㕦㕣㈸摣㡡收㕥㥥㉡㡥ㄷ㕦戸㌴㕡ㅣ扤㔰㈸搵散戰收㡢换慥愸㠵扥㘱㕦㈸慣搴㌶㙣慢昲慡搸㕢昷敥〸昷戲搸ㄸㅤ摦㌰㈶愶㉦㑥㑣㑥㥡㉦扣㌰㥤挳㡢ㄳ㑢愵搹ㄵ㕦㤸挱挳攱愸㤱攳㜲㘹戶㜸㐳㠴て㠷㘳ㅦ㌸㕥㉦捤捥㜹㡥㘱戹て㠵愵㑡㤹㡥捦㠹㡡㐵攱ぢ攱㕢敥㘶ㄱ㑢㙥ㄳ㌰㙡㔳挵㜹㐸扡㘲〴㘱㐹搸昶慡㌰戹㤴㥣㐳㘹〹㕦戸ㄵㄱっ㍡㔷㜷㉢挲㡥扢㠳㡣㜳换昰㙦ㄸ㡥㐸戳㌰攴㐴晡㕡慣ち㌷戴挲扤〱攷㘶㈰㔶つ㜷㔳㜰㠸敡㕣慢㔹搵㜴㕡㐹愷ㄳ愹㘷扡㉤㐶㙡愵㌸敦㔷㑡㕢㠶ㅦ捡ㅡ昵㜵戱摢搸ㄶ换㤰ぢ㙦㕢ㄶ慤愷搰㌱㡢㉡㕡戳㥣㔷㠵敦ち㥢㉦愱攲㐶㍡〶㐹㤹㐴㠲㙦〸愷晥㌵㤴㠵搲ㅦ摢扢晣ㄴ㌴攸ㄹㄲㅤ㐴换㠲㥣戹㕣㕡扥㔱㥡㔹扦㝡〳㝦攷㠶㘷挶挶㉦ㄴ捥ㄴ捥㥤戹㔰㤸ㅢ扥㠸攲昹㌳攷昵㝥捥挸㠱㈸改晦挰㥤㕡㌹戲㉢㔹㌶㤲攵㡤㘴戹㤲㉣㔷㤳㘵㤱㉣㥢挹昲㘶戲扣㤵㉣㕢挹昲ㅢ挹昲ㅤ㡣愹㍦㤹扥扥㘴晣㑣晤攳〷㍦㝡昷㥤㑦㤷㝦㜶挹晥摤搷㍥晡晤挹摣㈰〶扤ㄶ慦㜶捥㌷敥㐲攵㑤㕢ㅡ㉢挲㝤昶攳㐰昰ㅦ㜳搲㥣㌲㉦㕥慣㑥㡥ㅡ攳㠶捡敦摤慦昲㡥㘳㙣捥扣㙤戹㔵敦慥搴㘶捥㥣户散㔰昸戲㌲㘴攲㈷戲㐸㔹ㅦ㌰慦敥挲㠹㉢㤱攲㡦㥢㈵攱㠷㜰㠰㜰慦㘹つ㡦捤ㅡ㠱㘸㔶㐷㘲摥戳㕥捤慤〶愷扢㜷慥㠵㐶㈸ㅥ敤散㙢㌲戹㘷摡ㅡ摣㐳〴㜲㐹㡦㜷㑥扢㘵搸㌵㌱戳㙢㐵摤㕦敤攸㠶愳㜸ㅢ昷敦㥤昷挵㥢㡤摥㝢㔶㌴㠳攸戹㈳㜹摦昳㤵㔱㔷戴慥㐲㘹换ぢ㠴㉢㤷㌷攲慣㔸㤵㍢挲㕦ㄳ㡣扤愲㉡㍦昵〴扢㘲㙦ㅤ㔹㜶昱愱昰扦敡㤹搶㔶ち㕡戸㔵㔱挵㝡户㈱攵扤㜵㘳挳ㄶ㈷摢㠶㐴敦㐴挷愹戶收㜹慦㔲ぢ㑡㥥ㅢ晡㥥摤摥㌳㔳摤㌱㄰㈱慡搷扤慡㐸换㈷ㄱ㔱㈵㤱㑡㈹㑡攲㕣㌷㔷㈳敦㠰捥搸㘲㈴㜴昹摥㠳㕢㡣㠸㠳扢㍡㜱㠳㌳ち㉤㐶挶昱攷㝢慥愴搵〸㌹㝡戴攷攸㉥㐶捡㐹㡦戴㍢㕥㜱ㄵ晡㠱ㅥ㙣㐱慦㑣づ摦㥦㘵搳㉥ㅦ戰搲ㄶ慤㜰慢攵攸ㅥ㐲㤳㙣ㅢ戶昷晦ㅤ㥣㑣ㅥ㡢扦晥敡づ昶㠱〵挳慤摡挲敦〹ㄴㄴ慥㐸ㅦ㈲挹㤳ㅣ㈱㌹㑡㜲っ㐴晤〴㘱昲扥ㄲ㘵慣㔷㜶㤵㍤昵慥㔵つ户戴㉤㘱㙤㙥㠵㘸〳挰挸㘴㈸敥ㅤ㈰㡢㍦〲㘲ㄴ昱晢㘳㐲つ晤〴挹㐹㤲慦㠰㘴戳〹敤ㄱ晣㈲㠲敢愷昸昳㈸ㅢ愵挴ち敢㝢摢㈲慢愸㡣敦㕦㝣ㄷ㈲愲搱攵愶〷㍣ㄲ愸づ昶搶㈰㤵敡㈶㠸〵㈳搸ち改㠳㍤㍢昹愵晡㘹㤲挷㐰㜲㕦〵㔹㕡㄰㌶㍣昸攱㐰ㄹ㤵摢捦〳户㑤慡攵愴戳戶攷㔶戶㝣捦〵愸㥢㌳㐲㘳愶〲㙣㄰㈸㠶收㉣㜹愵㕡愸㌹ぢㄶ㝥㜲捥慡搸ㄶ㐶㔸㐲㝣づ〷㥣㈵攰ちㄹ㐰ㄷ慢扢慡ㄳ㐱㠲㌹ㄱ㔴㜴㘲㠷㐵挴愳㕤つ㈵〴搸㥣挳〸㈳㜶㐳戲敥㜳㔶っ㘰㡦㔰挷愰ㄱ㌹㉢㉡㜱收㠰㙣慢捦捥挶㌵㜰挸换㘲ぢ㤷㝥搹㄰㜱㑡㔰㤰〹㠴愴㐴㉡ㅤ搳㑥搷戹ㄹ㕡㜶㔰㡣㠵㕢㥣昳㠰㉡㠵㠴戵ㄴ扡愶挱戲戴㥥慡敡昴㜰㠲㡦攵捡㐶挴ㄶ㑢戹收㝢戵㙤〲㤰㠷挵㠷扣ㄲ晡攳㈰敦㝤昶㥢㤷捥扥晢攱攷昱敦㕢昰ㅤ昹㘸㑦愰昳愹づ㝣㌲㌱搹挴㈷㘳搳ㄱ㐰搱ちㄸ㈸㤱㍥㝦昹攸㑦㠲㘴㜵㌲搰ぢ㈰攴㠷ㅦ昹㐴㝤㉡昱㑣搷㌸㝣ㅦ㌰㐵㠷捦㌹㄰挹扡㉦㈴㍡捣挸ち摣㙤挰戹敤昹㜷㌶㍣敦づ㉤㘴㔰搶㠲㉤㈱㐲㐲慥晥ㄸ㘱戲慣㈸㑡㉡搵㠶㥥㕡戰ㄹ挱㥡㜶ㄶ㘴㘰挶戶ぢ㜵㡥㠱昶㌴㥡㔲〴㝦捦愰昰挴㝣㑤愰搳昰ㅤ㠰愳挲㈲㑣捥つ〰㕢ぢ㍢㘳搳挵㕤㍢搸㔵晥㠶て㈵㐶戳㠴㔲晢挶㝢敦㉦晥戰昲捦挲㌷晤敦㍦慢晣㌵敥攸㐴㕤㉡㘳㔸愷㌱㐹㔰搹搸㡦㕡㜶㍡㐶㈷捤扣改㕡㘱搰㙦捥搴㐲㙦摥ち攷㠲㌰㘷㠲愰㈸愷㍣㉡〳㔱换愴ㄱ昳㤶㈵敥㌲㌰㍤㜱㙦ㄷ昰㜶愹ㄶ㠴㥥昴㤳挷敦敤㥦昳㙥㜸攱㥣ㄵ㙣摢挶摥㜰㤷敥愸攷昶㤶㜰㠱㈵㝣㐰㡡〷つ昲戶户㐵戵换ㅡ搷扣㥡㕦ㄱ㡢㜳㠷〱㡤㈸㤱挳㈷㘰㉥㜰㜷攵散晤㜷摦ㄶ戹搳㐰㤳㌰㌱攵㘰㥢㤹昶㉣收㘷㌶ぢ愵攵戱攷慦扦㤲搰㐷㔰攵㌹㔷挹㘶昵ぢ㈸㘲搳㔱戹搵昵戶㤵ㄶ愰挳搸㥣㌵愱摦愸㙤㈰㐶搲㡢戰搸慡挸挶戵敢㤶㍢ㄸㄷ㤷㙢㘱㕢㡦戱㝢㉣敥㠱㐳㉣扢戰㠱㡡攱㔷て㠳㝡昰㘱㜸㈲摤㈸ㅡ晥ㅤ㑣攲ㄱ㥢㐴攲搳㝡㠲攲搳户㈰㘵捡㤹㘸愲㙢㙣㙡昸㈴ち㉤ㄸ㤱㍥㍣㐰㔱㌷㥡㌳慣㕤ㄷ㠶㉢㌵戰ㄶ㔶攷挴捥愰ㅣ㈱㘰攵㌸敢摡攲㔸㝢㔵敥㘳扡㌹戳ㄱ㜸㜶㉤ㄴ㠳㡤㤲昴㜶摤㕣ㄵ戶㐱扣㥦㙢㤴㔶㉡㈱㑥㐴つ㝥挴昲㠷㐷㍢㤰㐸㍡搶㤰㈲㜵愴昵㌰摣昶㡦愰㈳ㅤ㔰愳昰ㄷ㔳㍥晦扥愲扣昳㌶㥦㕦㕦㐹搴ぢ搴㉤㤴㑢㌸戲㝦㐰㑦㉦㍡㔶㍦㘷㐶㘱㑥㐶戰㕣扤㡤㔸㝡挰㤴挱て㝢〲搳ㅣ㐳㜴ㅢㅢ戹愷搰慡ㄸ戶扤㌷㘸㉥扡ㄵ扢㔶ㄵ㑢挶㠶戰敢㠱摢昳㥤㐳愲㉦㤹㤶㡢㜴搵㐳㉥昱㈹㘷ㄱ戹戹晡昱攱挰戱㉥愱㍦〷戱敡挴搰攰ㄱ愹㠵戸晤ぢ㥦㥣㤸㐱㌹摡㍣昷换捣ㄱ㐲摡㍤㑤㡣㘵〴㤳㡤挳㤷昴戶㤶㘱㑢摥㤲㠷㠳㜱戵愵㘹挱㡡㥡づ㡤㑦㐹ㄵ㘹㥡㜶搰ㅤ收㠳挹愳捦晤㘴攲㝢㉦扦晦搹搸㜷〷晦晥挱换㜵㑦攱摥㐲挷攰㈱愷ㄳ㠶戶㈰ㄱ戹昹换〰挸㙤㘸㠸搱㉢㐲づ敢㔶㘸㡢㝥㔳昶换㜲㠶敥㐰㘹昶㤹敢㕢㐰㙢㜳〳收㌵摦慡摡㤶㉢㠸㐲㤰愸㘱戶㙥㐹㙣㈲愵戰攲〱㐰㈱挵㌸㘰慥晢㠶ㅢ㙣ㄳ戹㔷昶㡥戶搵愴戲㔴㜳搶㜲攱㍣搱㍢㔹ㅥ㌲搷戶扣扢挸㈳搷ㅣ昷㥡戱ㅤㅣち㐵㈱〲挵㑦攴㔱㐹㈵㤹㔴㌲挹捣㐱昷㈸敤㜹戰㍢〳㔰㔰㌰敤摡㙥〱㐷户挲昵㔷ちㄵ㘳摢愸㄰㜸㥥扢戶㍥戳昲摣敤㠵昳ㄲ㉢㡣㘱㙣㤲㈴搶㈸㑦慣㍤㕣㥡捡㡣昳㍥㜴㘹㉥扤㉤㜵摢昵攴搹挸搵㌳㑣敢愳㥣㜳ㄱ㘴攱摡捤挵㘶戶昰㑢㈴摣㔵㥥戰㝢散ㄵ搲㜶ㅡ㠹〹摡散㘰㘴㑦㙣愳㜹改搲㉣㔸敢戴搱慣㈹挷搰㕣戱扤㜲㌸㡢昳㌸㌹收㄰ㅤ㄰㥢㜱摥㐶㔰ㅥ㡣㉡〴㝤㡥㘱〷㜱㕦挹㜳ㅣ㠳昶㐷摢㕤㐳㘰ㄷㄹ㠹挰ㄱ㙥㜴ㄳ㐴ㅡ㘹摣㘴散愲挹搸㤵㑤搸慦㤹㙣㤴㘵昲昲㌶つ摦ち户ㅣ慢㤲㘱㠵〹挱㐳㘱戸㌰㈰㜹捡㠵㐰昹㐸敢〵㥣敤㍣摤㐷〷㔲㈸扢㠸ㄳ〶㐵㐷攵挳扣㤳㜲㤳㔷づ㤸挹〱搰搵㠹㝦昵㜱㄰㔵㕥散昰㥣捤愷〵㥤愱㐵㐶㉡㠵㐹ㄷ㜶敢ㄳ㜱㠱㤵㌴ㄳㅤ㍤捦搸㍣攲㘵㤷㍣愳㍡㡦㥣戱攷昷挵搷㐳ㄹ愸㤶㜱挷捦㌳慢㔲㐲㌶ㄲ㔹捥ㅤ㠰㘴㍦挳㠶㌵㘴㉣搲捣挷㘸㤱づ㈹㥢㠴慡昶㘷扡扤㙢戱捥㙢㌸㍥㕡戶㕥㜳㉤摥挳晦㤳搷愶慦㜰敤搹㉣㜱㠶㍥㐹㜲〹㐴㘱扥㠶摦搳㌱㘰㡡〳愶㐱㔴ㅥ摣㍢扤攴扥㌹〸㕥收愸づ㜳㈳ㄹ㠷㥦〳㍣愲㈱㘳㠲ㅣぢ㐴愲昵㘷㤸愳搰㕦〰昹换挷ㅦ㕦挶㑦㐲㜹ㄲ愴晥㝥㥡㐵扣挰ㄷ㔱搴㕦〲㔱㜹㍣搹摦戹㠸㔲捦户ㅣ㔶改愳挱ㄱ昳戵㥡㘱㈳㠲㉤〳㉣㠵㙣㍡っ㑥㤰㡥㈰㙢攷㙤〵㜳㌱捤㡢㈰ㅣ昹攴㈷㝣敢㜵愶㔰㍡㘵搰㍥㌶晥戶㠰㈳て〶㘹戳敡㥦㤱㌹搸摦㕢㘸㐹㝤㍢捣㠷㤵换挸ㄳ愱㐶挵㐷㉥挳㈳㈴晢㜵敡㤷〵晥愹㠴㘱㍤㌶㠸づ捣挷㈹挷㥡〶捤搰㌵㘲昳搶戶㥢㈷戴敦ㄳ㕦攷ㅢ戹㔹挸㌵㕣㠹ぢ㜲つ㜴昹〷㐶ㄹ㘹㠳㈶攳捤㕡戸㘷㈳挶戳挸㜴㑦㔴愲㔱攳㐸㡢㌶㉣捦昳㠱㘸搳㥤改摦挶㕣收㔰晡㡦㜷愴摢攵㌴昶㌰㥣愹㝦㠲挸敦㍢㥦㡢㙥㑡㤹㜳昸㘸㌳㈰挷慦㕢ㄵ摦ぢ㍣㌳㉣慣〱捣ㄴ㜸〱㘳〲搶捥愸㝦〰挷慥敦攴㠷愵㕤㕥㜶㑡挵㘵敦戸摥㕤㔷慥㐶つ㜸て㈵攵搵搷挷搷㄰散捡攷㈹㐸㌱捦搰挷挹㝡〹㘴㈰㤵㘷散攰㘰㙤づ攴㙣㘹戶戴㕡ㅥㅤㄷ收㤸㜱㜱㝣㙣扡㍡㌹㌱㕤ㅤ摤㤸ㅡ㥢戸㔴㤹扡㘴㑣㑦㑤㑤㑣㔷㉡㜹ㄹ㙡㌰㕣扦ち㤲㘷㜰㤱慦㥢㘷㡤㔱㐶搶搸㌷挴攰挰昷搳愸ㅥ敡㤳㘷㐸愱㤹㙡ぢ㈰㐷㑡戳攵昶ㅢ㘱㙤ㄱ捤㌹㌴换攰扢㡡换ㅦ敤ㄵ戴っ愲愵〵扥攴ㄹ㤳挸㐵㝦㤵㠴搹㜷㜹捦㥡愷戵㑢㈹摤㐰㘱㈰愵㐸㍢㘴敦㌲㐸晤挹搳ㅥ攵愸ㄵㄴ〶㔲㉡㐵晡搲晤㤳㍥㉤㉦ㅥ㠱㡢戴㕤㡣㕤挵㐵搷ㅥ㌷戰ㄴ戶っ㔵㉥㍡㥤㝣昱㘰扣ㄸ㘶㠸戲攴摦㠷戰愰㉦挱㠷慡㙣㕡㉤㌹捡攴散㉡搹㔳挳㕤㡦㕥扤慥捣㘹〹㈷㥣挵〰㉡挱㜵挲扡㌷搳戸戶㍦㔲㔷搵㐸晤㉡攳㙣戳愵㥥摦愸㑦㕢昶ㅢ昳㤰㥢㐷攸㐲挷〸㉦㍥㑥㌴㙢㉤㔹昹搳捤㔶㈴戲㜰挴ㄶ搵㍡挷〰㘷挹㜴㌲愵㍣摢㑤搸㜱㔲ㄹ㜹摣㍡㠳慢㙥捤攱搶㜴扡换㐶㍤㙢㠵㌲㝣搱㈶ㄴ㥤づ愵慤㠳㥣敤挸㠵て㌷㤳攱挳㜳挳昵㙣戸晡㕢㘸敡ぢ㉣愲㕤㌳㕣ㄲ㥦慣㝥ぢ㔴愱㉢㤲ㅦ㥢ㄴ摡㌶搳收晡㔹㤲愷㐹㥥〱㔱㝥㠵〱㕤㤳捥扦㡣㍢㍡㤳捥ち扤㠱㐶慥晣〲㈳㘸㔹捣㜸㘵㤲愹㝣摤㉤㔴㝡㐲搷㡦㤰㈷挰㘲㠴㠲㥢昷摥捣㠰愹㈶〳㜲扦ㄹ㕤㍢搳㜸㘵㤶搱㤶搱㉣〷㐰散攳收㜹〹㠷㐰挰㘰㙣愷戱㥦攳㜰㐸㘰㔲㠷㕣扡慣㜱戲㘶㉥晢挰㘰㝤收㘲㠰愳㘶㌵㠳㕢㥤㄰晦ㄳ挰㍤っ㐰〱晢㑢㥡㑥づ㌷㘷㠶㌸搹㌵戴㌳㘶㜷㐲戴㤶昳㜴㔳ㅥ昵㝣㑡㤲㌸晡㘰㌰㐱㝢ㅤ㉦ㅢ慡晦㕦㥣挲づ㍤㈹㐸㉡㍦㠷㙡戹昵㘴晦㌵㜶㑡摡㄰戰㝡㐲㉦㘳慣昶㙤㄰摥㙢㈸昲㍢ㄴㄸ㥣㠱ㄶ㤹㤳㤱㈴愱㌲㌶㜴㝥ㄸ㌷摡㜹捥攸戸㍣敤敦攷搷慥扦晤搱换晦ㅤ㝦㝤㈶㑤摢敤攵㔸っ搵㝤㑥搹攰晦晢捡㌸㘵㕢戸㥢攱㔶攳晦㝡挱〷㜰㕦愶㔷㌰㠸ㅥ㈸㕦挷㌵敦㕢㤸㜴愹〳〲㤵㉡愶㉡㤴〴㜹攸㈲㉥戰㌲挴昵戰㈰㤱㤵㈲〷愲愶㥢㈰㕣㈲晦昲㥣挰㌵敢㥢㈰搸㤵搹㈹敢㕢㙣戴搸㤸㔴搸㈷扤敦愷戱昷攵搹㜹〷㐴攵戰ㅥ㌹㤸愶捤㘴㌸挵㘱捥㤷搶㤳㜵ㄸ捥㘴㘸搳ㅣ㘶㐵摣㈳㌱㜶ㅢ㘹㡣㌹摡㘸㘹㡣ㅤ㙣㌴挹㌹愷愲挳ぢ慦㤵㌹㘴愴挹昴㐴㘷㡦ㅣ㡦て攳户㈵捥㜴㡢戸㔱㥣愸㉦㔰挵戰㡣戲敦㠱㤹攸㝥摦㈶㜷㍣㡡摥㈸挹慡㐲㐱㑡㠹㍡散㤵㈳ㅡ㈵㔹㔵㈸㑤摡㡣敥㠲愸㥣扥㡦㤷㜳敡〱敤挶挳㔴㠵㙢攰慢昴㙤搶昸㘶㜲搴摦〴攱㐳㈱㈸㜲㈰ち㙤〸㐴㤱ㄳ㍡㕢昳㥣㐸〹て愴晢晦〷晢㘸㜳愹</t>
  </si>
  <si>
    <t>Gasoline</t>
  </si>
  <si>
    <t>Parameter</t>
  </si>
  <si>
    <t>Units</t>
  </si>
  <si>
    <t>GTAP-WH</t>
  </si>
  <si>
    <t>L</t>
  </si>
  <si>
    <t>Initial Areal Fuel Yield</t>
  </si>
  <si>
    <t>L/ha</t>
  </si>
  <si>
    <t>Average Areal Fuel Yield</t>
  </si>
  <si>
    <t>%</t>
  </si>
  <si>
    <t>bu/ha</t>
  </si>
  <si>
    <t>Forest fraction</t>
  </si>
  <si>
    <t>gal/ha</t>
  </si>
  <si>
    <t>Grassland fraction</t>
  </si>
  <si>
    <t>y</t>
  </si>
  <si>
    <t>Intermediate results</t>
  </si>
  <si>
    <t>Area originally required</t>
  </si>
  <si>
    <t>ha</t>
  </si>
  <si>
    <t>Area converted</t>
  </si>
  <si>
    <t>Total fuel produced</t>
  </si>
  <si>
    <t>MJ</t>
  </si>
  <si>
    <t>Net Displacement Factor</t>
  </si>
  <si>
    <t>-</t>
  </si>
  <si>
    <t>Rice &amp; livestock methane</t>
  </si>
  <si>
    <t>iPUC emissions</t>
  </si>
  <si>
    <t>NG-fired dry-mill ethanol</t>
  </si>
  <si>
    <t>Total EtOH emissions</t>
  </si>
  <si>
    <t>Ethanol - gasoline GWI</t>
  </si>
  <si>
    <t>Net MJ:MJ GHG reduction</t>
  </si>
  <si>
    <t>EtOH yield</t>
  </si>
  <si>
    <t>L/Mg</t>
  </si>
  <si>
    <t>gal/bu</t>
  </si>
  <si>
    <t>Required corn</t>
  </si>
  <si>
    <t>Mg</t>
  </si>
  <si>
    <t>Projected corn yield</t>
  </si>
  <si>
    <t>Mg/ha</t>
  </si>
  <si>
    <t>Required land area</t>
  </si>
  <si>
    <t>Total area converted</t>
  </si>
  <si>
    <t>Global feedstock yield change</t>
  </si>
  <si>
    <t>1st order NEW land needed for fuel (production region)</t>
  </si>
  <si>
    <t>M ha</t>
  </si>
  <si>
    <t>Actual LUC for all crops (global)</t>
  </si>
  <si>
    <t>Net displacement factor for land</t>
  </si>
  <si>
    <t xml:space="preserve">    From Forest Industry</t>
  </si>
  <si>
    <t xml:space="preserve">    From Livestock Industry</t>
  </si>
  <si>
    <t>Feedstock yield (production region)</t>
  </si>
  <si>
    <t>Fuel yield (production region)</t>
  </si>
  <si>
    <t>Initial areal fuel yield</t>
  </si>
  <si>
    <t>Constants</t>
  </si>
  <si>
    <t>EthanolLHV</t>
  </si>
  <si>
    <t>MJ/L</t>
  </si>
  <si>
    <t>Approximate NG-fired dry-mill EtOH GWI, w/o indirect effects.</t>
  </si>
  <si>
    <t>AcrePerHa</t>
  </si>
  <si>
    <t>acres/ha</t>
  </si>
  <si>
    <t>KgPerBu</t>
  </si>
  <si>
    <t>kg/bu corn</t>
  </si>
  <si>
    <t>LiterPerGal</t>
  </si>
  <si>
    <t>L/gal</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</si>
  <si>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</si>
  <si>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</si>
  <si>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</si>
  <si>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</si>
  <si>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</si>
  <si>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</si>
  <si>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</si>
  <si>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</si>
  <si>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</si>
  <si>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</si>
  <si>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</si>
  <si>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</si>
  <si>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75016569-9f58-49a0-8d63-e7205972862a</t>
  </si>
  <si>
    <t>CB_Block_0</t>
  </si>
  <si>
    <t>Amortized</t>
  </si>
  <si>
    <t>LUC+Corn</t>
  </si>
  <si>
    <t>iLUC</t>
  </si>
  <si>
    <t>Corn EtOH</t>
  </si>
  <si>
    <t>Analytic horizon</t>
  </si>
  <si>
    <t>Ethanol FWIp</t>
  </si>
  <si>
    <t>Gasoline (baseline)</t>
  </si>
  <si>
    <r>
      <t>Gasoline (Total CO</t>
    </r>
    <r>
      <rPr>
        <b/>
        <vertAlign val="subscript"/>
        <sz val="10"/>
        <rFont val="Arial"/>
        <family val="2"/>
      </rPr>
      <t>2</t>
    </r>
    <r>
      <rPr>
        <b/>
        <sz val="10"/>
        <rFont val="Arial"/>
        <family val="2"/>
      </rPr>
      <t>)</t>
    </r>
  </si>
  <si>
    <t>Discount rates:</t>
  </si>
  <si>
    <r>
      <t>CO</t>
    </r>
    <r>
      <rPr>
        <vertAlign val="subscript"/>
        <sz val="10"/>
        <color indexed="8"/>
        <rFont val="Calibri"/>
        <family val="2"/>
      </rPr>
      <t>2</t>
    </r>
    <r>
      <rPr>
        <sz val="10"/>
        <color indexed="8"/>
        <rFont val="Calibri"/>
        <family val="2"/>
      </rPr>
      <t xml:space="preserve"> emitted/MJ increase</t>
    </r>
  </si>
  <si>
    <r>
      <t>g CO</t>
    </r>
    <r>
      <rPr>
        <vertAlign val="subscript"/>
        <sz val="10"/>
        <color indexed="8"/>
        <rFont val="Calibri"/>
        <family val="2"/>
      </rPr>
      <t>2</t>
    </r>
    <r>
      <rPr>
        <sz val="10"/>
        <color indexed="8"/>
        <rFont val="Calibri"/>
        <family val="2"/>
      </rPr>
      <t>e/MJ/y</t>
    </r>
  </si>
  <si>
    <t>NB: Excluding foregone sequestration</t>
  </si>
  <si>
    <t>As a percentage of the lost soil C, not of the total soil C stock</t>
  </si>
  <si>
    <t>Economic discounting of physical flows (discouraged!)</t>
  </si>
  <si>
    <t>The period over which biofuels are assumed to be produced on the land triggering LUC emissions.</t>
  </si>
  <si>
    <t>Annual foregone seq.</t>
  </si>
  <si>
    <t>Total foregone seq.</t>
  </si>
  <si>
    <t>iLUC emissions (amortiz.)</t>
  </si>
  <si>
    <r>
      <t>Total CO</t>
    </r>
    <r>
      <rPr>
        <vertAlign val="subscript"/>
        <sz val="10"/>
        <color indexed="8"/>
        <rFont val="Calibri"/>
        <family val="2"/>
      </rPr>
      <t>2</t>
    </r>
    <r>
      <rPr>
        <sz val="10"/>
        <color indexed="8"/>
        <rFont val="Calibri"/>
        <family val="2"/>
      </rPr>
      <t xml:space="preserve"> flux per MJ cap.</t>
    </r>
  </si>
  <si>
    <t>Result (only for comparison to previously reported values based on straightline amortization.)</t>
  </si>
  <si>
    <t>Average areal fuel yield (production region)</t>
  </si>
  <si>
    <t>GTAP parameters and results (12/31/08 run, 1.75 to 15 B gal)</t>
  </si>
  <si>
    <t>Final areal fuel yield</t>
  </si>
  <si>
    <t>Yield adjustment factor</t>
  </si>
  <si>
    <t>㜸〱捤㔸㑤㙣ㅢ㐵ㄴ昶慥扤敢㕤摢㘹㐳㥢戶戴㤴搶慡ちㄴ搲扡㐹㐳㘸ち㔴㄰慦㥢挴㈵㑤搲搸㙤攱㠰戶㘳敦㙣扣捤晥㤸㤹㜵ㄲ㤷㉢攲挶㤱〳〷㐴て㥣㌸〰㤷㕥㐰㕣戸㈱〱〷㈴㈴㈴㌸〰ㄷ挴㡦㌸昴挰つ挱㝢戳㜶㘲㍢㉥愴㈱㐸ㅤ㈵攳㤹㜹㌳㙦摥扣㜹敦㝢㙦㌶㈶挵㘲戱扦愰攰㉦㤶〴㌶づ㤷㥡㍣愴㕥捥〸㕣㤷㔶㐳㈷昰㜹㙥㤲㌱搲㥣㜵㜸ㄸ㠷〹慡改〰㥤㉢㈶㜷㙥㔲捤㕣愱㡣挳㈴㈵ㄶ搳㌴㕤〶㍡㌲挱晦挱㜶㐷挷㔵㤹〴㔴㡢㐶㝥扥㜲〳戸㤶挲㠰搱㤳搹慢搱摡昳㘷㜳㘳戹㜳㑦㡤攴㐶㑥㘶㡤㠶ㅢ㌶ㄸ㍤敦搳㐶挸㠸㝢㌲扢搰愸戸㑥昵〵摡㉣〷换搴㍦㑦㉢㈳㘳ㄵ昲攴挴攸㤳攳攳昶戹㜳ㄳㄹ搸㌸㌶㘷攴㘷愸㕢〷㙥㍢挳㔳〵㥥戳㐶㝥㠱㔱㝢㘷㌸㉡愸㠲搱〲慤㍡愸㉢㑡㤹攳㉦攵㡣㍣晣㜵攸〳㝡㘷㜳昳愵ㄲ昵戹ㄳ㍡㉢㑥搸挴戳改摥㝣戵㜲㤵戸つ慡㝡㐲㈰捤扢㑡搸ㅣ昱攸㠰㜷㠵搳㐵攲㉦㔱散㈹摥㜴挳戱ㄲ㜰㠷昱挷晢㙤搴㔲㔰㙥摥挸ㅢ㌵挲㐲挱ㄲ㌷㌸摤㙦戶搸㈹搷㈱㡡㔸㈳㐶㔱㌹㔲扡㘵㈵㘲㑦㤴㌲㠹㤵〶㤵慡㐳戵户㘳㘵㔶㉣捤㡥㑡㠹㍦挰搶㍡ㄷ愶㘱愶㙣ㄲ搹慣挸㘶㔵㌶㉤搹愴戲㘹换收㤲㙣搶㘴搳㤱捤ㅢ戲戹っ㜳摡㐵㑢㈶攵㔶戹昵改敤㘷て㉣㌶㉥扥昳㌵㜹晢搳搵㍢㜷㌲挸㙢ㄶ捥㤶㥢愳攱㡥ㄸ㠱㠲㈷摡扡㈶㌳㌰㕢昱愲㡢㈸㔰㕥搵昱㤶㡡扥㐵搷㔴㘸挱敤㘵㍣㈳昰㐳扡ㄶㄶ㐸㐸㤲摥〲㘱搴て㜵㤸㌴㉣㔶㐵㉤㕣㌹㈰挶摡慢㔳慤ㅥ㜰ㄸㄴ捤づ㉥㘹㌱㄰㜱㤲挰攵攲㠹愸搶搴㝥㑥㍣㐳㜸㉤㈴ㄵ㤷ㅥ敦戹㜰搴ㅡ搸搸㤵搰㜱㜹づ㔸㑥戳愰㔱㐷㝤敥ㄴㅦ㘱挶㘸ㄶ敡〰㔴〲㜲昰ㄷ㌶㜸㕥摦〵㍦㈹ㅤ㠹㍡ㄲㄱ㡥攰〷㑡㥢㤶搹〳㥤㑢㐶扥㄰㜸挴昱㜷攴㙡㌳㝢㠱攵攵㤶〵ㄷㄸ㔹〵㙦摣㘰㝣㈶〷㐰戴ㄵ㈸〲㈴戲挷敤戳昶攸愸㌵㍥㐲挶㠸㠲收㝦慦摥㌴〴㙢㌲摥㌵挷户㠲㔵攱㕥㝢㍣昰ㅤ攱㌲攵㘶㥤㡡愱㡣㕤㈶㙣㠹㠲换戲㘲㘱挸㌶〲挶愸㑢㐲㙡㠹〱挴攵〳摤㠳㝣㡡〵ㅥ㡥ㅦ捥ㄳ㑥㌷㕣㜷搸㡥㌶捡〷つ摦攲て昵㈷㤶㐲㘰㝤愸㤷戶挱㘴搳戲ㄲ挰ㄹ攵㐲搲㈳扤换㠴改㑦慥㌹ㄱ昹攱ㅥ㌲〰㕡㔰戹㍢㜵㡡搱㔷搶愹㥢㈴㥡㠴攰戴㐲㤱扥改㤴ㄱ㈹㤲ぢ攰㈷攰搴ㄷ攲つ㝢ぢ㑥㜵㤹戲ㄲ挵搰㐶㉤㜱搴㝤㐸愲攰㡤㔵捡㠷攷㔱昵㠰愸搶戱捥㔱晢挲㕡㐸挱㤷㉤㤰ㄷ愲㑣搸㉣愳ㅦ敤敦㥡ㄲ敤〹㠴㠳㕤挳㔳㐱戵挱搱㘷㔹攰㜶㔳㈶慤ㄵ〲㝢㕡㤷〲㡢㈶ㄲ㜲㍣㤶㠸㈵戰㐰昰㡣挷挱㤱㐷㝡摣㔴㠴ぢ攴捤㍢㜱戹挳㜲㄰㤸挷戶戴愸摢扣㜰㕤㍦挰㔸㡦晡搲㠳摤扥㤲㕢〴敤㠱㤶㕣㡡㡥㈴昷攲㐹㠷愰ㅢ㔶㠳㥢昴㐵搳攸㐴ㅤ㍡㐳扢挵搹㈷敥㝥ㄴ挱㜶摤㌲晥摦挹戲扣户㜵晡ぢ㉢㠰搸㌳挴户㕣捡晥㔹㕦㈸㤱㡥㥥慤敦挳㙡㍦㔴愹㤸昲㌳㘰摢㕤㌵㠹改㤱戴㈶㌵㤵㔵挷ち㙢㙡㡤㍡㑢戵㄰挶㈰慢搲㌴㔴昳㠱搶晦㘷〰昴ㄶ愶㔶晡㠳㔸ㅤ㠴㉡㤵㑡㐵攸愹愶昴㠷愰慦ㅥ㠶㑡㌳ㄸ攴㘹捣㈱㈹㈹㠱㈰摢㑦攲昵㤰㠰戱㉥㌵ㅢ㄰㙢㡡㔴㈱㌵㑢戶ㄲ㌳捤〸扣㍡〴㉡㌶㠸㌳つ㌰㔴㜰㠰ㄵ挷愲㑣挳㠱ㄲ㈴㠰〹挸捣戸㉡摣㥣㐳〴㡡挷ㄴ㈵慤昵摢慢搸收㜵扣愵捥捥〴戳戸㠹晦㙦㤷㈷㥥挳㔳愶㔲ㄸ㠹昴㠷戱㍡〲㤵㠲㙡扤㘷搷搸つ㡢昶㝢愵㕡戰㍡〳㝡愵㍣捡㝥㌸慡攸挰收㘱㠸愸挴㍢㈸挶愷ㄹ〵㌴㘴㘵〰〵㜱㐶㕣㜱愸㉦㐵㉣㍡㈴㉣戳挳㈷㠷敤慢づ㕤㐵㈴㍦扡㤹〴改㥢搱攰㘱㈰ㄲ㠰㈳㥢改㠵㘰㉥〸ぢづ慦扢愴㜹扣て㌹愲㕣慢㔱ㅦ㠰㡣〱㥥晤摢愴愰㕥愷㔶ㅦㄹ㑢㐱㠳㔵㘹戱㜰㍦㐰㈱摣㔴㔴㈴㠱㠲㤲㈶愹戲〴㘵㝢㕥㈸愱㝦㐸慦づ扤㍦晤挳捤搷㥥㐳扦㤴挰㕢挰㕦ㄴ昴捣敤愰㈵愶㉡〳㕤㌱㝡ㅦ收攱㤷攰摤攲搴㕤㥡㈷っっ㍢㘰㕣昷摡捤挸昰㍡㌲攲挸㕢敥〷㘵㐳挸㠹㠲㑤敥敥㘰摢㈱戸戰㐱㌴㘶愱挸愱㥥愸㈰捥㡤㔰戵捤扢㔲㝥〰㠰扣㐷㐱昰愱㤹㕣挱晣摡㌴㈱㕦㠵ㅥㄶ㐹昹ㅥ㔸昵㤵て㜱㌶攱攳㝢㐹慣㑡㉤晢挱慡㉦㈴㔷㌸㈶㍥挸㔰㑦㈶昱ㄸ㈹昸ㄷ㘵ㅣ㐲戲㌰㥢㤸㠲㔰㍥摣㑦㔷㔱㝡扡晥愰㉢㕡㄰㉢㕡㉦戸っ扥攰捡㡣㡡㘷㥡㈶㍡愰挲〱敦㕡挰㤶㉢㐱戰㡣㡦㠶㕤愲挷㙢㤴㠶昸愴㑡㝢搱扢㄰摢㘰晢昱㜸搷戳愹愵㜷㈴㘲㜲㉣ㄲ㘷昵ㄸ戴攲㔳慣㉡㝡搲㜷㜰㝥㝣㙥㌹㔴㙡扣昸捥慤攲ㅢ搵㥦戲㉦戱搷㥦㤰扥㙤ㄱ摥㕢昸昰晡ぢ扦晣㙡摣㝡戳昸敡捤㑦摥晤㔱挱㘸戲愵㐸㍥〸ㄳ㜷摢敢搸㔵㜶㐲㤷愶敤挸㌴戰慤搹㠰㐶㤰㘵㔹㐹扢㕣㠳㔳ㄷ〶散㘹收㔸慥攳㔳㌴ㅤ挸㕦昱昹㌹㑢㤷㈰愳㕡〸昰愹ㅢ昸〳㜶㤹ㄱ㥦㘳慣昱慢捤㍤㕤㍤攱㉤㡡㥤㜷㝣づ摢〸扣挴昶㙥ㅢ攱ㅣ㙥慥攱昹搳愴捥敦〷㜷ㄲ摦㍤㐰㍤㔰㈲昰㤲㈵㔹㤶㌴㔹摢愶㐷挴搴㐷㠱搵㈳ㅤㅥ昸㜴搶㤹扤㘲㘴愹攷㜰晣㤲挰戳㈷愶换㤳ぢ愷慥捤㍣づ㠹㤸㉣搰㑥㍥㠳晢㐷㈰㠷攸户昵慣ぢ㙤㍦㈳㍥㌲戴搲攱㜸扦㐰扥㥥ㄶ愲户改㡦㐱㈵㘱搲㈱ㅣ攷㐴慢㠱㥤㐱㡣搹ㄸ挲㔵㤰㉤昶㠰㤱㌷㈳㥢㙥扢㠶晡〴っ敦㠲攱㡥摣㙦㄰㐳扣㐸㙥㠶愱㈱扥㈷㐸㘲〷散㥤㠲慡㕤〶㜱㈷昴㘵㍤〷搵㐰㕣挲昹攸㥣敡㘹散㑦扡㙥戶敤㕥㕣ㅤ挱愱慥敦ㅥ敡㈸っㅤ㥤㙡㔰㤸㐶㤸〷敦扦㙣ㄱㅥ攷昸攱愵㤹㕤㌹㌳㤱㕢㜳昹㥡昴㘵换㔷扥昹攴晡〷㕦㝤慣㕥扣㈵て㈵㜷晦㕥扣㉤㝤搱㈲昴㝥㠵ㄸ㙣㡢愸愰㔴捦昴挳㠹㑤改敥㜰敦摢攲〲扣ㄵ㥡愸㠳㌸愴㔶㡡戰晥㠴晣昴昶㜸戵戱ㅡ慦㑡昹ㅣ愴晥て㝣昰㑥扢愱昶㈸㡣攸攳挸ㅡ慢㕥戸挵散㜰ち捦搱㤳搲愶搳〸慥攵户㍥㝡晥捦戱㤷㈷搳㝦〳ㄹ愵㠳㜰</t>
  </si>
  <si>
    <t>㜸〱敤㕣摢㙦ㅣ㔷ㄹ摦㔹㝢搷㍢㙢㙦㥣挶㑥摡昴㤲扡㔷㕡ㅣ㙤㜳㙤ㅢ㔵㈱昵愵㑥㑣㥤摡捤㍡愹㔰㔵㤶昱敥ㄹ㝢㥡戹㤸㤹㔹㈷㙥〵つ㔲㠵㄰㠵〷挴ㄳㄵ〲㈱㔰〵㉦ㄵ攵〱㔱㉥晦〱㐵㍣昱㠶㔴㕥㜸〰〴㤱昸〳捡敦㜷捥捣敥散慥㜷散㙣㕢㜰㤰㡦攳攳㌳攷㝣攷捣㌹攷扢㥥敦㍢㤳㡣㤶挹㘴㍥㐲攲㕦愶㐱ㄶ敥慤㙣〶愱㜰捡㌳㥥㙤㡢㕡㘸㜹㙥㔰㥥昲㝤㘳㜳挱ち挲〱〰攴慢ㄶ摡㠳㕣㌵戰㕥ㄳ㠵敡㠶昰〳〰攵㌲㤹㐲㐱捦愲㥤㠳昰㜷㝦晣愰戳搷挸㈰戲㑢㌳搳㡢㉢慦㘲搴㑡攸昹攲攸挴ㄵ搵昷散㔳攵㤳攵㌳㑦ㅥ㉢ㅦ㍢㍡㌱搳戰挳㠶㉦捥扡愲ㄱ晡㠶㝤㜴㘲愹戱㘲㕢戵攷挵收戲㜷㔵戸㘷挵捡戱㤳㉢挶愹愷㡦㥦㍡㝤摡㍣㜳收改ㄱ扣㌸戳㌰㌳扤攴ぢ㌳昸㐴㐶捣㜱扡愷㘶㐵捤攲扡㠴昰㉤㜷戵㍣㌳㡤㝦㠹戹攳改愹㜲㘵㑤㠸㤰㉦ㄶ扥㜰㙢㈲搰搱㜱搸㤹ち㠲㠶戳捥㡤搳㥤㌹㉣戳㘶〴㘱捥㤹ㄱ戶慤㍢昱愸〵㘷ㄱ晢㘶ㅢ㥢㈳㑥㐵戸㠱ㄵ㕡ㅢ㔶戸㤹㜷㤶㌱㔰扤攴㕣づ挴㈵挳㕤ㄵ㉦ㄸ㡥挸㌹攷ㅢ㔶㝤㔰愵捣挰㘷攲㈱㤲ㄳ㤳㡢㉦㑦〵捥捣㥡攱换ㄹ〵摣㤶ㄴ搸㌹扦搶づ晢㔰敦㜱㌹㜵昹〶㡥昹㐸㙦㌸戴㕣㌱晣㈶攴㘴㙦挸㘸昱敤㌳㜸愲㌷㝣㘲㡦摡晢㍣摥扢㡦摣捡㜶㘸㙤㌸愲㙤戹愳㔸㡣㥥㘷㌶挴慣挰㡣〸搴㡢捣㠶㤹㡤㈰搳〶晦つづ㐹㜶㘴㔳戶㙡㘴慢㉢搹㙡㉤㕢慤㘷慢㈲㕢㌵戳搵搵㙣㜵㉤㕢戵戲搵㔷戳搵慢㠰㠹㔳㘱㘸㈸ㅢ愵㝦晤敤㙣改挹慦晦㜸晥摤㡦慥㡥㤶㝥㝥收挶挸㍥〰扤ㄸ㑤㙡搶㌷慥㠱搴㕡㌴㝣愲っ㡥搸〹㑦㠰㈵捣搳收㔳收昱攳昵搳挷㡣㤳㐶㡥换㑡㐱㝥ㅢ愱散〷散㠸昹㤲攵搶扤㙢ㄲ㜷昷㑥ㅢ㠱㘸㙤摣㘴搴㌶敤㌵摣㝡㜰捦搶㡤㤵搰〸挵摤㥤㙤慤㐱扡扡㔵挰㔶㈲㤰敦㍢搲搹敤㡡㘱㌷挴搴㜵㑢㌵摦搷搱散㉣昹摥㑡敦搶㌹㕦㝣戹搹摡㌵愳㈹〸戴つ㌹㜶搷㉡㔵㤳㥡搷挴捣㥡ㄷ〸㔷㑥㙦搲㔹戲㙡㔷㠵㕦ㄱㄴ㠷愲㉥㤷㝡㤰㑤ㄱ搷㑦㉥扡㔸㈸戸戵晥㘰戲搶㝣敥㝡〸㘶ㄶ㜵捣㜷㕤昸攱收戲戱㘲㡢㐳㙤㈰敡㥤㘸㌸摣㔶㍤攷搵ㅡ挱㡣攷㠶扥㘷户户㑣搵㌷っ㐸㥡晡㐵慦㉥〶〷㌳㔲㈸㐰搸づっ㘸㕡收戳扤㜹㐱㈲㈲㠱㘲㌲昲㕤敤㘴㔷扥㠴搵㘱ㄵ戶㈰㑤㘶ㅦ摥㘶㌰捥㔷捡㤸ㄴづ㑣慣㠹扡㠳㉦㝤㙣㥢㘱㥢㤸晢㜴㠱戳搹戱㘸昵捦㙤〸㌷扣㘰戸㜵㕢昸愹㥡㑦攳㡣昴㔱㘴戹㥢㄰〸㍤㜷㡦㙡㑥扢慥㙤收慥㔹昵㜰㉤扦㈶慣搵戵㄰㜵搰㡥㠵〲户戶㉢改㜷愰㑡㍦挰㙣っ㔹戱㤸挹㡦ㄳ㈸㕦㐴捡攴㈸㥤㔲㜸戹㑤㤰戳㕦ㅢ㉦㡦㤸㜳㤶ㅤち㈵㤴㐷㑤㘰㐴㘹㌵㠹扥ㄲ㐹搴㌷㙡㑡㘱㡣㥢㌳愰㔲挳㜲挳捤ㄶ摦㜶㜱㠹㈲愲㍤㔹戰敢㘴〱㐵㐱扢㍣㐸攱㌵㄰㑤㠷㌴㐸〷㑥㄰ㄱ搹㈰㐵戳㘳攴㜶㈲㈳㝣㡡㡣〰㝣㤲〸〹㝤慣户㡣㈰戱㜷ㄳ㈹㍢昵攴挷㍤㘹戶㤵ㅤ慦愴搹㐱㙣㥣㝥㠸搹㥤捣敥㘲㜶ㄸ㤹昶㔷㐸㌸㑡㌹㤴摢㤳㝥て㥥昵㝢㤹摤㠷っ昲㐹愷捣㠹㐴ㄵ㙤愸㥤搸㤱㠴㉢挱㑥㤶㐶戱ㄲ㐵戴㡣㥢㜶㘶挹㤱㠸㡥慣捥摤愱㙢〷愵㡥㝤戴㌷㙤㈶㤷㐳㡡㑣〱㑤慥㜵ㅢ搰攴㐶㄰戴㑦扤㜵㍦扡敡ㄳ捣ㅥ㐰愶ㄴぢ㡤摤㥤㔹昳㌴㈷㙦ぢ㤳㐸ㄹ㐲㝤㉡昷㠸㠸㘹晥愷〸戸慥愳换㥥晤㑣㔳㜰搲扣敤敤攷愳扤㜹㍢㐲㝡㠷捥摣搳㌹昴ㄳ摤愲〵晤㈰搸㑢晢㜳㑦晤昲㌰㥡昵㐷㤸㍤㡡慣㐳扦昰攴㝤慢㕥〲㘹ㄲ㍢〹捣ㅤ愰挷㐵㕡戸换㥢敢㐲㙡㥦ㄱ㜳搹昰㔷㐵〸敦挵晣㉣散㘰捦昷㠵㡤〳㙤㕤㔶昰散㜲㘷㝢㘵㌰攷㝢づ敢昷散攳攰戶㔰っ㠳㠳搹㠱㑣㠷㝤㥣㘲㘷㈶晣㑤〹捡愱晥㍤搹㕢㐸㈴㍡戵㤳ㄷ晢愵㥦㉤昷㈴㐹ㅦ㤲攴㌱㙣慢晥㌸㌲㐸〹敤㑦㍤㈵捡㈴挱㡥㑡戰㜶㙢㤵摥扤㤴㤳㐹㠷晦戰㑢㡥っ㉢㘷敤㌴㝣〷㐱挹愹㔸㑥㔳㔸っ㍢㑢挲慦挱慦㘰搹愲愸㕣戲ㄴ㌵㝢戲攲㌶㤱ㄵ〳〳㕤㘷改ㄴ摦㥡愴㤳づ㈹㤱捡敤愹㡤㈹攷昰ㄶ㔱搱〵㐹愱㤲攲ㄶ㙡㑡㈰㔲ㅥ㘱昷㐴㑣ㅦ㈲愶㡣㡤搳㥦㘰㜶㡣搹㜱㘴戹㍦㐰搲散㜴攳ㄹ〶ㅢ摡愰㍢扢㕡捤ㄴ㠸〶改ㅥ晣愰愷戰㍡挵搷㥣㘶昶㈴戲づ昳㠷捥挷ㄴ㐲㤴㈸㑦㄰㈲慤㈵摤扣㘲㠹㙢愴㠱㝤㈶㠲㑡㌳㡤㈰昴ㅣ㐶㤵㑡收慣昷㠲ㄷ捥㕡挱㍡愲㔰㘳㘶㔴㜸㘹㑤戸愰㉥ㅦ戶㑦㐷㥤户扥㉥敡扡㔹昱ㅡ㄰㙤昳戳扢攱㔰㡥昵挱㤶㤴攷昲慣㠶搴摦搹ㄸ㐳㘸昲㐴っ㕦㉢㍤戱㍢昲㝣昳搰㌷摡摡搱㘵㉢戴挵戰愹㤸㡥攵㠲㠹㕤㐴搴愰㍥㘴㉥慦昹㐲捣㤶捣昳扥㔵户㉤㔷㄰ㄹ戰㌱ㄹ愸㕢㄰慢㠸㄰㉣㜹㡣晦㜹㙥挹㕣昶つ㌷㔸㌷ㄸ㑣摣㍣搰昶㈴㐳㈲㌹㜳摡㜲〳扣㐶㘲㤱攵㔱戳戲收㕤㐳愴戶攱戸攷㡤昵㘰㔷㘰㠵㐴慦㤲㐴㡤㤶搵戲㔹慤㤰㉤昴㡢ㅦㅥ挸㌳㤹ㄳ昸ㅤ㘴㈶㜱㤵挹搱㕦㥥愲扤㘹搷㐷昱ㄹ摡改㥣搳〸㈲㐷捤捡㠱㔴㈹㑣㑥搵㥦㘶㥦㌳挸㉥㥣扦㍣摦㡡捡㝤㡣㔸㜵㡥晥晤ㄴ〹㉦㠹愲ㄹ〲愱㜷㙥㥦㈲ㄴ搶㤱㙥挰㝦挰㌷㥦㍡㠹慦㘸㑡ㄸ搲摥扥㔶㜱づ㌱愴ㄱ㜳挱㔸ㄱ㌶㈲搱㡥ㄱ敥㔳て㌴㘲ㅤ挳づ愲戶ㄹ捦㜱っㄲㄶ㠹戲㔲㌳㐸扦㔳㡤搰扢㘸戹扡㠹㑣㔲㕦㔴㘵㕣㐷㤵㜱㕤㔶㡤㤸㤷ㄸㄴ㤴㘵㡥攵慤ㅡ扥ㄵ慥㌹㔶慤挰〷〶敥㜶〵㐵㠲挵㈹㜷攳ㄴ㑢㡣㠹づ㕢晥㌲っ戶愰っ㘴㤷㈱㐵戹㜵㐴㍥攸㌶慢攵昱愳昵改㔶㠲㜸㤱㍥㔲晤ㄹ㡣㤶㤳㜷㈲㈰㜰㘴扡ㄹ摦扣戸昹〶㙡㤴㔷㡥㔸㑦㈱ㄱ昸〳ㄳ㈲㥥捥敤扣㜹搹戵㐲㘰㡦ㄸ㥢戳挲搹〰㈸㐷㠶愲㍣摣摥㉤戱㥡攸㌴搹搴〹昷㜷㌷戵㈹㠹㈳摤敤㐹慤昱昰ㄶ捤㑡㥦㈴搴挸㜶㐰㔲慦㙣㌱挷摤愴㘸㌴愹戶㘳㕤愳愵㌹㑤㕢晢㑥ㄹ昲㌱搴㤲愴㤹㡣㝥㔶ㄲち㐲扣愴づ㘸㈸㝡敢搳挹㈳ㄱ慢愱〵㔰愴㤶㔲㜵愵㈸ㄸ㌸㡦ぢ㈷㜵㔱㡣㥥挰摦晢愲攲㘲㈳㙣㙢㌱慥㡦㐵㉤㔳戶扤攸挲㐶愸ㄹ㝥㝤㤷戰㌴搶愶昴㡢攴捥㝥㜵扦摡摥〴㈳㐶㙣挸㠰㐸㡡ㄷㄸ㙣〸收㑡挴㔲㘹㥢㤵戸搵捤敡〲㥦㉥ち挳㤵ㄸ愸㠴昵㔹戱㈱㡤戰㤶ㅤ㍦㈶㍢㌴捦㡡㔲㡥敡收搴㑡〰㠵ㅥ㔲㡥㐷㈵挹攰扡㜹㠹㑥㈹㕣㕦㠰搸㡤㑡㑢戵㄰㐱摤收〰㍣ㄷ散ㅥ散㘰㐷㔴搰㠴戶ㄹ㈵㘸㍥㠵㜰摢ㄷ㐱摥改ㄳ愳㄰愴愶㑣晦㍣愷扤晤㍤愶㥦㥤换挴㠵㠸㠹ㄸ攸㑡戱ㅤ㠰摣㘴㑣㤲㕣㌴ㄶ㠷捡㤵㘴㤳㐲㙢㈴慥愳㠱㔱愲挱攷㠷戸扦挳㈸搶㈸搹挶挶敤戶搰㠲㌶戵㌷昷㤹昳㙥捤㙥搴㠵㔴挵戱慣㤶ㅡ㜹㔷攰㑢㕥晣㔳摣㤴戲㉦搱愶捣攳㈰挵㈵ㄳ㐹晤㕢摤晡攷搰㕤ち㌹㡣愱㘴ㅢ㐳㡦㈹㑥㌹ㄹち敢扡愱㐰敢昰㐰敢敡㠲扣㌶〷㤱搶㔵㐵㔹戶㠰㥢㜸捤昸戱攴戶〴搸㠲户攰搱㘲㑦㔴㕤戰㔴搵慥挰ㄱ搶愹〴㕥㍥て㘳愴㑦敥攰㈰㤹㥢㔱㕣昷收ㅢ昲㌱㜳昳㕣㘴㝣㘸㡣敥昲っ㤴挱慥㠲㤱㘸㙥㘷㕢㌶户挶戸㉦敤㙥晤㔹㘴ㅡ〳挰㌴㘸〱愹っ㥣㘹㤴户㌷㜰ㄸ㡡㑣㠹㡤㈶挳愸㡣㔰㡥挱㕤て愴㠱㥢㜸㡣㕥昶愰㠴挲㜱㜹㈵㉣扥㤵㌸改攰〰攴昹㠷㍡㉡㤷㡣㄰ㄷ㕦摣挳ㅤ搵㔳昵㍡捤㕤㜸攷㜶〵㔶㜱㘹㐳㤹愳攳ㅤ搷戱攴㥡㘸摦㍤搴搱㄰㕤ㄳ㍣㌱㕢扥㘰㠴戵戵㑡戸愹慥㙣昵㑢ㄲ戹摦挱ㅢ戱攵摢㘹㌳て扡扣㠲扡挱扤㉦㕥㜵扤㙢慥㥣㔷㉥攰㝤㍦㕡戱晡搰㄰㈷㔹捣㝣㠴ㅦ㤹戲㤹摣㙦㌱攲㑥愶捤〱㕡敥ㄱ㡥㈳㤳㤲〶ㄳ㈸愷搰〹㙣昷收㝤〱搲挹㜸〷㥤㐸㐱戰㐷㈸敥敡㈷㐶㈸摡㙦㠰㔶ㄲ㡢㍡㤰㘳捦摦〱敢㙢扦㐶つㄱ㡥攷㐸㡣攴ㅥ㐰㈹〵㜵㔲㤰㐷㤷㍢㜸ㄵ攴晦〷㑢㌱㌷㙦挹㑥晦〵㘶搶摥敦㐴搱ㄱ愲攸㔷摤㈸㘲ㄸ昶㤶〲摥㥣晤摥㔱昳㔳扦搴晢㍦㍣㙡㝥ㅥㄸ㘶㤲搶ㄸ㐲㙡っ挵㌷㡤㠱㙣㤷㌱昰〸㥡愵㌱昰㍣晢㌰㕡慦㡣㠱挸摢㜱ㄱㄵ摢ㅢ〳㡣攱愵㤸㝣㠹㤰㙡挲㠱挱戳搶㈱㠷㥥戰ぢ戸㕣㉢〲挴敤愱㥥㠲ㄹ昸㥥敥散慥㕥㌲㝣挳㌹㉣敢捦晢〲㙡换㕦挶㙤㙤搹㠵㍤敥摥戲㐵㜶摡挲㉢ㄱ㝢搳昷㍣㈷㍢扢愳づ㑣愹愴摣昴㕡㐱换㝦っ㥦㠸挶ㄳ㐲收昵昱㜷捦晦攵戵㌷捦昱㔶㕡㐴慢㌹㠶㠱晢〹捤搳㜲㐰昰㌶㜱㈱攴㈰㍦扥戹㠸㡦㤰慣㜵㕢㑣ㅢ扥戴㜷〲摤㠹㡢㡡昰ㄲ㠴愹㠸㙦㌷ㄸ㤳戸摦愰㡣挹㜲㠷㘳㔳㝥扣㈴㥤㠱攵挴挴愵昷㉥づて㙡㍤㔵㔶㥦㜶㘵敥ㄷ㔰㍡户㌸㤱㜶㝢㤰攷㑢㈶㑤㝢慦㔳慢㥤愶㔶㤳㘶愲㌶〹㠸㔸㑡㈱捥㐰ち㐹ㅥ㔹ㄸ昸㤷㔲㙡〹㠵㕣ㄹ㔹㑡〴慤㌳㤴换㤳晦㥥㄰㄰捤换㝤㝤㝥愸㠲㕤〴ㄶ㘳慦㝢扦㘷㔷㕡㥤戱㙡㘲㐸㔶㥥㍥㕥㐴㐱ㅥ㔳㔸挱ㄸ慤慣扤㠴㐲㥣㜲挷㔱摡戱攳㠹㉦㈹㌹㉡挰愶ㄸ㍢攷搰慢㔶㜴㥥㜳ㅢ戸攱〱㍤㤳㤷ち挳㍤挰㙡ㅣ㍤㘵㉣㑥㠱ㄶ㔵ㄵ昳㔱㔵㙣㜶ㅡ㡥㥡愰戳摣挳㌸㝦㈲挸挷慦㠱搸㍥搹ㅡ晡㘰㘷ぢ㜵㥣㍢㠴〵昲ㄷ昶搷㤱ㄴ挶挶㕢挹㌱㤰戰㍢㠲㉡愸㉢攰ㄵ㜴㤱昶扣愶户㡡㝣㤷愶㌱ㄶㅤ㜳搶㐰户晥㘷㤴㕡㜲搶㌲愱ㄹ慥㙥搳晦㔷㔰戱慤晥搷ㄸ㘳㤳㈸㝢㈹㉡昰㈱挷㐸挹戶挱ㄹ敥〸㝣搸〸搳挸㈳戰㉥㡢っ㙤慢㔲〵ㅦ愷慡㘶㈹挱攱攱ㅡ散扣〲搱散㑢摢㜶戸愷〰㘴ㄴ㈸昷㔳㠸愰㥥晤㌹改敥㜳㙣晥ぢ愸ㅥ扦㘸搵㝣㉦昰捣㜰愲㠲攰敥〴扦㉦㌳㘱昳㑣㘹敦㜴ち戵㠷戰ㄳ㈳㉦愳捦挲㈲〴昶ぢ㈲晣㘴㘲㡥㡣㈰散㉣㘲挱㉦㡤昶㈷挲㐸搴つ挱ㅤ收㡢つ挳挶挷愹㡢昰㘹㠶慣摡ㄵ慡㑥㜹㤶㍢敦㘱㜰攳㜰ㄳ敢㜹昸㝤㠴㕤㐶㄰㑣㉥攱攵㔷戸慢㥤㝢搰づㅢ慤㉤㈰㘴㝦扥戵㘲敥㈷挰攸捥摥搲㑥㌰㝣㈷扦㌹㔶㝥て晡㐵㜷敥㠴攵㐸㘳愰昰攸㔳㙤㍡扢㈶㙤戸挸㜶㄰摦㝥〵㕤戵㘷㤹攱㔷晦㘲㔴攰㠳㐶㑦摥㌳㉣晣〸㑢㈲改愳㥣挹㝦〹㔹㙦㝡晥㈱挰摡扣〳愴㘷㡤㠷ち㔲㘰㔱晢〱摡戹㐳捤㤵㙡昲攰㠰㌶扤㠶㉣㑥ㅡてづ昲摤摦〷㜰昳摤〲戵扤摦晤昶㤶敦愶捡㤷㙢㑢㡥扦㍦㔶ㄹ晡ㅡ㥡㜵㡢搹慢捣慥㈲摢ㅦ㙢㡥㔱ち㐳㑡㤸扣ちㅤ扣㝦づ㘵愴㍦㐶㝦㍦㍣昷挱敦㤹晥㜱㑥㤳攲て㑤敤慢愰昸㤳慢昸㙥㜲ㄵ㉥㙡㝢慦攲㍢㕢慤㘲㍦㈵㈳㘷愲慦㈳㉢つ㘸ㄲ㙤㝣㙥㕢ㄵ搱㈷愱㝣〹戵㍦㙥捣㜱㤵㈹摦攴㐸㤳㠷㜷ㄸ改㠸挹㉢㑦㙡㕥㈹扡㠲ㄳ戹㔰㜷〵挳㐷捥敦㥥㔲㍡摦㘷㜸㕥晢㜶扣敢ㄷ㉥挴ㅦ㍣㘵愳㠰ㄱ戰慥㡣㑣㔲〹㌷㔲晢㔶っ晣摥㉦㕢晥㑥㌴㈰㠱㌴ㄴ㌰愹㐹〲扦ㄵ〳㥦挰挷㔴ㄲ㈶挳昰㍦搳㠷㌱㌰愹㑥〲㝦㌳〶晥晢㠹挳㑤攰㤸挸㈲搱㐰ち㐸㌱㕦愵㐱㥦昸戰㥡攷攴㥣㐹㤵㌸㙣慡㙡㡡㐳ㄹ昷戵愵㔲ㅣ挱㑤づㅦ㥦㌶㉦攰㕡ㄲ敥㙦㐰㜲慡晦攱㘰ㅥ搷㤵㘶㡤搰挰㤷换ㅢ㠸ㄴ晢扡㝣㘲攷扣戹攸愳㘲挸㥣て㜰㑣慡敦㉡ㄲ㠱㠶ㅦ㔴晢扢㡤㐷㍤挵ㅡ㙣敤㐷ㅣ攱捡昲〲㐸㝦ㅡ㐱㐶㐵〶戵㙦挴㤸捤摣㘸搱㡣扥〹攴挰挹㠲㥣㠵愲㡡愰㡣昳㐱㈳ぢㄳ搵昹搷㤱㡤挶晦㠵挴挴㠶昴㜲㘴戵㌷攳昱㤲㤴愲㝦㠵ㅤ扥㡡㙣〰敥㔵㉤愲戳戶㜱㜳㝣攵㡥搷捥㤹昵愹㔸㙥愰慢挶昹昰㠵晡搷昸㜴㠳ㄹ㥦㘲戹㠴㜲㐶㤳㑤㥤戵挳晦〱㙦㐷捥ち</t>
  </si>
  <si>
    <t>Decisioneering:7.0.0.0</t>
  </si>
  <si>
    <t>CB_Block_7.0.0.0:1</t>
  </si>
  <si>
    <r>
      <t>CO</t>
    </r>
    <r>
      <rPr>
        <vertAlign val="subscript"/>
        <sz val="10"/>
        <color indexed="8"/>
        <rFont val="Calibri"/>
        <family val="2"/>
      </rPr>
      <t>2</t>
    </r>
    <r>
      <rPr>
        <sz val="10"/>
        <rFont val="Calibri"/>
        <family val="2"/>
      </rPr>
      <t xml:space="preserve"> Flux: forest</t>
    </r>
  </si>
  <si>
    <r>
      <t>Mg CO</t>
    </r>
    <r>
      <rPr>
        <vertAlign val="subscript"/>
        <sz val="10"/>
        <color indexed="8"/>
        <rFont val="Calibri"/>
        <family val="2"/>
      </rPr>
      <t>2</t>
    </r>
    <r>
      <rPr>
        <sz val="10"/>
        <rFont val="Calibri"/>
        <family val="2"/>
      </rPr>
      <t>/ha</t>
    </r>
  </si>
  <si>
    <r>
      <t>CO</t>
    </r>
    <r>
      <rPr>
        <vertAlign val="subscript"/>
        <sz val="10"/>
        <color indexed="8"/>
        <rFont val="Calibri"/>
        <family val="2"/>
      </rPr>
      <t>2</t>
    </r>
    <r>
      <rPr>
        <sz val="10"/>
        <rFont val="Calibri"/>
        <family val="2"/>
      </rPr>
      <t xml:space="preserve"> Flux: grassland</t>
    </r>
  </si>
  <si>
    <r>
      <t>CO</t>
    </r>
    <r>
      <rPr>
        <vertAlign val="subscript"/>
        <sz val="10"/>
        <color indexed="8"/>
        <rFont val="Calibri"/>
        <family val="2"/>
      </rPr>
      <t>2</t>
    </r>
    <r>
      <rPr>
        <sz val="10"/>
        <rFont val="Calibri"/>
        <family val="2"/>
      </rPr>
      <t xml:space="preserve"> Flux: wetland</t>
    </r>
  </si>
  <si>
    <r>
      <t>Average CO</t>
    </r>
    <r>
      <rPr>
        <vertAlign val="subscript"/>
        <sz val="10"/>
        <color indexed="8"/>
        <rFont val="Calibri"/>
        <family val="2"/>
      </rPr>
      <t>2</t>
    </r>
    <r>
      <rPr>
        <sz val="10"/>
        <rFont val="Calibri"/>
        <family val="2"/>
      </rPr>
      <t xml:space="preserve"> flux</t>
    </r>
  </si>
  <si>
    <r>
      <t>CO</t>
    </r>
    <r>
      <rPr>
        <vertAlign val="subscript"/>
        <sz val="10"/>
        <color indexed="8"/>
        <rFont val="Calibri"/>
        <family val="2"/>
      </rPr>
      <t>2</t>
    </r>
    <r>
      <rPr>
        <sz val="10"/>
        <rFont val="Calibri"/>
        <family val="2"/>
      </rPr>
      <t xml:space="preserve"> flux per MJ capacity</t>
    </r>
  </si>
  <si>
    <r>
      <t>g CO</t>
    </r>
    <r>
      <rPr>
        <vertAlign val="subscript"/>
        <sz val="10"/>
        <color indexed="8"/>
        <rFont val="Calibri"/>
        <family val="2"/>
      </rPr>
      <t>2</t>
    </r>
    <r>
      <rPr>
        <sz val="10"/>
        <rFont val="Calibri"/>
        <family val="2"/>
      </rPr>
      <t>/MJ</t>
    </r>
  </si>
  <si>
    <t>Choose scenario</t>
  </si>
  <si>
    <t>Reduction</t>
  </si>
  <si>
    <t>Estimated EtOH GWI</t>
  </si>
  <si>
    <t>Gasoline baseline GWI</t>
  </si>
  <si>
    <r>
      <t>g CO</t>
    </r>
    <r>
      <rPr>
        <vertAlign val="subscript"/>
        <sz val="10"/>
        <color indexed="8"/>
        <rFont val="Calibri"/>
        <family val="2"/>
      </rPr>
      <t>2</t>
    </r>
    <r>
      <rPr>
        <sz val="10"/>
        <color indexed="8"/>
        <rFont val="Calibri"/>
        <family val="2"/>
      </rPr>
      <t>e/MJ</t>
    </r>
  </si>
  <si>
    <t>af60bdd8-bbd2-4a06-a002-14070fee49b5</t>
  </si>
  <si>
    <t>㜸〱敤㕣摢㙦ㅣ㔷ㄹ摦㔹㝢搷㍢扥挴㘹散愴㑤㉦愹㝢愵慤愳㙤慥㙤愳ㄲ㕣㕦敡挴搴㠹摤慣㤳ち㔵敤㌲摥㍤㘳㑦㌳ㄷ㌳㌳敢挴慤愰㐵慡㄰㉡昰㠰㜸愲㐲㈰㈴㔴挱ぢ㔲㜹〰捡攵㍦愰㠸㈷挴ぢ㔲㜹攱愵ㄴ㐵攲㤱㠷昲晢㥤㌳戳㍢扢敢ㅤ㍢摢ㄶ㌶挸挷昱昱㤹㜳扥㜳收㥣昳㕤捦昷㥤㐹㐶换㘴㌲ㅦ㈳昱㉦㔳㍦ぢ㜷㤷戶㠲㔰㌸挵㔹捦戶㐵㈵戴㍣㌷㈸㑥晢扥戱戵㘸〵㘱ㅦ〰昲㘵ぢ敤㐱慥ㅣ㔸慦㡡㐲㜹㔳昸〱㠰㜲㤹㑣愱愰㘷搱捥㐱昸扢㍦㝥搰搹㙢戸ㅦ搹愵搹㤹愵搵㔷㌰㙡㈹昴㝣㜱㜴攲㡡敡㝢昶挹攲挹攲㤹㈷㡥ㄵ㡦ㅤ㥤㤸慤搹㘱捤ㄷ㘷㕤㔱ぢ㝤挳㍥㍡戱㕣㕢戵慤捡㜳㘲㙢挵扢㉡摣戳㘲昵搸挹㔵攳搴㔳挷㑦㥤㍥㙤㥥㌹昳搴㌰㕥㥣㔹㥣㥤㔹昶㠵ㄹ㝣㉡㈳收㌸摤㔳㜳愲㘲㜱㕤㐲昸㤶扢㔶㥣㥤挱扦挴摣昱昴㘴戱戴㉥㐴挸ㄷぢ㕦戸ㄵㄱ攸攸㌸攴㑣〷㐱捤搹攰挶改捥㍣㤶㔹㌱㠲㌰攷捣ち摢搶㥤㜸搴㠲戳㠴㝤戳㡤慤㘱愷㈴摣挰ち慤㑤㉢摣捡㍢㉢ㄸ愸㍡攲㕣づ挴㈵挳㕤ㄳㄷつ㐷攴㥣㜳㌵慢摡慦㔲愶敦㜳昱㄰挹㠹挹挵ㄷ愷〳㘷㜶摤昰攵㡣〲㙥㑢ち散扣㕦㘹㠶㝤愰昳戸㥣扡㝣〳挷㝣愸㌳ㅣ㕡慥ㄸ㝥ㅤ㜲戲㌳㘴戴昸收ㄹ㍣摥ㄹ㍥戱㐷捤㝤ㅥ敤摣㐷㙥㘵㌳戴㌶ㄴ搱戶摣㔱㉣㐶捦㌳ㅢ㘰㔶㘰㐶〴敡㠳捣㠶㤸つ㈳搳晡晦〵づ㐹㜶㘴㔳戶㙣㘴换慢搹㜲㈵㕢慥㘶换㈲㕢㌶戳攵戵㙣㜹㍤㕢戶戲攵㔷戲攵慢㠰㠹㔳㘱㘰㈰ㅢ愵㝦㝦昴昹挷愶㕥㍥㝤昱ㅢ挶㠷ㅦ晤㉡㜷晦㕦㠶昷〱攸昹㘸㔲㜳扥㜱つ愴搶愰攱ㄳ㐵㜰挴㙥㜸〲㉣㘱㥥㌶㥦㌴㡦ㅦ慦㥥㍥㘶㥣㌴㜲㕣㔶ち昲㥢〸㘵㍦㘰㠷捤ㄷ㉣户敡㕤㤳戸扢㝢挶〸㐴㘳攳㈶愳戶ㄹ慦收㔶㠳扢戶㙦㉣㠵㐶㈸敥㙣㙤㙢っ搲搶慤〴戶ㄲ㠱㝣摦㤱搶㙥㔷っ扢㈶愶慦㕢慡昹㥥㤶㘶㘷搹昷㔶㍢户捥晢攲㉢昵搶戶ㄹ㑤㐳愰㙤捡戱摢㔶愹㥡搴扣㈶㘶搷扤㐰戸㜲㝡㤳捥戲㔵戹㉡晣㤲愰㌸ㄴ㔵戹搴㠳㙣㡡戸㝥㜲挹挵㐲挱慤搵晢㤳戵收戳搷㐳㌰戳愸㘲扥ㅢ挲て户㔶㡣㔵㕢ㅣ㙡〲㔱敦㐴挳攱愶敡㜹慦㔲ぢ㘶㍤㌷昴㍤扢戹㘵扡扡㘹㐰搲㔴㉦㜸㔵搱摦㥦㤱㐲〱挲戶慦㑦搳㌲㡦㜵收〵㠹㠸〴㡡挹挸㜷㌴㤳㕤昱ㄲ㔶㠷㔵搸㠲㌴㤹㝤㜰㠷挱㌸㕦㈹㘳㔲㌸㌰戱㈶敡づ扥昴㤱ㅤ㠶慤㘳敥戳〵捥㘶挷愲搵㍦扢㈹摣昰扣攱㔶㙤攱愷㙡㍥㡤㌳搲㐷㤱攵㙥㐰㈰㜴摣㍤慡㌹敤扡戶㤵扢㘶㔵挳昵晣扡戰搶搶㐳搴㐱㍢ㄶち摣摡戶愴摦㠶㉡晤〰戳㌱㘴㠳㠳㤹晣㌸㠱昲㠳㐸㤹ㅣ愵㔳ち㉦㌷〹㜲昶㙢攲攵㘱㜳摥戲㐳愱㠴昲愸〹㡣㈸慤㈶搱㌷㐲ㄲ昵㡤㡡㔲ㄸ攳收㉣愸搴戰摣㜰慢挱户㙤㕣愲㠸㘸㑦ㄶ昴㥣㉣愰㈸㘸㤶〷㈹扣〶愲㘹㤱〶改挰〹㈲㈲ㅢ愴㘸㜶㡣摣㑣㘴㠴㑦㤱ㄱ㠰㑦ㄲ㈱愱㡦㜵㤶ㄱ㈴昶㜶㈲㘵愷㡥晣戸㈷捤戶戳攳㤵㌴㍢㠸㡤搳て㌱扢㥤搹ㅤ捣づ㈳搳晥づ〹㐷㈹㠷㜲㜳搲敦挲戳㝥㌷戳㝢㤰㐱㍥改㤴㌹㤱愸愲つ戵ㅢ㍢㤲㜰㈳戰㤳愵㔱慣㐴ㄱ㉤攳扡㥤㌹攲㐸㐴㐷㔶㘷㙦攸摡㝥愹㘳ㅦ敥㑣㥢挹攵㤰㈲㔳㐰㤳㙢摤〱㌴戹ㄱ〴敤㔲㙦摤㡢慥晡〴戳晢㤰㈹挵㐲㘳㜷㜷搶㍣捤挹㕢挲㈴㔲㠶㔰㤷捡㍤㈲㘲㥡晦㈹〲慥敤攸戲㘷㍦搳ㄴ㥣㌴㙦㜹晢昹㘸㘷摥㡥㤰摥愲㌳昷㜴づ晤㐴㌷㘹㐱摦て昶搲晥摡㔱扦㍣㠸㘶晤㈱㘶て㈳㙢搱㉦㍣㜹摦慣㤷㐰㥡挴㑥〲㜳〷攸㜱㤱ㄶ敥捡搶㠶㤰摡㘷搸㕣㌱晣㌵ㄱ挲㝢戱㌰〷㍢搸昳㝤㘱攳㐰㕢㤵ㄵ㍣扢摣摥㕣ㄹ捣晢㥥挳晡㍤晢㌸戸㈵ㄴ㐳㝦㝦戶㉦搳㘲ㅦ愷搸㤹〹㝦㔳㠲㜲愸㝦㑦㜶ㄶㄲ㠹㑥捤攴挵㝥改㘷换㍤㐹搲㠵㈴㜹〴摢慡㍦㡡っ㔲㐲晢㜳㐷㠹㌲㐹戰愳ㄲ慣搹㕡愵㜷㉦攵㘴搲攲㍦㙣㤳㈳㐳捡㔹㍢〳摦㐱㌰攲㤴㉣愷㉥㉣㠶㥣㘵攱㔷攰㔷戰㙣㌱愸㕣戲ㄴ㌵㝢戲攲ㄶ㤱ㄵ㝤㝤㙤㘷改ㄴ摦㥡愴㤳ㄶ㈹㤱捡敤愹㡤㈹攷昰〶㔱搱〵㐹愱㤲攲ㄶ慡㑢㈰㔲ㅥ㘱昷㐴㑣ㄷ㈲愶㠸㡤搳ㅦ㘷㜶㡣搹㜱㘴戹㍦㐲搲散㜶攳ㄹ〶ㅢ搸愴㍢扢㕣捥ㄴ㠸〶改ㅥ㝣扦愳戰㍡挵搷㥣㘶昶〴戲ㄶ昳㠷捥挷ㄴ㐲㤴㈸㑦㄰㈲慤㈵摤扣㘲㠹㙢愴㠱㝤㈶㠲㑡戳戵㈰昴ㅣ㐶㤵㐶捣㌹敦愲ㄷ捥㔹挱〶愲㔰㘳㘶㔴㜸㘱㕤戸愰㉥ㅦ戶㑦㑢㥤户戱㈱慡扡㔹昲㙡㄰㙤ぢ㜳扤㜰㈸挷晡㘰㑢捡㜳㜹㔶㐳敡敥㙣㡣㈱㌴㜹㈲㠶慦㤵㥥搸㕤㜹扥㜹攸ㅢ㙤散攸㡡ㄵ摡㘲挸㔴㑣挷㜲挱挴㉥㈲㙡㔰ㅤ㌰㔷搶㝤㈱收㐶捣㜳扥㔵戵㉤㔷㄰ㄹ戰㌱ㄹ愸㕢ㄴ㙢㠸㄰㉣㝢㡣晦㜹敥㠸戹攲ㅢ㙥戰㘱㌰㤸戸㜵愰改㐹㠶㐴㜲收㡣攵〶㜸㡤挴㈲换愳㘶㘹摤扢㠶㐸㙤捤㜱捦ㄹㅢ㐱㑦㘰㠵㐴慦㤲㐴㡤㤶搵戲㔹慤㤰㉤㜴㡢ㅦㅥ挸㌳㤹ㄳ昸敤㘷㈶㜱㤵挹搱㕦㥥愲扤㘹搷㐷昱ㄹ摡改㥣搳㌰㈲㐷昵捡扥㔴㈹㑣㑥搵㥦㘲㥦㌳挸捥㥦扢扣搰㠸捡㝤㠲㔸㜵㡥晥晤ㄴ〹㉦㠹愲ㅥ〲愱㜷㙥㥦㈲ㄴ搶㤱㙥挰㝦挰㌷㥦㕡㠹㙦搰㤴㌰愴扤㝤㡤攲㍣㘲㐸挳收愲戱㉡㙣㐴愲ㅤ㈳摣愷ㅥ㘸挴㍡㠶ㅤ㐴㙤戳㥥攳ㄸ㈴㉣ㄲ㘵愹㘲㤰㝥愷㙢愱㜷挱㜲㜵ㄳ㤹愴扥愸捡戸㡥㉡攳扡慣ㅡ㌶㉦㌱㈸㈸换ㅣ换㕢㌳㝣㉢㕣㜷慣㑡㠱てっ摣昵〴㐵㠲挵㈹㜷攳ㄴ㑢㡣㠹ㄶ㕢晥㌲っ戶愰〸㘴ㄷ㈱㐵戹㜵㐴㍥攸㌶慢攵昱愳㜵改㔶㠲㜸㤱㍥㔲晤㘹㡣㤶㤳㜷㈲㈰㜰㘴扡ㄱ摦扣戸昱㍡㙡㤴㔷㡥㔸㑦㈱ㄱ昸〳ㄳ㈲㥥捥敤扣㜹搹戵㐲㘰㡦ㄸ㥢户挲戹〰㈸㐷㠶愲㍣摣摥㈹戱㥡攸㌴㔹搷〹昷戶㌷㌵㈹㠹㈳敤敤㐹慤昱攰㌶捤㑡㥦㈴搴挸㑥㐰㔲慦㙣㌳挷㕥㔲㌴㥡㔴摢戱慥搱搲㥣愶㡤㝤愷っ昹〴㙡㐹搲㑣㐶㍦㉢〹〵㈱㕥㔲〷㌴ㄴ扤昵改攴㤱㠸搵搰〲ㄸ愴㤶㔲㜵㈳㔱㌰㜰〱ㄷ㑥慡㘲㌰㝡〲㝦敦㡢㡡㑢戵戰愹挵戸㍥ㄶ戵㑣摢昶㤲ぢㅢ愱㘲昸搵ㅥ㘱㘹慣㑤改ㄷ挹㥤摤敡㝥戵扤〹㐶㡣搸㤰〱㤱ㄴ㉦㌰搸㄰捣㤵㠸愵搲㌶ㅢ攱㔶搷慢ぢ㝣扡㈰っ㔷㘲愰ㄴ㔶攷挴愶㌴挲ㅡ㜶晣㤸散㔰㍦㉢㑡㌹慡㥢搳慢〱ㄴ㝡㐸㌹ㅥ㤵㈴㠳敢收㈵㍡愵㜰㝤〱㘲㌷㉡㉤㔷㐲〴㜵敢〳昰㕣搰㍢搸挱㡥愸愰〹㙤㌳㑡搰㝣ち攱㌶㉦㠲扣搳㈵㐶㈱㐸㑤㤹晥㌹愵扤晤㝤愶㥦㑤㘵攲㐲挴㐴っ㜴愵搸づ㐰㙥㌲㈶㐹㉥ㅡ㡢㐳攵㑡戲㐹愱㌵ㅣ搷搱挰ㄸ愱挱攷㠷戸扦挳㈸搶㈸搹挶挶敤戶搰㠲㌶戵户昶㤹ぢ㙥挵慥㔵㠵㔴挵戱慣㤶ㅡ戹㈷昰㈵㉦晥㈹㙥㑡搹㤷㘸㔳ㄶ㜰㤰攲㤲㠹愴敥慤㙥晤ぢ攸㉥㠵ㅣ挶㔰戲㡤愱挷ㄴ愷㥣っ㠵戵摤㔰愰㜵㜸愰㜱㜵㐱㕥㥢㠳㐸㙢慢愲㉣㕢挴㑤扣㝡晣㔸㜲㕢〲㙣搱㕢昴㘸戱㈷慡捥㕢慡慡㈷㜰㠴㜵㉡㠱㤷捦挳ㄸ改㤲㍢㌸㐸收㐶ㄴ搷扤昱扡㝣捣摣㤸㡡㡣て㡤搱㕤㥥㠱㌲搸㔵㌰ㄲ捤敤㙣挳收搶ㄸ昷愵摤慤㍦㠳㑣㘳〰㤸〶㉤㈰㤵㠱㌳㠳昲捥〶づ㐳㤱㈹戱搱㘴ㄸ㤵ㄱ捡㌱戸敢㠱㌴㜰ㄳ㡦搱㉢ㅥ㤴㔰㌸㉥慦㠴挵户ㄲ㈷ㅤㅣ㠰㍣晦㔰㑢攵戲ㄱ攲攲㡢㝢戸愵㝡扡㕡愵戹ぢ敦㕣㑦㘰ㄵ㤷㌶㤴㌹㍡摥㜲ㅤ㑢慥㠹昶摤〳㉤つ搱㌵挱ㄳ㜳挵昳㐶㔸㔹㉦㠵㕢敡捡㔶户㈴㤱晢㍤扣ㄱ摢扥㥤㌶㜳扦换㉢愸㥢摣晢挱慢慥㜷捤㤵昳捡〵扣敦㐷㉢㔶ㅦㄸ攰㈴〷㌳ㅦ攳㐷愶㙣㈶昷㍢㡣戸㥢㘹㜳㠰㠶㝢㠴攳挸愴愴挱〴捡㈹㜴〲摢扤㝥㕦㠰㜴㌲摥㐲㈷㔲㄰散ㄱ㡡扢昶愹ㄱ㡡昶㕢愰㤵挴愲づ攴搸昳㜷挰晡摡㙦㔰㐳㠴攳㌹ㄲ㈳戹晢㔰㑡㐱㥤ㄴ攴搱攵づ㕥〵昹晦挱㔲捣捤摢戲搳㝦㠱㤹戵昷㕡㔱㜴㠴㈸晡㜵㍢㡡ㄸ㠶扤愹㠰㌷㘷扦㜷搴晣捣㉦昵晥て㡦㥡㕦〴㠶㤹愴㌵㠶㤰ㅡ㐳昱㜵㘳㈰摢㘶っ㍣㠴㘶㘹っ㍣挷㍥㡣搶㉢㘳㈰昲㜶㕣㐰挵捥挶〰㘳㜸㈹㈶㕦㈲愴㥡㜰㘰昰慣㜵挸愱㈷散㍣㉥搷㡡〰㜱㝢愸愷㘰ㄶ扥愷摢摢慢㤷つ摦㜰づ换晡㜳扥㠰摡昲㔷㜰㕢㕢㜶㘱㡦㍢户㙤㤱㥤戶昱㑡挴摥昴㍤捦挹敥敥愸〳㔳㉡㈹㌷扤㔶搰昲㥦挰㈷愲昱㠴㤰㜹㙤晣攷攷晥昶敡㥢㔳扣㤵ㄶ搱㙡㡥㘱攰㙥㐲昳戴ㅣ㄰扣㑤㕣〸㌹挸㡦㙦㉥攰㈳㈴㙢挳ㄶ㌳㠶㉦敤㥤㐰㜷攲愲㈲扣〴㘱㉡攲敢〵㘳ㄲ昷ㅢ㤴㌱㔹㙣㜱㙣捡㡦㤷愴㌳戰㤸㤸戸昴摥挵攱㐱慤愳捡敡搲慥捣晤〲㑡攷㈶㈷搲㙣て昲㝣挹愴㘹敦戶㙡戵搳搴㙡搲㑣搴㈶〱ㄱ㑢㈹挴ㄹ㐸㈱挹㈳ぢ〳晦㔲㑡㉤愳㤰㉢㈲㑢㠹愰戵㠶㜲㜹昲摦ㄳ〲愲㝥戹慦换て㔵戰㡢挰㘲散㜵敦昶散㑡慢㌳㔶㑤っ挹捡搳挷昳㈸挸㘳ち㉢ㄸ愳㤵戵㤷㔰㠸㔳敥㌸㑡扢㜶㍣昱㈵㈳㡥ち戰㈹挶捥㌹昴慡つ㍡捦扡㌵摣昰㠰㥥挹㑢㠵攱ㅥ㘰㌵㡥㥥㌲ㄶ愷㐰〷㔵ㄵ昳㔱㔵慣㜷ㅡ㡡㥡愰戳摣挳㌸㝦㈲挸挷慦㠱搸㍥搹ㄸ晡㘰㙢ぢ㜵㥣㍢㠰〵昲ㄷ昶搷㤱ㄴ挶挶㕢挹㌱㤰戰扢㠲㉡愸㉢攰㈵㜴㤱昶扣愶㌷㡡㝣㤷愶㌱ㄶㅤ㜳㔶㕦扢晥㘷㤴㕡㜲搶ち愱ㄹ慥㙥搲晦㔷㔰戱愳晥搷ㄸ㘳㤳㈸㝢㈱㉡昰㈱挷㐸挹㡥挱ㄹ敥〸㝣搸〸搳挸㈳戰㉥㡢っ㙤慢㔲〹ㅦ愷慡㘶㈹挱攱攱敡㙦扤〲㔱敦㑢摢㜶愸愳〰㘴ㄴ㈸昷㔳㠸愰㡥晤㌹改昶㜳㙣晥㑢愸ㅥ扦㘰㔵㝣㉦昰捣㜰愲㠴攰敥〴扦㉦㌳㘱昳㑣㙢敦戴ち戵〷戰ㄳ挳㉦愲捦攲ㄲ〴昶㐵ㄱ㝥㍡㌱㐷㐶㄰㜶ㄷ戱攰㤷㐶晢ㄳ㘱㈴敡㠶攰㌶昳昹㥡㘱攳攳搴㈵昸㌴㐳㔶昵㠴慡㔳㥥攵搶㝢ㄸ摣㌸摣挴㝡づ㝥ㅦ㘱ㄷㄱ〴㤳㑢㜸昱㈵敥㙡敢ㅥ㌴挳㐶㙢ぢ〸搹㥤㙦㙤㌰昷ㄳ㘰㜴㜷㙦㘹㈶ㄸ扥㤳摦ㅣ㉢扦〷晤愲扢㜷挲㜲愴㌱㔰㜸昴愹㌶㥤㕤㤳㌶㕣㘴扢㠸㙦扦㠴慥摡㌳捣昰慢扦ㅣㄵ昸愰搱㤳昷㌴ぢ㍦挶㤲㐸晡㈸㘷昲㕦㐶搶㤹㥥㝦〴戰㈶敦〰改㔹攳愱㠲ㄴ㌸愸晤㄰敤摣愱晡㑡㌵㜹㜰㐰㥢㕥㐱ㄶ㈷㡤〷〷昹敥ㅦ〰戸晥㙥㠱摡捥敦㝥㝢摢㜷㔳攵换戵㈵挷摦ㅦ慢っ㝤ㅤ捤扡挵散ㄵ㘶㔷㤱敤㡦㌵挷㈸㠵㈱㈵㑣㕥㠵づ摥㥢㐲ㄹ改㑦搱摦て愶摥晦〳搳㍦愶㌴㈹晥搰搴扣ち㡡㍦戹㡡敦㈵㔷攱愲戶昳㉡扥扢摤㉡昶㔳㌲㜲㈶晡〶戲㤱㍥㑤愲㡤捦㑤慢㈲晡㈴㤴㉦愱昶挷㡤㌹慥㌲攵㥢ㅣ㘹昲昰づ㈳ㅤ㌱㜹攵㐹捤㉢㐵㔷㜰㈲ㄷ㙡㑦㌰㝣攴晣敥㈸愵昳㕤㠶攷戵敦挴扢㝥晥㝣晣挱㔳㌶ちㄸ〱敢捡挸㈴㤵㜰㈳戵㙦挷挰敦晥戲攱敦㐴〳ㄲ㐸㐳〱㤳㥡㈴昰户㘲攰ㄳ昸㤸㑡挲㘴ㄸ晥㘷晡㈰〶㈶搵㐹攰户㘲攰て㑦ㅣ慥〳挷㐴ㄶ㠹〶㔲㐰㡡昹㉡つ晡挴㠷搵㍣㈷攷㑣慡挴㈱㔳㔵㔳ㅣ捡戸慦㉤㤵攲㌰㙥㜲昸昸戴㜹ㄱ搷㤲㜰㝦〳㤲㔳晤て〷ぢ戸慥㌴㘷㠴〶扥㕣摥㐴愴搸搷攵ㄳ㍢攷捤㈵ㅦㄵ〳收㐲㠰㘳㔲戵愷㐸〴ㅡ扥㕦敤敦づㅥ昵ㄴ㙢戰戱ㅦ㜱㠴㉢换ぢ㈰摤㘹〴ㄹㄵ改搷扥ㄹ㘳㌶昳㐶㠳㘶昴㉤㈰〷㑥ㄶ攴㉣っ慡〸捡㌸ㅦ㌴戲㌰㔱㥤㝦つ搹㘸晣㕦㐸㑣㙣㑡㉦㐷㔶㝢㌳ㅥ㉦㐹㈹晡㔷搹攱㙢挸晡攰㕥搵㈲㍡㙢ㅡ㌷挷㔷敥㝡敤㥣㔹㤷㡡攵つ㜴搵㌸ㅦ扥㔰晦㍡㥦摥㘰挶愷㔸㉥愱㥣搱㘴㔳㙢敤搰㝦〰戵戱捥㠵</t>
  </si>
  <si>
    <t>FAPRI-WH values are from Searchinger SOM, footnote 8, page 4.</t>
  </si>
  <si>
    <t>FAPRI-WH</t>
  </si>
  <si>
    <t>Emission stream fractions</t>
  </si>
  <si>
    <t>Forest above-ground</t>
  </si>
  <si>
    <t>Forest below-ground</t>
  </si>
  <si>
    <t>Forest foregone seq.</t>
  </si>
  <si>
    <t>Pasture above-ground</t>
  </si>
  <si>
    <t>Pasture below-ground</t>
  </si>
  <si>
    <t>Pasture foregone seq.</t>
  </si>
  <si>
    <t>Emission breakdown</t>
  </si>
  <si>
    <t>Above</t>
  </si>
  <si>
    <t>Below</t>
  </si>
  <si>
    <t>Foregone</t>
  </si>
  <si>
    <t>percent initially lost</t>
  </si>
  <si>
    <t>EtOH GWI</t>
  </si>
  <si>
    <t>Richard Plevin</t>
  </si>
  <si>
    <t>UC Berkeley</t>
  </si>
  <si>
    <t>plevin@berkeley.edu</t>
  </si>
  <si>
    <t>Jeremy Martin</t>
  </si>
  <si>
    <t>jmartin@ucsusa.org</t>
  </si>
  <si>
    <t>Union of Concerned Scientists</t>
  </si>
  <si>
    <t>Alissa Kendall</t>
  </si>
  <si>
    <t>amkendall@ucdavis.edu</t>
  </si>
  <si>
    <t>UC Davis</t>
  </si>
  <si>
    <t>Andy Jones</t>
  </si>
  <si>
    <t>andyandy@berkeley.edu</t>
  </si>
  <si>
    <t>Michael O'Hare</t>
  </si>
  <si>
    <t>ohare@berkeley.edu</t>
  </si>
  <si>
    <t>recovery years</t>
  </si>
  <si>
    <t>percent recovery</t>
  </si>
  <si>
    <r>
      <t>Stream breakdown g CO</t>
    </r>
    <r>
      <rPr>
        <b/>
        <vertAlign val="subscript"/>
        <sz val="10"/>
        <color indexed="8"/>
        <rFont val="Calibri"/>
        <family val="2"/>
      </rPr>
      <t>2</t>
    </r>
    <r>
      <rPr>
        <b/>
        <sz val="10"/>
        <color indexed="8"/>
        <rFont val="Calibri"/>
        <family val="2"/>
      </rPr>
      <t>e/MJ</t>
    </r>
  </si>
  <si>
    <t>production years</t>
  </si>
  <si>
    <t>Corn ethanol</t>
  </si>
  <si>
    <t>Annual life cycle emissions from gasoline production and use</t>
  </si>
  <si>
    <t>Gasoline GWI</t>
  </si>
  <si>
    <t>Beginning after "production years"</t>
  </si>
  <si>
    <t xml:space="preserve">Gasoline </t>
  </si>
  <si>
    <t>What-if</t>
  </si>
  <si>
    <t>Later soil C loss period</t>
  </si>
  <si>
    <t>Initial soil C loss period</t>
  </si>
  <si>
    <t>Soil C initially lost</t>
  </si>
  <si>
    <t>Recovery years</t>
  </si>
  <si>
    <t>The number of years over which land recovery occurs</t>
  </si>
  <si>
    <t>Years it takes to lose "soil C initially lost"</t>
  </si>
  <si>
    <t>Years it takes to lose the rest of lost soil C</t>
  </si>
  <si>
    <t>Percent recovery</t>
  </si>
  <si>
    <t>The fraction of originally lost above- and below-ground C recovered</t>
  </si>
  <si>
    <t>Standard baseline gasoline</t>
  </si>
  <si>
    <t xml:space="preserve">This model compares the cumulative radiative forcing from some number of years of production and use of gasoline and ethanol, accounting for the predicted emissions from indirect land use change (iLUC) estimated by various economic models. Use the controls on the Scenario sheet to examine different estimates of iLUC, or to adjust the baseline gasoline or ethanol process emissions. </t>
  </si>
  <si>
    <t>To explore the model, modify any of the cells in the Scenarios sheet indicated with yellow backgrounds.</t>
  </si>
  <si>
    <t>Production period</t>
  </si>
  <si>
    <t>Discount rate</t>
  </si>
  <si>
    <r>
      <t>Applied to cumulative CO</t>
    </r>
    <r>
      <rPr>
        <i/>
        <vertAlign val="subscript"/>
        <sz val="10"/>
        <color indexed="8"/>
        <rFont val="Calibri"/>
        <family val="2"/>
      </rPr>
      <t>2</t>
    </r>
  </si>
  <si>
    <t>Title:</t>
  </si>
  <si>
    <t>Bern Model Parameters</t>
  </si>
  <si>
    <t>A_0</t>
  </si>
  <si>
    <t>A_1</t>
  </si>
  <si>
    <t>A_2</t>
  </si>
  <si>
    <t>A_3</t>
  </si>
  <si>
    <t>T_1</t>
  </si>
  <si>
    <t>T_2</t>
  </si>
  <si>
    <t>T_3</t>
  </si>
  <si>
    <t>A0</t>
  </si>
  <si>
    <t>A1</t>
  </si>
  <si>
    <t>A2</t>
  </si>
  <si>
    <t>A3</t>
  </si>
  <si>
    <t>Physical GWP</t>
  </si>
  <si>
    <t>Total  flux</t>
  </si>
  <si>
    <r>
      <t>FWI</t>
    </r>
    <r>
      <rPr>
        <b/>
        <vertAlign val="subscript"/>
        <sz val="11"/>
        <rFont val="Calibri"/>
        <family val="2"/>
      </rPr>
      <t>P</t>
    </r>
  </si>
  <si>
    <r>
      <t>FWP</t>
    </r>
    <r>
      <rPr>
        <b/>
        <vertAlign val="subscript"/>
        <sz val="11"/>
        <rFont val="Calibri"/>
        <family val="2"/>
      </rPr>
      <t>P</t>
    </r>
  </si>
  <si>
    <r>
      <t>FWP</t>
    </r>
    <r>
      <rPr>
        <b/>
        <vertAlign val="subscript"/>
        <sz val="11"/>
        <color indexed="8"/>
        <rFont val="Calibri"/>
        <family val="2"/>
      </rPr>
      <t>E</t>
    </r>
  </si>
  <si>
    <r>
      <t>FWI</t>
    </r>
    <r>
      <rPr>
        <b/>
        <vertAlign val="subscript"/>
        <sz val="11"/>
        <color indexed="8"/>
        <rFont val="Calibri"/>
        <family val="2"/>
      </rPr>
      <t>E</t>
    </r>
  </si>
  <si>
    <t>Fuel Warming Intensity and reductions in physical and economic terms</t>
  </si>
  <si>
    <t>Contributors (in alphabetical order)</t>
  </si>
  <si>
    <t>Eli Hopson</t>
  </si>
  <si>
    <t>ehopson@ucsusa.org</t>
  </si>
  <si>
    <t>Relative year</t>
  </si>
  <si>
    <t>Year</t>
  </si>
  <si>
    <t>Above-ground</t>
  </si>
  <si>
    <t>Below-ground</t>
  </si>
  <si>
    <t>Foregone Sequest.</t>
  </si>
  <si>
    <t>Recovery flux</t>
  </si>
  <si>
    <t>Economic GWP</t>
  </si>
  <si>
    <t>Percent Reduction</t>
  </si>
  <si>
    <r>
      <t>Extra CO</t>
    </r>
    <r>
      <rPr>
        <b/>
        <vertAlign val="subscript"/>
        <sz val="10"/>
        <rFont val="Calibri"/>
        <family val="2"/>
      </rPr>
      <t>2</t>
    </r>
  </si>
  <si>
    <t>Summary comparisons of Ethanol and Gasoline Emissions and Global Warming Potential</t>
  </si>
  <si>
    <r>
      <t>Mg CO</t>
    </r>
    <r>
      <rPr>
        <vertAlign val="subscript"/>
        <sz val="10"/>
        <color indexed="8"/>
        <rFont val="Calibri"/>
        <family val="2"/>
      </rPr>
      <t>2</t>
    </r>
    <r>
      <rPr>
        <sz val="10"/>
        <rFont val="Calibri"/>
        <family val="2"/>
      </rPr>
      <t>/ha/y</t>
    </r>
  </si>
  <si>
    <t>foregone sequest.</t>
  </si>
  <si>
    <r>
      <t>g CO</t>
    </r>
    <r>
      <rPr>
        <vertAlign val="subscript"/>
        <sz val="10"/>
        <rFont val="Calibri"/>
        <family val="2"/>
      </rPr>
      <t>2</t>
    </r>
    <r>
      <rPr>
        <sz val="10"/>
        <rFont val="Calibri"/>
        <family val="2"/>
      </rPr>
      <t>/MJ</t>
    </r>
  </si>
  <si>
    <r>
      <t>g CO</t>
    </r>
    <r>
      <rPr>
        <vertAlign val="subscript"/>
        <sz val="10"/>
        <rFont val="Calibri"/>
        <family val="2"/>
      </rPr>
      <t>2</t>
    </r>
    <r>
      <rPr>
        <sz val="10"/>
        <rFont val="Calibri"/>
        <family val="2"/>
      </rPr>
      <t>/MJ/y</t>
    </r>
  </si>
  <si>
    <r>
      <t>Total CO</t>
    </r>
    <r>
      <rPr>
        <b/>
        <vertAlign val="subscript"/>
        <sz val="10"/>
        <rFont val="Calibri"/>
        <family val="2"/>
      </rPr>
      <t>2</t>
    </r>
  </si>
  <si>
    <t>Initial soil C lost</t>
  </si>
  <si>
    <t>Later soil C lost</t>
  </si>
  <si>
    <t>Ethanol process and iLUC emissions</t>
  </si>
  <si>
    <t>recovered C</t>
  </si>
  <si>
    <t>80% of soil loss occurs in first 5y; the other 20% takes about 15 years (Davidson &amp; Ackerman (1993) Biogeochemistry 20:161-193.)</t>
  </si>
  <si>
    <t>aboveground C</t>
  </si>
  <si>
    <t>belowground C</t>
  </si>
  <si>
    <t>later soil loss period</t>
  </si>
  <si>
    <t>Grassland area fraction</t>
  </si>
  <si>
    <t>Forest area fraction</t>
  </si>
  <si>
    <t>Wetland area fraction</t>
  </si>
  <si>
    <t>Average  foregone seq.</t>
  </si>
  <si>
    <t>Fuel capacity increment</t>
  </si>
  <si>
    <t>Total iLUC emissions</t>
  </si>
  <si>
    <t>Annual foregone sequest.</t>
  </si>
  <si>
    <r>
      <t>g CO</t>
    </r>
    <r>
      <rPr>
        <vertAlign val="subscript"/>
        <sz val="10"/>
        <color indexed="8"/>
        <rFont val="Calibri"/>
        <family val="2"/>
      </rPr>
      <t>2</t>
    </r>
    <r>
      <rPr>
        <sz val="10"/>
        <rFont val="Calibri"/>
        <family val="2"/>
      </rPr>
      <t>/MJ/y</t>
    </r>
  </si>
  <si>
    <t>Years</t>
  </si>
  <si>
    <t>Ethanol</t>
  </si>
  <si>
    <t>Flows only</t>
  </si>
  <si>
    <t>Flow NPV</t>
  </si>
  <si>
    <t>Sum of Flow</t>
  </si>
  <si>
    <t>f74b3613-479b-44c1-bafe-5decb22c65e9</t>
  </si>
  <si>
    <t>㜸〱敤㝤㜹㥣㕣㐵戵㝦搷捣昴捤㔴㘷㤲㘹戶戰㑡挶㄰㤴㉣っ扤㉦㐰㐸㘶㈶摢㐰昶㠴戰㍢摣敥扥㌷㘹攸㈵㜶昷㠴〴搱愰㈸㉥挸晥ㄳ攵〱㠲㡡ぢ愰愲昸〰〵ㅦ㡢㈸㈸㑦㜱㕦㄰㜰〱挵愷戸〰㉥昸晢戹昰扥摦扡㑢摦敥扥㌳㐳昲昰昳换ㅦ敦㤲㌹㕤㜵敡㥣㔳㜵扦戵摣慡㔳㜵㉦〱ㄱ〸〴㕥挶挵㕦㕥㍤っㅣ戶㜱㘷扤㘱㤴〷㐷慡愵㤲㤱㙦ㄴ慢㤵晡攰㔰慤愶敦㕣㔵慣㌷扡㈱愰㡤ㄵ㤱㕥て㡥搵㡢攷ㅢ扤㘳摢㡤㕡ㅤ㐲挱㐰愰户㔷㜶㈱㝤扡晤ㄷ㜶㈲㤲㕡戲㠷〴㔲〱愹㤱㑣㈳改㈵㤱㈴㈱ㄲ㙡捡㍥㤲ㄹ㈰㝤㌳㐱㌶㡣っ慦捤㥤㠳㜲㙣㙣㔴㙢挶挲㠱捤㔶㙥㡢搲㠳昱挱㙣㉡㌲ㄸ㔹㌸㌰㌲㕥㙡㡣搷㡣㐵ㄵ㘳扣㔱搳㑢ぢ〷搶㡤攷㑡挵晣㐹挶捥㑤搵㜳㡤捡㈲㈳ㄷ㠹攷昴㐴㈶㥡㐸㈶捤㙣㌶搳搷て扢慢㐶㠶搷搵っ戳晥敡㔸っ搳攲摡㤱攱挱㌵㐶攳搵戱戸て㉣慥ㅥㄹ㕥㕡㉤敢挵捡慢㘲㌲挸㕡㠸㉦㌵昲㐵㔶㤷㘱搴㡡㤵㉤㠳㈸㜲ぢ挰㠸愵〷㤷〳改扣㕥㙦㡣ㄸ愵搲〶挳㘴㑤昵㤵㠹㤶㔱㌳㉡㜹愳㍥戳扣㙣㐷摥㈸搹挹昵摥昲㘶扤戶㐶㉦ㅢ㍤っ昴㤷慤晡ㅡ㉤ㄸ㤵㐶戱戱㜳㐶昹攴扡戱㐱慦㙣㌱㈸ㄲ㉣慦ㄸ㉦ㄶ㝡㝡㐴㑦㑦愰晢昵㝥㠵㔱戵㌲戸扣㤶ㅦ搹慡搷ㅡ㉡挶晡㡡晡挹㝡㕡㠶㉡㜸㑢戱搸㝡〶摡戴㔸㐵ㅢ㡢攵㤳㡣㕡挵㈸㌱ㄳ㔶摣㠲㌶㈱㠵㠹〵扣ぢ㡥㜳㌷慣ㄶ㌱摤敥㈱扣ㄵ收㈲昷㈵搹て㐴摢ㅦ㘴捥愲㤱戵㙢㐶㠶㌶㉤㕢㠳扦愳收づ挵攲ぢ〷收っㅣ㌵㘷攱挰搲戹㔱〴攷捤㤹㈷て愰挶㉣㄰搱昳㙢㜴㐰慦㐵㜶㠲慥㌱扤㙢㉣搷㌵㤶敦ㅡ㉢㜴㡤ㄹ㕤㘳㘶搷搸㤶慥戱慤㕤㘳挵慥戱㜳扡挶捥㠵㡣㜳昵㑥㥢搶㘵㕦改㥦扦昷戲ㅢ晥敤昹戵搷愷㑡㜷ㅥ㝦捦ㄷ㘶〵搹攷㤲㝥户搷㡥摣㔰扤㍥㕥摥挶捥㙥搷慡敡㤹攵愵昵挶㍡扤㔶慥扦扡搵㡦捡㥦慡晥㠷敡攵㝦㝤晤㈳㤳㔷愵晥戵㠳〰昳㐱㈷㔷㡡㘶戵㔶㕥戸扡㔸㔹ㄴㄹ㑣㉥㕣慤敦挰㙦㉡㈵て㐶慡㍣〴㐴㍢ㄴ愴㝢搱㜰㐶ㅥ㐶搶㙢㐰㠴㜸ㅡ搵捦㈶㜰㘶㈵晥户摢晥昹挸慡晢扥昵晥搷㍥㘸㥣㜹㤰攰㔰愹〶捥搹ㄴㅥ〰搱㕥ぢ搲搱扡搲㥤慤㙢づ㌵㡥〰ㄱ攲㐹摢晣慤敢㍥㜳昶㐹扦㜹㙥攴愶昷㡤扥改晣晦戸昹㘹挱㐱㤸捤㐳㍢ㄲ攴挰搶挲挷敤挲㈷攴敢㤰㈸㕦㑦戱愳㐰㔰昶愴㥣㐷搶㝣㄰㈱扥㙦ㅢ扦㈳晤晢晦㝡㑦捡ㅣ㜹敢ㄳ敦㍡攲ㅦ敢㍦㝤㥤攰㤰愱㡣㉦㐴㘰㤶搷㜸摡〲㈶ㄶ㠹挸愳㘹㘸㄰㐴㍢㠶攲㡢㠶愳ㄱㄹ㈱㉦ち㈲挴㘳戶昱㥦㠴て戹㜵散㥥晦ㅣ晤挴挹摢㙥扣敦㡢慦㍢㕤戰㘹㉡攳㜱〴㕡㑡ㅥ㡦㐴㔴挹㌳戰㥥愰愵㈴㠸㤶〲㐱挹戳㌲㑤㔶〶㐴㠸㐷㙣攳扦㜸散搶攰㤳戳㉥㔸㜹敤挳挷挷搶㉤戸散搳㠲て㈳㘵晣㔸〴㕡㑡㙥㤹㡥っ挶㤲昲㌸ㅡ㍡ㅥ㐴㕢〴〲摢㘹㜹〲㔹㡢㐱㠴㜸挰戶晤慥㡢户㕤㜹收捦㑦㍡昱捥㠷搷㥦晥搹搰扤て〸㍥攳㤴敤㈱〴づ昶愲ㄲ㜷㑡㥥㠸愰攸挳戴㌵〲愲㉤愵挶慡㘳戶敡㜲ㄹ㜹换㐱㠴昸㠲㙤晦㠰晤㑥昸㘰昲敥㤷搷摣㙢㡣晥㍤㍢扡慣㑦㜰攴㔰昶㔷㈲搰㘲㥦㘶ㄵ㌲㘹摡ㅦ愵慤ㄳ㐱戴㤳㐰㔰晣㠴㕣㐵搶㙡㄰㈱敥戰捤捦㝣收扢愷慥晥昲㘱㉢㍦昲搰㍢㉦扡昷挰昵昷ぢ㍥㤸㤵昹戵〸戴攰づ㔰㥣收㉥搷搱搲㝡㄰㙤〳攵㔱慢㌱戹㤱扣㑤㈰㐲摣㘶㕢㕦㜱㐱愰㜸㘸敤攴戵敦㡣慤扦㝣搱愷㔷ㅦ㉦昸挴㔷搶㌷㈳㌰ㄱ昰愷搰搰愹㈰摡㘹㈰㈸㜹㑡㥥㑥搶ㄹ㈰㐲摣㙣摢㝥散昰搹〳昳㍦戰㜵昸㐳扢㌶㕦㜱摤昳㘷㥢㝤㘷㈱㜹扤㍤㘸㉦慤改攷攱挹搷㝣愴挶〶㌱㡢㜸㈵昳〸㑣㈳捣愴㤹㌶愳搱㐲㌲愲挷昵㈰㠷晤㔷晡っ攳㠳愱捦㍣愵㔸㈹㔴捦㔳て戵㍥㜳㜹戱搴㌰㙡搶ㄳ捥挴㡦昵㘰㔶昱ㄹ收戲ㅤ㤸换攴慤攷摦晥收㠸㔱㙢㘰ㅥ搰搸搹ㅣㄴてㅢ搶敢㐶㌳扡挰戶㍤㕣ㅤ慦ㄴ敡㠷晡㈷㙥㙣攸つ攳㤰昶戴愶㤱づ戵㡤㤸㈵ㄸ㜵㔵愴挳摢搵㌶敢愵㜱㘳㘸㐷搱㑡㝥㑤㕢㌲收ぢ搵摣挴愹换㙢挶ㅢ摤搴㡥ㄲつ㘱摡戹㕤搹敥戸㑢㉢挹㉡搷挰挸搶㙡摤愸愸攲㉤㈸慦㉢收捦㌵㙡ㅢつ㑥㕡㡤㠲扡搵〳㤸㘴㑦㕡ㄶ慣慤攰㐶㌱つ㈹捣昱㜲〹戴㔱㈹ㄸ〵㤴㜷ㅢ㔰摥戹㐹捦㤵㡣㔹㉤㈲㔶㥥㐸㌸戸㠵扤扣㥡ㅦ慦㡦㔴㉢㡤㕡戵搴㥡㌲㔴搸慥㘳愲㔴㔸㕤㉤ㄸ㍤敡ち㔸㔴〴扡扢㠵〸ㅣ攵昷㐸愶敤㍡攷㈴㥥㐶挲㤹捦攴挲摥㐶〴㘱摦戹㡣㙢ㄹ〱㑦㈳愳昱㜹㤳㤶挴摢〸㈹ㅤ㤹㔴摡愷㤱㔲改愰搶㡥㌷戸〱昵㠳㝡㈸ㄹ散㤵㕤㜳㈷㌶搹㙣㤷㔳㤴搴㔳㉢㕣愳㔰㝡ㄲ搰㤴㔹户敤晤㙢㠵扢扡昶戳敦㝥搹㜶㑣㠷㔷敡㤵㐲挹愸㑤扡挲ㄲ㉣㤱㝣〳挹ㄸ挹搹㈴㍡㐹づ㈴㜸〳挶戸〹ㄱ攵昸㈹㜶㠸㥤挱昳㡡㠵挶㔶㙤慢㔱摣戲戵〱ㅥ㔶㘶扤扤㠴㝢㍢㤶㘴昷㘳㤱㌷㠸摦㉢昱ㅢ㤰〵ㄲ㠳挴〴〹㠵〲摡ㄶ晣〶戴㤰摣捡㥦㈲㤹ち戱㠱㑤㍢户ㄹ㈱ㄱ攴㌴㜷昷㈷攳挸㉦㈰搵摣ㅦ换戲㝡戰㡣㈵㐶扤扢摢て㠸㤵㝡㝤㙢㠳㝤㜰搲㐴㌵敤㍥㠷㐶㌹ㄵ敥㉢㠱慣㕡㘹㤴搰㠳㕦㥤ㄵ㕤㤰ㄳ昴㈹㔷て㝣〰捣㉡㙦摣㔹挹㙦慤㔵㉢㔸つ㉦搵ㅢ晡㔰ㅥ㑢愴扡搰戵昲慡敡挸㜸㐳㉢慦㉣攲愷慦扣挱搸㘶攸㡤ㄱ㡣捦㡤ㄹ攵㔵㔸㕥愹〱㜴戴戰㈳㔸戶㔶㐶㑢㡤㝡㕥㜲〹㌵㡡昱㘸㠷㠶㄰〶搸扥㌲㐷ㄸ㘳㐷㠳愶愷㤵㌱ㅢ㐷㍢㤲㄰㕡愰戴慣㄰㌵㘷㈸㥥愳ㅤ戲㘳戰㄰㔶㐱㡦㤵改㡡㘱㔹㔲㡦㕣㍣㍡昱㌰敤戱㘹㝢搷㌹戹㔱㉣搵〷㙤㜰〷㤷㔶戱戸㌶㤴㍦㠰愰㙢ㅡ㕡㤶㌶㘹㔵戵昷㜰慥挱搶收㜳㤶㔹ㄴ㘵㐵慤㍡扥㡤昳昰㔷换づ㙤愱戱㠱摣昸挲慤挷ㅤ㜹挳敤㉦摢扦扢搰㜷搴愵㔵㤰㜸㐴摢㌲㉤㤱㘹㑥愴㘳㥣㔴㘳㥤愶㔵㘹㡢㍡晣攵㈵户㠱㠴㈴つ㐸㈶㜶愶〵戹慣昳ㅤ㠷㈷㔸㔳㜲愲摦㔷〶㈴㥢㙡㠶㕡㈴昷慡〸扡摢㡣昲㈹搵摡戹戹㙡昵㕣戶㤰㤹㉡㔶摦㙡ㄸつ慥㍣愷摢ぢ㙤㠶㠵㄰摤摤㉤㡢㐸捦ㄲ㤵㙢㔶㡤挳挰㡣愱㔲㘹挰戱㔸搷挶挱敡挶昳㐶摢㡥挰散攵攳〶ㄲ戱搸挳攴㘸㘰ㄴ㑤慥㔲挷敡㝤㘰㝢㉣㍡戸愳㔴摦㈱摥㡤㍢攵㍡愵㘸㠸昱㔳㙦扣㘹昴搲晣慦〶㑥慢㕤㍣㕦扣换㑥攸㔸㝣㜲摤㌳挹昴愸㘵㠹挷㍡㙢㤹ㅥ㜵㍣昸慤愷攲晦㑥㙦昶扡改㑤敢搴㘶晥ㄴ捦昳戶挹捤㠴㡦戲晦㥤ㅣ昸戹㕦慤挹挱㑥㜴ㄶ㜱㌱扡ㅤ㈷〳〸户㕥昲㑤㠸换ぢ㐸摥っ㠲㐷扡攴㈳ㅤ㑦昴㕤㔶㔴搰ㄷ挱挷戸扣㤰攴慤㈰㐱㍡㈴㈶㝦摣愱扢㜲㘶搲㐳㥦搰㡣昲㔲挳搴攱㜶㔵㡦㈸愱晦晦㝣㠲昵挰㙢敤㜹㝣㑤㝥ㄳ㈸㍢㐷ㅡ慤㝤摡换㘷㔲搳㉦〸㙦㘵㘱㠵㔱攱㠴愷㑥昱㔷敢挱昴㙡搹㘱㤹攴摢㐰㥣㉢昸㘶㌴㠴㔷㝥㑦㥣昸㑤摢捥搹挵搸㔸愰㤷搶挸搱摥づ㠲昵㝡㍣搱昹㘰扢ㄸ㐹㈱㐹㠱〹搲挴㙢㤰挶〷㥦攴㠳㐶扢〴愴ㅢ㉤㐶昲搱㈲敡昶ㄳ愲攳搱㔱戳ㄳ㍡㝣㕦戳愱愶㥣慡㤷㈳㈰慦㈰戹㤲攴㉡㤲慢㐱㐴〹慡㙣晥㙦挴捣㤲晥愹收㡣昶㝤㤴戹㠶攴晤㈰㥥收㝦㉤㜹㙡㐲㉢挴〰挲慡ぢ㕣㐷收昵㈰㘲づ〸㘷㝤〱㜹〳挸㠴㔳㠷て㈲戱㝤敡㤰㑡㜴㑥ㅤ㍡㠱扡〹㥡㈱㐹晤〹搲〴㕤㜶㉥㠸㤲捦㘷ぢ挰搳㈶〲昰㔴㍢愱挳扢㐷扦ㅤ㥦扦昲ㄶ㄰戱搹〶ぢ攱搶㑢摥㠶戸晣㈴挹愷㐰㍣㘰摤㙥㐵〵戱㔵㐰㝤㠶㐲㥦〵ㄱ昳㐰㌸㕥挸㍢㐰㥣㑢慣㐶ㅥ㙣㠶慡㈹晤㍢搸㙣㑡搱捥㍢扤ぢ㐹㈱㐹㠱〹搲挴㝣愴㌵㔱㘰㔳戲㔰ㄸ戱㙦戶愳ㄹつ摢〹ㅤ㙥挸愳愱慢㔰戸ㅦ〱戱〴㘲晥㈳收㠳捣攳㑢㈴て㠱㜸㔰昸㡡ㄵㄵ昴㔲㉡ㄴㅥ愶搰㈳㈰㈲〲愲㔰昸㉡〲捥㈵搲挸挳㐵攱㔱戰㠹㐲慡昳㑥扦㡥愴㤰愴挰〴㘹㈲㡡㌴㍦ㄴ㡥㥥〸㠵㠵㜶㐲㠷扦㌴〱㑢ち㠵敦㈳㈰收㑦㠸挲て㔹㥡ㅦ㤱㍣づ攲㐱攱〹㉢㉡㤲昸㔵㈸㍣㐹愱愷㐰〴㕤慡ち㠵㥦㈰攰㕣攲戵㕥ㄴ㝥〶㌶㔱㐸㜶摥改搳㐸ち㐹ち㑣㤰㈶攸慤昵㐳攱挰㠹㔰㤸㘵㈷㜴㌸㜶㡦㠳㈵㠵挲㜳〸㠸晤㈷㐴攱㜷㉣捤敦㐹晥〰攲㐱攱〵㉢㉡㡥挷慦㐲攱㐵ち晤ㄱ㐴㥣〰愲㔰昸ㄳ〲捥㈵愶㝢㔱昸ぢ搸㐴㈱摥㜹愷㝦㐵㔲㐸㔲㘰㠲㌴戱ㄸ㘹㝥㈸㠸㠹㔰攰戲㠴㤳昵づㄷ昴㌰㉣㈹ㄴ昸捣ㄴ晦晣攷㐴㍤愲ㅢ挹㤲摢挱㌲〸攲㐱㘱㥡ㄵㄵ㜴㑦㉢ㄴ㝡㈹㈴㐱〴㕤搴ち㠵㄰㘲捥㈵晥㡣㍣摣ㅥ搱㠷ㄴ愰㄰换㜶摥改㑣㈴㠵㈴〵㈶㐸ㄳ换㘱搳て㠵攷㤰㠳敦捡攴㌷㜶㐲㠷愳㝣ㄴ㤶ㄴち〷㈲㍢昱㕦ㄳ愲㜰㌰㑢㜳〸挹愱㈰ㅥㄴ㕥㘳㐵挵㠹㌰愴㔰㌸㥣㐲戳㐱挴㉡戰ㄴち〳㠸㌹㤷昸愹ㄷ㠵㌹㐸㘱㕢㠸㜴摥改㕣㈴㠵㈴〵㈶㐸ㄳ慢㘱搳て㠵敦㑦㠴挲昷散㠴づ㝦晥㍡㔸㔲㈸ㅣ㡤散挴㜷㈶㐴攱ㄸ㤶㈶㐲ㄲ〵昱愰㄰户愲㘲㍤っ㈹ㄴㄲㄴ㑡㠲㠸㡤㘰㈹ㄴ㔲㠸㌹㤷昸㥡ㄷ㠵っ㔲㠸㐲愶昳㑥㡦㐵㔲㐸㔲㘰㠲㌴戱〹㌶晤㔰戸㝦㈲ㄴ敥戳ㄳ㍡昶ㅤ戸愵愰㔰ㄸ㐱㜶攲㡢ㄳ愲戰㡣愵㔹㑥戲〲挴㠳挲愸ㄵㄵ摣㤶㔰㈸㥣㐸愱㤳㐰〴昷㈶ㄴち慢㄰㜳㉥昱㌹㉦ち㙢㤰㐲ㄴ㘲㥤㜷扡づ㐹㈱㐹㠱〹搲挴ㄹ戰改㠷挲㉤ㄳ愱昰〹㍢愱㝤㠷㈴昸〶㔸㙡㜷晣愸㝤㜰搷㜷散㔹戸捤㠴戰㘶㘲晦慡㔱㥦㙥づ㡤㌷慡换㡢つ捣慣晢㑣㄰〴㤵捡㈱捡㘹攸㔱㕡㘰㙥㉥ㅡ攷㜱㑥㍤扢㌳〹㐷〴㐶挶敢㡤慡昲㘹ㅤ摥㤹扥戴扡愶摡㔸㕡慣㙦㉢改㍢攷晡㈴㕢㈹愷㙣㌵㉡昰晢搷攰晥㥦㑡愸扡㙤㥢㔱昰㈹攳挶敡㜸㉤㙦㡣㉥摤ㅢ㜶づ㠴攵㥣ぢ挰戵㠳搱㕡ㅣ㌹昱捡摡㠳㍢搷㘸㕤㜰〷㠹㍤㜳㍣㙢愷愱戹昵㙥ㄹㄸ㔹ㅢ㍢㘶昵㠹〱㜹㍡愲㕣ㅤ㠸㔰㐸㥥㠱㕦戴晢攰搸㤴㙤挵戳㈹㌱ㅤ挲㈱ㄳ昵㙢昱㘶搸扢㕥愳昰㉥ㄵ㡣㤰ㅤ挳㤶昹㑣㍢戸㜶扣搱㤲愲敦搸捦㑥㠱昳㙡㙤〵㙤㈰慦搷ち㝢㐳昵攰挶㜰㔹㜵㈳㌴晣户㘷㠸㕢㘶〲㠱攷㥤㔳㔸捦敦〲捡挴昹㙣㈴昹晡ㄱ摤㍥㠹㐰摢㝥捥っ㐲敤戲㝢ㄹ㕢㙤攸ㄵ㔵〳ㅢㅢ㠵愵挶昶㤹㑡挲㐰㉢挷昱㥣㤲戱㕦㙢㔴㉤攸愵㌹㤴慢㔷㑢攳つ㘳愶ㅢ㔲扤㕤㥡ㅢ㡣㤲捥扤戹㍥㌷戴㉥摦攸㌷搷戹昶戸敦戶昷搴づ㄰散戱㙢㐸愸㍡搲㈶ㄹ攴㕡㙦㠲ㅤ㘹て㙢ㄴ晤挴㔴搷敦ㄷ㡢㝦扢㤶搷㉤㡢〳㑥㠰㜵㡢捡搵㘱扥㝤挵摥㍡攰㝡㌷摦搸㡢昶㜳昶㠴慤㘱㑥㡤㘰㝤づ㡦晢㕥㌳㑣㌵昸挱㝦换㌳㍣晤散㌶㈵ㅣ㤷㙢ㄴ昳㝡愹戴㜳愶㌹㕡挹㤷挶ぢ挶㉡㍤㘷㤴㥣㠱ㅢ〷㔶昶㤲晡㔲㘷て慤扡㥡〴ㄷㅢ㤴㔱ㅣ㐰㜴戶晡昶㜸慣ぢ挸㌳㔱㔳捡㌹〶ㅢ㔶戵攴〰昴㙥敦㜲㠶愰戴㙦㜳㡦㕥ㅤ㜶挳㤰搶挱攲㔸挶㡤ㅦ㜷愳㔴昵㌶㡦搸慡敡慡㉡㌶戱ぢㅥ搶捡愲挵摡㙢晡㤴慡㈲㑤搳昶昴〹昳挹攴扥㐷㕦㥤㜸挷㤲㥢㕥㠸㕤㌸昳挷㥦㕣攲昴ㄴ㍥㕢搸㌱戸㈱搹扥㘵攴改ㄸ敡攱慦〶挰㌰〴晢㌹㝡㔹㌳㠷㑤挵㐶挹㤸㙥慡㜴ㄵ敥㘵㜷㈰㥡搳捣㑤㕢戱戳戲㜴㠶戹愲㔶㉣㤴㡡ㄵ㠳戳㄰ㅣ慡攰〱挳㔵挶ㄶ㙣晦慦慢㘲戳〳㠷摦㘶㤸㥢㙡㝡愵扥㡤扢㙣昹㥤晢戶挴㔴㘵〵捤攱㘲〵㥤挷捡㤳攱㝥㜳攳搶敡㜹㌸㉣㍢㕥慥慣搰户搵昷㡡㡡㐲扢戶㉦慢㐷㜵㠹慥㉥搱摢搵扢愷捦㈸敤つ戰㌸〷㤳㠲〱戳㌴扥㘳〰摢慣〳慢㑦ㅣ挸敢摢昴㍣㌷㠹㡥㕡戱㘹㘸摤搱愷慣㠴㘷〸㜲㌱㘴摤㐵㘲搷㈸㜷㤷㈷改搲慣㑣晢㡣〶扢㌴㡢摥㜲摣搰㜷㤷搸㍤㤰捣㘱㕡㡥㐱愹敦㙣㤰㤵㉢㑥ㅥ㙤㥥散昹ㅦ㥣ㄱづ㥡戰㍢挹戳㐲戵ㅤ昷㄰〱摤㠶㌳慤昶㐴ㅥ㥢㤷㔴捤㠲戱昶㌶ㅡ㌲㤵っ㥢㉢ㅥ慦ㄴ㘷㜰㌹㜶㜹晢㌰㍡㘰㙣挶摥㌸〶攵㤹㔶㠴㤳扥戲㕥慡摢㘹㈳搵㜲㔹㘷晢㘳摢摤㠸㠱摤攸㔵㌳㜰っ㌷搲〴㔱㡤搴㘶改㍢挰搲㜷㈸ㄶ㥥搷㍣ㄸ愴挲戴㔵摤愲搷㡡㡤慤攵㘲扥㤷ㄱㅥ摥搹㉢ㅡ㉥ㅡ㔰て挰㜴㉥搵㝡㌱㥤㙤昷敡㕢㥢挷愸散㐱慣㌰〸ㅤ㉢ㅦ捤扢㑢㍤攴挵ㅥ㥥扡㐰攳㤵㥣晦捡ㅣ㐸戰ぢ㠵挰㜳挱㉡㡡㘷㜶〶㡥ㅡ愹〴て㐸㌰㔹收㐱ㄹ攰㕦捦㌹㈰㤳敥㠷㑦㠳㐰㘸㔵㔵㉦㉣挷昹慥㙡㙤㥡㝤愲扤ㄷ㔵换㜱愷ㄶ收〹㠸ㄱ㥣ㅣ挲㠹愴敤㤸㈴搷㝡挹搸㠸搳〵㍤㍣㍢愱㔹㜵挸㤹㘷㈰ㄸ㥣摥敢㤷搷愸㘳㙢慥扤つ散㍤换㍦摡㘱晦户敢㌳㡢㔹昶㔰㠸昳っ㔹㐰㔸ㅡ㈰攲㕣㐴㜹㍦㙤〲㈶〵戶㠰〴换㐸㙣敦㈵ㄳ㥥ㄷ攸㠶㜰戰捣㜳っ扤㘵摥づ收㈳ㅡ㑥㌷攰㍣〴㈰搱愶昷昲㍣㠱摣ち戳摦昸晡搷ㄷ㈱ㅣ㄰摢㐰㥣晣戹㑢㙥ㄷ戰挸晣捦㘱晥㍢挱摣㡤ㅤ㐷㜵㝢敥㍡㔴捤㠴㥢换捥ㄹ愶㜷㤵戹㥦㘹㉦㌷㍤㡢捡㌶㥥㥡㠱愱㥦敦㐵㑢㐶挰〱搸㥣㕥戳愷㡦㘸搵散搹挶㐳〱昱㈶ㄸ攴㈳㌹愰㥤ぢ挰昷户て慤づ〰㥣㐶慤㤸ㅢ攷㐳㤳愹㙡搰敦㘹づ晡攲〲昰㌸昰换ㄲ搴挴㥢ㄱ攲㠸ち换㙡扥㈵㉢慣扤㈹㝢搸㉥㙡攰㑦㔶㘹挴㡥㠸ぢㄱ㜰㕡〵摢㤴摤㉡戶㐱㐰扥㤱㠲㙦昵ㄷ愸㔱愰づㄲ㝣ㅢ〴摡㠷㤴搶㉤㐰慣愸㈵㠴㝡搴㙢つ㍣㕥搳㡢㤳㉡敡㕣㑥㔰昵扦改㥥昳㌴㥡㜵㤴愶ㄷ㍡〸㤵敢摡㐶っ捥㐶㈱㘴㌵㉤戶㜷㡥㈲㕤㕤㍤ㄸ愱戴昶〳ㄱㅤ搹搲挴㐶㐳㙤㔳ち㑥㜱㌴㍥ㄱ晢攸㘵㠱晤㌱ㅣ愷㑤㈹〴攱摣㝤ㄹ愹敡挲摡㝣㍢㠴〲㈱㜱㌱愸〳つ挷㔱ㅢ㥡昳㤰㉡㜷㠰㠸换挱愴慦㐷㡤㜳〱㜹㍥搵挸㠷㠹㌷攱㤷㌵㝥〵㔸㕣攲㍢㤷㘷攸㐳㍡㈵慥㐴搲搹㑣㠶㠶㌳㝤㥢㘸愱㈳慥㠲㥣㑥㘱㜹〱挴㕢㘶摢攲㙡戰㌹攳づ㍤㜵敥㘹愷㝤㘸晥㤲戳慦㝣昰挲扢㉥㍤戵㝤㑥㈸摥〷ㄹ慢ㄱ扥〵㌶づ㉡慥㍡㜹㘴挰㈸ㄷ敢㝣㤱愵㍥昹散㐳㕣〳㕤搵㄰㜷㐱㔵㜰㑢搰㙡㠸昶㔰晦㔶㜰愷㙥㠸搷㐲つ㠲搸㜵愵ㄱ㍢㈲慥㐳挰㐱㥢㑣ㅢ敤㡢㄰㤶㙦愷攰昵晥〲敦愰挰挵ㄴ攰㑥㈳挷㔰昹㑥挴摣㘱敦㈶㡦㥡愷ㄶ摦㐵戵㜷㔳敤ㄶ〸㜰攸昳㜶搴摢㄰㔵ㄸ㐹㜶㔴㜵戱㍢㝡晢㈴昷昹ㄴㄴ㤷搰挸愷㄰㙢改㤳㤷㠲㍢㌵ㄴ户㐳㡤ㄹ挸换㘸挴㡥㠸捦㈰攰㐰攱改㤳㤷㐳㐰㕥㐱挱捦晡ぢ昰㄰愲扣㡡〲㜷㐰㠰晤㔲扢ㅡ㌱㙦㝢㡦晢戵昷昷㐱〸敤晤㉥㡦㔵て㔲搷搰敡晢㘹昵㝥〸戴㈳昵㈰㜸㔳㈰昵㈵㠸㈸愴慥愵㤱㠷㄰㙢㐱敡㍡㜰愷㐶敡㉢㔰㠳㈰戶㤷㘹挴㡥㠸㠷ㄱ昰㐱敡〶〸挸て㔲㤰扢㡢㍥〲㌷㔲攰㈶ち㜰挳㔱㈱昵㈱挴扣㐸㘵晣㤰晡〸㠴㠰ㄴ㌷ㅣㅤ慢ㅥ愴㙥愶搵㡦搲㉡㌷〷摢㤱攲㡥攰ㄴ㐸㜱扦㔰㈱昵㜱ㅡ㜹ㅣ戱ㄶ愴㙥〱㜷㙡愴㥥㠰ㅡ〴〳昲㔶ㅡ戱㈳攲㐹〴㥣㈲㝢摡搴㙤㄰㤰㥦愴㈰㜷㈰㝤〴㍥㐵㠱㑦㔳㠰㥢㤲ち愹摢ㄱ昳㈲㤵昶㐳敡戳㄰〲㔲㑦㝢慣㝡㤰扡㠳㔶㍦㐷慢捦㐱愰ㅤ愹摦㠱㌷〵㔲摣㔳㔴㐸摤㐹㈳㝦㐰慣〵愹扢挱㥤ㅡ㈹㙥㐲㐲㌰㈰㍦㑦㈳㜶㐴扣㠸㠰て㄰㕦㠰㠰扣㠷㠲㝦昴ㄷ戸㤷〲㕦愴〰㌷㉥ㄵ㔲晦㠱㤸ㄷ愹愴ㅦ㔲昷㐳〸㐸㜱攳搲挹搶㠳搴〳戴晡㈰慤昲戹搷㡥㔴㌷㜸㔳㈰㐵㔷㤰㐲敡㈱ㅡ〹㠲戴㈰昵ㄵ㌰愶㐶㙡ㅡ㜵㔱㐰昹戰ㅤ㘰㐴㜰户搲㈹戲愷㑤㍤〲戶晣㉡〵愵扦挰搷㈸昰㈸〵㐲㈰ち愹晦㐴挰㐵㑡扤愳戳〵㌹戴㍤㤷扦〱㈱㈰㌵ㄳ㍦㑥戶ㅥ愴ㅥ〳㕢㝥ㄳ㐴㜰㈳戲ㅤ愹㠳挱㥢〲愹㐳㈰愲㤰晡㌶㡤ㅣち搲㠲搴㜷挱㤸ㅡ㈹㙥㘶攲㕦㐰㝥捦づ㌰㈲戸愳改ㄴ搹㠳搴昷挱㤶㍦愰攰㙣㝦㠱ㅦ㔲攰㐷ㄴㄸ〰㔱㐸㍤㡥㠰㡢㤴㝡㈱挸〷愹㈷㈰〴愴收攲挷挹搶㠳搴㤳㘰换愷㐰〴㌷㉢摢㤱㍡〶扣㈹㤰攲晥愵㐲敡愷㌴ㄲ〵㘹㐱敡攷㘰㑣㡤㔴㥣扡㐴敡㘹㍢挰㠸攰慥愷㔳㘴て㔲捦㠰㉤㝦㐱㐱敥㠸晡〸晣㤲〲捦㔲㠰㥢愴ち愹㕦㈱攰㐱㉡ㄶ昱敢㝤扦㠶㄰㤰㍡ㄶ㍦㡥㔵て㔲扦〱㕢㍥〷㈲㐶㐰摡㤱㕡〶摥ㄴ㐸㉤㠷㠸㐲敡㜷㌴戲〲愴〵愹㍦㠰㌱㌵㔲愳搴㈵㔲捦摢〱㐶挴㠹愰㑥㤱㍤㐸扤〰戶㝣㤱㠲㈷昹ぢ晣㤱〲㝦愲〰㌷㔲ㄵ㔲㝦㐶挰㠳㔴㌴攱㠷搴㑢㄰〲㔲敢昰攳㘴敢㐱敡慦㘰换晦ぢㄲ㍣ㅤ攴㤵㙤慦㘱愵ㅡ〸㝢昶㍣搵ㄹ挱㝤捣昵攳㝡〹㡥戰戵昰戹㌷挸摡ㅢ㝣㈹㍤搶捥挷㤴ぢづ㜵ぢ㘷㥣挵戵㐶㍢〶慤㡢ㄳ晢摥搴㤱挸㍤摢ㄹ〹〵㌵㙣㐰扦戲㕣㔰㈵㙤㠷ㄴ慤ㄶ挳〵挸ㄹ㐸㘴扡晣㥢ㅤ㘰㈴㜸㈶攸㈴㝥挶戶慤〳慡散搷昴㡢搰〳戶愰㠴㔵敤㉢㜰㌷晥㥤戹㡥㤱戰っ晦戰〳㡣〴改㌹㙡㕦㔹㜶㌸慢㔴ㅢ㌴改戶摡搸搸㔹㠲慢㤰㐱慥㌴慤㄰㝤㈳搸ㄹ〵て挵慢搶昰㌴散㘹㍦㈶敤敡㥥㠵㑣愷敦摦昶㠶㤵㔲㘳捡搹㈸㑤戰ぢ㤰㑦愸捦㐲㌷㡦㠲㔲㠷㤷昶㌲昸晢慦㉥收㙢搵㝡搵㙣っ㙣㠴㑦㝣㠰敦摣㘱㈴㠸っ〵〳戰攸㥢㈷㙦慣愷挲搷晣户昳㜴㘹攸摣㑡昵扣㡡㉡㑤戰捥㔷て㤹㥢㥣㌶㡤搹㠴昰愷慥㈳㠰㘲㌸㡦ㄴ㉡㑢搱㠵搷ㄴ扡挳〵挴㈹慣㜵㈱㝥攴挸昰挸㠶戱㐸摣㌰㘳㝡㌴ㅥ换ㄴ㤲㠹㑣㈱㤲㑢挷ㄲ愹㝣㍡愵㘷搲改㐴㈶㥦て搳㍡㜵㘴㌷㜴挲愶ㄳ敢㘱㙣㡢ㄳ㘳㕡㍦㝤㑣捣㕦挳摦慢㝡㠵㡢戰捣㘶慡㘹挸㘷㥦㤱攱戱搶㙦㈱㘸搳挰敥〳㕢昹㄰㌶攰㝤㍦慤ㄷ㥣㤹攰㜸扣攰攱㜳㙣㉢㤲㥦搳㔰摦ㄵ㔰㕦ㄸ㄰捡㤵〲敢戲て㝣挸㔸㝦ㄵ㠴搸散挴ㅦ晦昱昲换慣㙣摥㤲㌶ㄳ㈲ㄳ搶愰㜸〱愲慣挵搶㕡愸挲㡡慡〵㝥戹〳戵戰つ㜱㜵㌷晢㈰㙥搵㐲㐱㑦㐵搳㐶挴㌴戲㈹㌳㤱㠹攸㔹搳搰ㄳ㔹㐳㡦㈴㡤㜸㈴㔱㐸㙢晢扡愲挹㔸㍡㥤㡦挷ち㠵㔴㌶㤳㌰搳挹㙣戴㤰㠸㘶愲挹㠲㤱㉣愴昳搹㤴戶㥦㉢慡攷搲昱㔴㈱ㄱ捦攸搹㜸㐲㡦ㅡ㌹㌳ㅥ捤挷攳挹㜸㈴㕡㌰㡤㕣㈱晣㐶扢㈴㜲㝦攸挸〳㐸㘶㠱㠴改搲㘱〹攵㠱㘴ㅤ㐴㜲㌰昹㜵㠷㑦愹愶㔲㤰㙥㤲㈹〷㐴摢〳㐳㈴㐴㑥攴㐵㐱ㄸ㍤搳愶㜵㥣扦㘸ㅤㅣ攱㥣㔱〳愹㜲搹㘸愴挱㘷〰昲攴㘳㥤愳㠴㔲㜹㝡㈱㤵挹㤱㠷戳昰戳㐱㐲攱昳㥣ㅢ㘲挳㤲㙣㐶㤲㉤㈷㑣愷㡥〲攰〸戲㜸戰㕦㝤㙥㐰㥣て㍥㥦㙡㈱昱㘳㤴㠲愳㉥愵㙣㤷ㅥ昸昸㠷昷晡愱挳㠰晡扢〰㤴㈳愸㍣㡡摣㕤〸㤱㉤攷搹㌲昸㠱㘳つ㉣搵搴㝥攰㘹㙡㤲㠳〵挷〵昱㍤摦㔶昵㌶㈴慢㔶㜵㌴㙣愰㔵㕤㠴㌸㌵㌴ㅥ搹戶㕡㔵㉣ㅥ㡢ㅡ戱ㄴ㙡㕦㌷ㄲ昱㔴㍡㤳挸㐶搲搹㜸㉣ㄷ捦㘵搰敤攳攱户摢㍡昲ㄸ攸㠴摦攱挴㔴摦扥搸㠹㌱慤晦㥤㠸晤㙢晡㌶摤㉦ち敡戶㉡㜸户挳㑦㈲㝦㌹㠰㍢㤳戳㐱挴㈵㑥戹㌲攰㈳㙣晤㕤㡡㤰㠲昰ㄱ㉦㠴散慤ち挲慦昸㐲㜸ㄹ㤴ㄴ㠴挷㐳づ㄰㕥㡥㌸㡢愲㉤㐲摣敥㤸愶㤹㡣挴ぢ搹㕣㔲㡦㈵㡣㘴㈶ㅢ㑤㘵㘲昱ㄴ戸搹㔴摣㌴ㄳ摡〹慥愸愹㐷ㄳ搹㐲㉥㤲㑥攸㠵㠴㙥敡ㄹ挳㠸㘶ㄳ改㜴㌴㙢㘴攲愹㝣㕥㕢散㡡敡挹愴㡥㑥㥣㌲㈲㜹搴㐹㌴㥦㌵㔳ㄹ㈳㔶搰ぢ戱㜸搲㉣㘴㤲攱㉢散㤲挸㈵搰㤱㐳㈴挳㈰攱㉢ㅤ㝥㕢挷愴慢㐷㠱㐸㈹㑢㥥㥡攲㝤攰戳㜳㡡扢〱〰㍢づ挲昸㐶〱㠵㑥〲〹㠵慦㜱ㄴ摢搰㝦扦挳㕦㑢搹搷㔳敢㜵㈰攲㕡ㅡ㘳㙣〳捤㤳挳扦敢㐰ㄵ晡㥦昲㐵晦㌶㕦昴慦㠷㤲㐲㝦㌳㑣〱晤ㅢ㄰㔷攸㥦㠲戸㠵㝥愶㤰挸㘶㤳戱㐲摡㐸㘰㔸㑣㈵㜲㘹㌳㤶捤愷ㄳ㘶慣㄰搱㜳ㄸㄶ㑦㜵㐵㤳ㄹ㈳㥢㌱㜲㔱㡣㠸搱㐴㌴㙢敡㈹愳㔰挸㐴㔲㘶㈴㥤㉢愴㜲㔹敤㌴㔷㔴㡦㤹昹戸ㅥ㘷㔷㐸㈵搲昱愴㥥捡敢昱㜸㍡㘶㈴㈳㠹㑣㉥ㅦぢ搳㕦愴搰㍣ㅤ㍡昲っ㤲㌳㐱挲㌷㍡晣㌶昴㙦㜲昸㤴㤲慥㤲昸〸昸ち晤ㅢ扣攸ㄷ㈸㘴㠰㠴挲㌷㍢㡡㙤攸㝦搴攱ㄷ㈹㍢㐸扣㡦㈶捥ㅦ〷ㅦ晦攰晤〷㥦〱昵㜷ぢ愸㐲晦㙡㕦昴慦昴㐵晦㔶㈸㈹昴户挱ㄴ搰扦つ㜱㠵㍥摦晣戰搰挷㈳㈲㕦㠸㘶㜲㤱㘴㉥㤳㌰ちㄹっㅢ㠵㐲捣㐰㌰ㅦ㌷㜳㐶㐶慢戹愲㠶㤱挸挵ㄲ改㘴㈶㤶㌶ㄳ戹㈸ㅥ㘷ㄹ㈳㥥㌵㘲搱㔴㍥㤶㐹愴㈳㕡摤ㄵ捤㜲㡡ㄱ㉢㐴昵㉣晢㑢〴㕦㤱㑡㐶搲改㘴㑣㑦㐶㔳㍡慡㈶㑣ㅦ㤴㐲扦〱ㅤ㌹㑥挲昷慢挳㥦㜲昸㙤攸㝦摡攱㉢㜹㡡㉡㈵昱㔹昰ㄵ晡ㄷ㜹搱㝦ぢ搳㜷㠱㠴挲㜴㍤愹㡣摡搰晦㥣挳扦㠸戲㍣㥤慦扥㝡㈲敥〴ㅦ晦攰㘳〶㥦〱昵㜷㌷愸㐲㝦愷㉦晡攷昹愲㑦㌷㤳㐲晦㍤㌰〵昴扦㠰戸㐲晦ㄲ挴㉤昴愳戱㉣摢㘳㈲ㄶ㠹㥡㠹㝣㌲慦ㅢ㠵㜸㍥㤲㑦㤹㠶㘹收㤲愹愴昶㕥㔷㌴㤵捣攴搲㤹㔴捡㡣㘱搶㠰㜱㍤ㅢ挵㌸ㄴ捦㈵㌰㑤挸ㄷ㌰㤳搳㉥㜵㐵㡤㜸㌴㤲㑢ㄸ㜸〴挴㘲㠹㘸ㅡ㕤㈶ㄳ挹㥡戱㐴㉣㡤〷〴慡㉦㝣㡦㕤ㄲ㜹ㄹ㜴攴攵㈴㔷㠰㠴敦㜵昸㙤攸㝦搱攱㉢㜹㡡㉡㈵㜱㍦昸ち晤愲ㄷ晤て㌰晤㕡㤰㔰昸〱㐷戱つ㝤㝡戸㔴慤摣㐰搹攳㠹昷㜱挴晡㈱昰昱て捥㕡昰ㄹ㔰㝦㕦〱㔵攸㡦昹愲㝦㤶㉦晡て㐳㐹愱㝦㌳㑣〱晤㐷㄰㔷攸㝦ㄴ㜱ぢ晤㕣捥㠸㘰㍥㥣捣㈴攲搱〴㥡扥㥥㡢愴㡣㍣〶愱㙣㍣㙦㐴昳〵敤㘳慥愸ㄱ㠹㘱㝣挹㘲捡㡣㤱㈷㥢㌰昴戴ㅥ㠷㔴㑥捦敢昹㠸㙥㤸摡挷㕤搱㤴㤱㉡㈴㌱捤㑢㘷搲昱㐴㌴ㅦ㐵㌷㠹攵ㄳ戱㜸㍡㠵㡦㥦㤸㘶㌶㑣㕦㤹扡昹㑦㐰㐷摥㐲㜲㉢㐸昸㙢づ扦つ晤㐷ㅤ㍥愵愴慢㈴扥〱扥㐲㝦慤ㄷ晤㍢㈸昴㌹㤰㔰㤸㉥㌲㤵㔱ㅢ晡摦㜴昸㜷㔳㜶㠴㜸てㄳ敢㙦㠳㡦㝦昰㝢㠲捦㠰晡晢㉥愸㐲㝦㤹㉦晡㈳扥攸搳ㅤ愶搰扦て愶㠰晥昷ㄱ㔷攸摦㡦戸㠵扥㙥愶㈲㝡㍥慤挷戲㐰㍦㥤㑥敢㝡㈶㙦㘲㥣挸敢戱㜸㌶㤷捦㘹て戸愲戹㘴㉥㥤㡡攷戳搱㕣慣㤰㠸㈵捤㕣づて㡢㐴㉡㤷㑥㈶㜲㈹挳㡣㘸て扡愲㘹〳㡦搷㝣㍥㤶㡤ㅡ㔱㍣㐲㜴ㅤ戵㥡㐸挴昵㔴㈴㤳㑣愴搲㤱昰て散㤲挸㉦㐱㐷㍥㐴昲㘵㤰昰てㅤ㝥ㅢ晡㜴挷㈹㄰㤵愸㔲愲扣㜸〲㝣㠵㝥搲㡢晥搷㘹敦ㅢ㈰愱昰㤳㡥㘲ㅢ晡昴挴㈹㠳摦愶散㠹挴㥢敦㔴㠸㥦㠲㡦㝦㜰㈵搲扣㠳㍥㥤㙢ち晤〵扥攸捦昳㐵晦㘹㈸㈹昴㝦〴㔳㐰晦ㄹ挴ㄵ晡㡦㈳㙥愱㥦捦攴ち㔱愰㠷ㄵ㐸㍡㤱挸挶㜲ㄸ搵㘳戹愴㔱㌰ㄲ㤱㔴㌶㥤搵㝥散㡡㐶捣㙣㉡㤳㑢愵㌲㠹㥣㤱㠸㤹愹㕣捥挴愳㌴㡢㐵㡢㥥挰愳㌵愲㍤攱㡡㘶㜳㠹〲扥昰㤳㑣㐴㘲㘶㈲㘵㘶㌲昹㙣㌲ㄷ捦㘶㈳愸攷㐲挱㡣㠵㝦㘱㤷㐴㍥〹ㅤ昹ㄴ挹㑦㐰挲扦㜴昸㙤攸㍦敢昰㤵㍣㐵㤵㤲昸㌵昸ち晤㐳扤攸㍦换昴㕦㠱㠴挲扦㜱ㄴ摢搰愷㜷㑦愱晦ㅣ㘵昹昶㠵晡敡㤲㔰づ㍢挶㝥て㍥㘴慣㍦㍡散ㄴ晡晢昸愲摦敦㡢㍥摤㜶ち晤ㄷ㘱ち攸扦㘰㘷愹晤ㄱ㜱ぢ晤ㄴ㠰㑡㈶戲昹㤴㤱㡥㈴㔲㐶㉥㤷㐲敢挴敡㉥㥢㡤㐵㌲㔱㍤慤晤挹ㄵ㑤ㄷㄲ㘶慥㤰㑢㘳㤰㠹㈷㌰㜸㘷㌹㍢捤ㄸ改㔸㌲㘶愶㜳戹㠴昶㘷㔷㌴慡㈷㈲㤹㐸㉥㠳愵㈰〶㈹㈳〲㥡㑡收搱㔷㡣ㄸ㔶〸改㐲㤸㝥㐲㜵昳㝦㠱㡥㝣㠹攴慦㈰㘱晡〸ㄵ扦つ㝤扡つㄵ㥦㔲搲㔵ㄲ㉦㠱慦搰ㄷ㕥昴㈹㉡〵㐸㈸㑣昷愰㔲㙣㐳㥦ㅥ㐳挵攷〷ㄵ搵挷愸㈴摦㈱〹搳ㄷ愵㈰敢〵㝦㐶户昸㍢攲昸㠷㤷愳㈸㙤㕦㘱㝡㡢㤴㔴㐸㐹〵改昰㌸㙥攲㤳晤ㅥ户挰〲㌸戰㕡扥㔴戴っ㕦ㅥ摡〹昵㐰㌷捥〵㔹挷ㄲ㝡扡㡥摤㌳㕢㕣扢昲㈸ㅤ晦㠲㝦晥晢换㉦晦て散昰愶㥢㍥㈵㕡攴㝡㐸昶攱㠶㠳摤㈸慦敦昹摡昶てㄲ㝡㍦攵㐸㍦捤〱攵搱㍡ㅣ㈶昸扥换愶敡㤰晢㌹挹㝤ㅣ㐷捡〲攷摢㌲㐷㌶㌹捥㈱㜶㐷㙤㙤捤搵挳挷㔲攰㥦㐲挲〲㝥㠹收㠰㘶捣㜳慣攳搰㈶ㄷ㙦㉢攰ㅣ戵㔱㜰㉣搶戱戵搵搳搵㉤㝣㡦ㅥ搹㕦昹挰㠷㌵ㅣ〳换㉡攳攵㝤㜰て㠷晡㥣挶ㅡ㉥㌶搴㔹㐶扥㔳㈳㘴ㄷ攰搱㘶〲愸㈳摢㍥㑥㌲户昹㜵㤲戹㑢攷㍡㥦㈷〹扥㠰㥡摡㡤㐲戴搶っ㡢挴㉢㈴挳挸ㄱ㌷ㄴ〸搰ㅥ㔹㈸㠹昷捤愲㜱戰慣㜷㜰㝦ぢ〱扥㙢户㕦敡愴㤷慥㕢昱攰搲㝢晥㜹搶㙦敦㔸㘸晣㕡㍣㘷㈷戴㝦〵㈴㑣㕦㤵㙡昰戳㔴㠳ㄷ昴㉤戱搱㡢㕦㐳㠳㉤㑤㌵㡥㠳㔸㠲晤挱㘶〳ㄱ㤲づ㈷敤㄰昰昶㔹戴㝡㜴捤㔱㜳㤷捦㡤㈷ㄶ捥㕤〱㍡㉦昸㑢攸戴㥦㌹㔳〷㠴㙤攰改扥㘱㌵攲慢㕣愳昴㈳㝡摡㈲敦ㄸ㤶㜱挷㠷㌱㍦晡㤱慣晣昶㘵㝥㠷㠳愷㉤㥡㍢㡣㕣㠲㍦㐷㈶㤳〱㡢㜷摢扤戵摢㤹つ㜲㐱㌶〳捣㘶㤶㥢つ㍤㕥摡ㅣ敢戶㠶㑥㙤戹㉤昱ㄴ㜲攴慤ㄱ慢㤰㥣㑢㐵㡥㘴づ㑢ㅣ㘴㐷昰ㄳ㄰〷㠳戲㠸捣愵晦㜰㐴㠲〸戴戹㌳㥦㕦捣㔴㕣㑢ㄴつ昴摡扦攱㈵晤昴㈹㈹㡤戳挴㙢慦ㅡち晥㙣㔷晢摢敥㤶挶捦ㄶ捦㝥挷㜳敢㍦㝦昸㉦ㄷ㡢㈳愰攱昷愶搹㡦㔰〸摦昶昰㐳㍢愱晤搵晥㌰㥤㑥慡㍤捣挷㉤㘲㤸㔴敥㈶攴搷㍡㑣搲敤愴愴ㄶ㕡㔲昴ㅤ愹㔶昳㕤搸㜵㕢捤㈰㔱愲摢挷慡挵㐱㠴戴〸㜸ㅤ扤愷昹㠲扥愷昷㠸㙦挲㤶搳攲㐳㌲㐶㘳昴攱㌴敦戳搹敥ㅦ㥤攸㍥扦㘶㈷戴扦㠱ㅦ捥挰㤲扡㠳㡣㜵〷挷㈳慥敥攰ㄱ敦ㅤㅣ换㑣㤷㈰挹扡〳晡㜳戴攳挱戳摡㘱㔴㍣〴㘱愷愲㐳昲〴㑡て戹搲㈷㔰㝡〹㜸捤㕥ㄲ㔵扤㈴㍡㑦摣て㐵戶ㅤ㠸愰㌹つ㔳㤱㉥ㄷ㉢㥢挵㔴㕣㙡㈹摡敤搰㔵扣搷㔶戴摡攱㜲〸昵搳つ戳㝢つ㡣㍥㥢㐹ㅢ㔸㕣㕤摦㕤㙣扤ㄵ昳昸㘲㐱昷㑤ㄳ昸㑢搸㈰戶㠳㠸扢㔰ㅣ摦〶㜶愷㥤搰晥搲㝦㜸〳㉣㈹攰㔷愱散㘸㘰㥢ㄱ㔷挰㝦づㅡ㙥搳㔹㐳㐴攸〱戱㄰㌹〵㈱㙤㥤㠵㠸㍤攰愴ㄴ㤴愹㜹攲㜶ㅢㄱ㠸〰捡つ㔴愴慢挵㔲㍣㤵㡡㥢挰戳㙡㉣㈵㙥㠳㜴戳挶㌶㔳㥡摥ㄶ㑢晡㌴㑡㥦㙡㘵㘳〳敦㘶昳㜱㍢ㅢぢ昸搳㈱搴㕦㠰昸敥〱㑦㜷捤愴挰攳ㅥ〲㠱〷㌶㉣㔱扦㠱攲ㄲ㐱捦㡤ㅦ昰ㅦ㐶㜱㝣㠱晦㤰㥤搰晥㥤㠱㌰㝤㍤ち昸戳㔱㜶〰㑦㠷㡤〲晥㐶㘸戸挰攷㠸〸㍤㈰ㄶ㈲昴攲㘸㠵ㄶ㐴㤲ち昸攴㍣㜱㕤ぢ㈲㈶ㄵ改㘵戱ㄴ㙢㔴摣ち㥥〵㝣㔲扣ㅦ搲㑤攰捦愱昴㜶㔷㥡㙥ㅤ慤㘴㘵㘳搷慦㥢捤搵㜶㌶㄰㐱晤㔶㈰搴晦ㄶ㠴㜷て昸㕤㡥挶愴㐳敡〳㌵ㅢ昸㜷㉦ㄱㄷ㐱挳て昸换㔰ㅣ㕦攰㉦戵ㄳ摡㍦㙤㄰扥ㄸ㤶ㄴ昰晣㍣㍢㠰愷慦㐶〱㝦〹㌴㕣攰户ㄳㄱ㍡㍦㉣晣攸挰搱㜶㔸㠸搸㑤㌱慥㠰㡦捦ㄳ敦戴ㄱ戱㥡攲昹㔴愴㠳挵㔲愴㍢㐷扢〰㍣ぢ昸戸戸〸搲㑤攰摦㐲㘹扡㔷㉣㘹㝡㜴戴ぢ慤㙣㙣攰摤㙣㜶搹搹㐰〴挰扦つ㐲晤ㅦ㐰㜸昷㠰扦搶搱㤸ㄴ㜸慢戹㠳㝥㙢戱愰扦挶て昸昳㔱ㅣ㕦攰㜷摡〹敤㕦㔳〸摦〴㑢ち昸㜷愱散〰晥㘶挴ㄵ昰攷㐱挳〵晥㍤㐴㠴㉥てぢㄱ晡㙥戴昷㝡ㄱ㠹㘵〹㝣㉣㍢㑦搴㕢㄰戹㡣㡡昴慤㔸㡡ㅦ愳攲ㄵ攰㈹攰㘳㔹㔱㠵㜴ㄳ昸慢㈸㑤昷㡡㈵㑤㘷㡥昶㝦慣㙣慣晡㙤㘶㜳慥㥤㡤㔵扦搷㐰愸晦づ㠸敦ㅥ昰昴捦㑣㍤搴㝣昵ㄶ慢挵㉦戹㝤㠹戸ㅢㅡ㝥挰㥢㈸㡥㉦昰㠶㥤搰晥〱㠷㌰㥤㍢ち昸敢㔱㜶〰㝦ㅦ攲ち昸㍣㌴㕣攰㍦㐸㐴攸敤戰㄰戹ㅦ㈱敤㈶ぢㄱ扢㈹㐶㔴㡢㡦捣ㄳ㘳㌶㈲㄰㐱㔳晣㌰ㄵㅦ㜲ㄵㅦ愰攲捤㤶愲摤㔵㕣挵㌳㙣㐵ぢ捡㡦㔱㤱慥ㄵ㉢挷〷愹昸〹昰慣慥ㄲㄱ愷㐰扡㔹㘳户㈲愵㥦摥㤶摤〳㥥慥㤹愹㠱〷攰戸㤷㐰攰搴㝢㤷〸㝡㘹晣㠰摦㠰攲昸〲扦摥㑥㘸晦㘶㐴㤸㝥ㅤ〵晣㘷㔰㜶〰晦㈳挴ㄵ昰㙢愱攱〲㝦〷㘱愰户挳㠲攱㜱㠴戴㝦〷て昳ㄴㅢ扦㡣〲㍥㌳㑦㥣〴㍤㘷㡥ㅢ㤲㜷㔱㤱ㅥㄵ㑢㤱晥ㅢ敤昳攰㔹昸㘵挴ち㐸㌷昱扢㠷搲㍦㜱愵改挲搱扥㘸㘵㘳搷慦㥢捤㠸㥤つ㐴㔰扦昷㐱愸晦㔹㠴㜷て㜸㝡㘵㈶〵摥㥡捤㝣㙤戱㌵扢㜹㘶戱愰㠳挶て昸ㄳ㔰ㅣ㕦攰ㄷ搹〹敤㥦愹〸搳愵愳㠰晦㌲捡づ攰㕦㐴㕣〱㝦ㅣ㌴㕣攰ㅦ㈶㈲昴㜱㔸昸搱㔹愳㝤戵〵㤱㤸〲㍥㌶㑦愴㕢㄰㜹㤴㡡㉦戹㡡㜴摤㘸㕦〷捦〲㍥㈶攲㤰㙥〲晦ㄸ愵晦敡㑡搳㝢愳㝤换捡挶慥㕦㌷㥢㘳散㙣慣晥昱ㅤ〸昵〷㐰㜶て㜸㍡㘴㈶〵㕥戵㜴㤷㘰㡣愷㙦挶て昸昹㈸㡥㉦昰昳散㠴昶㉦㘳㠸㕥㔸㔲㐰ㅦ〵〹〲捤㐵㘴㙦㔷㜷搸㜱敢〴㐳㤰昰㕤㉢慡搷㔴〷慤㔷昵㥡ㅦ搲㔶㉥ㄶ㤳挷㝤愶㥢搶㜷慣改㝣㔱㥦㐲㈸愹戳㌲㝤㜸㙢慦㠶㑦㔹慦挲㥢慡㜸㔷て摦愵戳㑦㤱攰つ㔶扥㑤攲扣ㄷ㈶㔵㡣捡㥡戹戶㠶ㄷ挵愶㤹愳㜵扣て㕢攸挵㘷㘲ㅢ昸戴㜸㘵㙦㌸㠶㠶搳㑢昴㉣攰戲㕥㑢昲㍤㌸挴ㄳ㐱扥㙢㝡ぢ挲㈶ㅥ捥㑢摦㕤㝣搹㙦捦づ愱㘹㡦愳扥晡攱昶㔱晦㡦㤳㠱敤昴〴搵扢挴敢㔰戵敡㐸捣㜳戱㠳搵扡㥡慥〲昹〴㘴戵㈷㐱昸愱㔴㌶〳㌴〶っ㈰㑦㠱愳づㅣ㉡ㄲ〸昶㈱摥㝥㘳㍣挶戵㥣ㅡ㙤㕦㘳㥥㍥㥤㜷扢改摡㝢㤶晣㈳㝥搶㔰㑦ㄸ慡㤳㌹㠶㤰ㅣ㤸㔶ㅥ搳昹㝦攰改㉤㡦㤵㡣捡㤶挶㔶昷晦扡㠳昳㠸昸〰慦晣㈹愴搸挳㤸㥤㤸㠵〸摢愴昶㌳㄰昷㡤慤㠲攷㡤慤ㅥ㌱摢戹摢挰㠵㠱收摤㍥㑤慤㘷㐰扡攱摦㔰捥㑢摥㙤挸㜳愷攲㈰愴昲㙥㥤㑢ㅣ㠶〸敦㐱晥ㄲ挴㉤挳㠰挳㝤ㄶ〱㤶㑡㤵㙣慥挳晤㤵㔷㜶㍥㈲慡㠷ㅤ搴摡挳挴㐲㈴昰㐶㈴㙢慣㑢捣㜲捡摣㔲㐳捦㔱㠰㌵搴慣㥤摦㤱挵㈳挶㔶敤㠸㐱挴㔹㘶〷㜳ㄱ㐳㐴㤵昹て〸戸㘵捥㈰愲戲㈳㙥㍤愲摦挹慥〵愲ㄷ㤱㈶〹㤱㍦㍣㕣捦户挰挳㈵扢捡敡捦〸戸㐰っ㍢摣扦㈰攰ㄶ㘰戹挳㝤挹换㕤㠵㠸愷㔸搳㝣㡢昵晦㈰㌴㐹戱搶㈰戹愵㔸ㅢ挰㔰挵晡〷〲㙥〱㌶㍢摣㝦㈲攰ㄶ昶㜴㠷换㌳㐴慥散搹㠸㜸㡡昵昲摦㥣ㄳ㘵摥〶㠵㜷摥㈶㉢㔶づ㌶㕡㡡㘵㍡㔹昱晦㕣攳㘶㜵㡥挳搵挰㜲㡢㔵㜱戸搳扣戲㕣〲㜹㡡昵㤲㙦戱㐲搰㤸〴慤敤戰搱㔲慣昳㥤慣㘶㜸戳㝡㡢挳㥤改㉤搶摢ㅣ㙥扦㔷㤶ぢ〴㑦戱晥攰㕢慣㝤㈷㉦搶㝢㘰愳愵㔸㤷㌹㔹ㅤ攰捤敡㉡㠷㍢换㕢慣㙢ㅣ敥㠱㕥搹敢挱昵ㄴ敢㔷扥挵㍡㘴昲㘲㝤㄰㌶㕡㡡昵㘱㈷慢搷㜸戳晡㤸挳㍤摣换扤搵攱捥〶搷慤摡捦㠰敢㈹搶㑦㝤㡢㌵㘷昲㘲摤〱ㅢ㉤挵扡换挹敡㐸㙦〱敥㜱戸慦昳ㄶ攰㍥㠷晢㝡慦㉣愷㕥㥥㘲晤搰户㔸昳㈷㉦搶挳戰搱㔲慣㐷㥤慣㡥昶㘶昵㤸挳ㅤ昴ㄶ敢㍢づ昷ㄸ㡦㙣㤰捦愸㔷晣昰愴愷㝡て㡦㍤㐷㤰愹攰㤳㡦㌶㘴㤴㌱㝢ㄸ散攷昳㠷㤱㕥晡愰挵搳㠸戱㔰㌲〶㤹㝥㍥ㄷ㔴ㅡ㡦攵昵㍦敢挴昰ㅢ攸攷㜳挰㑤ㄳㅣ捡㤵㕥㥣戶㌹㡡㌳㑤㈶扣㌹㜱挴㙥收昴愲愳㤱㘴㑥ㅣ㘲㔵ㅡ㝥〳晤㝦㜱㘲㉡㕦づ愹捤㥣㌸㕣慡㥣㔲搴攳ㄸ攸愶昵㜳散㙢㕡攱㤸攷愶〹㡥㘷㑡㉦㑤㍤づ㔲㙥㕡㍦〷愷愶ㅥ〷㈵㌷㑤㜰挰㔱㝡ㄹ〴晡㌹㡡戸㘹晤ㅣ㍤㥡㝡ㅣ㌵摣㌴挱ㄱ㐱改㘵ㄱ攸㘷㌷㜷搳晡搹扤㥢㝡散搶㙥㥡㘰㤷㔵㝡挷㈲搰捦㝥攸愶昵戳晦㌵㘳散㜷慥ㄵ挱㍥愵昴㡥㐳愰㥦ㅤ愵㈹挹づ攲㑡昶戳㘳戸㘹㠲㡤㕥改ㅤ㡦㐰㍦㕢戲㥢搶捦ㄶ摣搴㘳换㜵搳㠴㙡㔲慣攳㐵㘰㍢摤㍦捣愶㠵㝦〱㜹〲㈸搶㍡㙣㐶搴㘹搹㈲㄰慡㤱㤰扢〴挹搴愵㑡㤸㡤㠵〱㌹〴ち㕤㌶㡣㑥㕤㔶㝢㈷㤷㤵摡挹㘵㤵㜵㜲㔹㈱㡡㍢㠲㠰㜳〹挲摤㈹㑢㌰㍢戹㠴慡㠳ㅢ㈶㄰昸ㄷ㤰换㐰攵㜲㤰ㄹ㕤㠲㌸愸ㄹ搲ㄷ㌰攴㜰つ挲㈳挲㜲㈵戸㘱摥㍣晥攱晣〵愸㍣ㄱ〴昲扣㜷㈵㝦㘷㠷扣㔳摣㈰敤㑦昲㥤㥤收㤴扢㤷搶换晣慥ㄷ㈷摦愱㌲㜷㌳搵摥㤷㔶收㤷㙦㉡晢搸㉦㔶㉣㜰㘵昶㜵㌹慥散㑣㤷愵㜴づ戶㍥㔰挱晦捤〷㐵ㄶ㌴㡤ㅥ搰㥥愲攴㔱㔶晣ぢ〴收㑣扣扢敤ㄴ㤰换慢㕥昱㡡〵㝢慤㑦慡慦㔶收㠱㥡㜴㐳捣㑦〸搶㠰慡㡡㌵〸戰扡㠴㜴㐳㉡㉡㔸つ慡敤慦愵〴慢㐱挹慦㐳㠰㤷㤰㙥㐸㐵〵敢㐸㐹慣愷扣㤲㜰㐳㉡ㅡ㘴ㄱ㕥挱つ㔰㜸て㠷昲つ捣㥡昷挱慣攴㐶挶㔴改㘱㔱㙥㐲㡣ㄷㄷ摣㠲㘵㔷㌲㈷㔳㠶攵㔴戱捤㡣㈹㈳㄰㙡敤㤶捡㔸㍢㌷㑣愳昸ㄷ㤸搱㈳㤴愵㜶〱愱㉣戶㜳愷晦㌷㤶㔵ㄱ㤴</t>
  </si>
  <si>
    <t>initial soil  loss period</t>
  </si>
  <si>
    <t>Biofuel Time-Integrated Model of Emission (BTIME)</t>
  </si>
  <si>
    <t>Figure 1</t>
  </si>
  <si>
    <r>
      <t>Total CO</t>
    </r>
    <r>
      <rPr>
        <b/>
        <vertAlign val="subscript"/>
        <sz val="10"/>
        <rFont val="Calibri"/>
        <family val="2"/>
        <scheme val="minor"/>
      </rPr>
      <t>2</t>
    </r>
  </si>
  <si>
    <t>******************************************************************************************************************************************************</t>
  </si>
  <si>
    <t xml:space="preserve">                                                    COPYRIGHT NOTIFICATION</t>
  </si>
  <si>
    <t>Open Source Software License</t>
  </si>
  <si>
    <t>Redistribution and use in source and binary forms, with or without modification, are permitted provided that the following conditions are met:</t>
  </si>
  <si>
    <t>1. Redistributions of source code must retain the above copyright notice, this list of conditions and the following disclaimer.</t>
  </si>
  <si>
    <t>2. Redistributions in binary form must reproduce the above copyright notice, this list of conditions and the following disclaimer in the documentation and/or other materials provided with the distribution.</t>
  </si>
  <si>
    <r>
      <t xml:space="preserve">3. </t>
    </r>
    <r>
      <rPr>
        <b/>
        <sz val="12"/>
        <rFont val="Times New Roman"/>
        <family val="1"/>
      </rPr>
      <t>WARRANTY DISCLAIMER.</t>
    </r>
    <r>
      <rPr>
        <sz val="12"/>
        <rFont val="Times New Roman"/>
        <family val="1"/>
      </rPr>
      <t xml:space="preserve"> THE SOFTWARE IS SUPPLIED "AS IS" WITHOUT WARRANTY OF ANY KIND. THE COPYRIGHT HOLDERS: (1) DISCLAIM ANY WARRANTIES, EXPRESS OR IMPLIED, INCLUDING BUT NOT LIMITED TO ANY IMPLIED WARRANTIES OF MERCHANTABILITY, FITNESS FOR A PARTICULAR PURPOSE, TITLE OR NON-INFRINGEMENT, (2) DO NOT ASSUME ANY LEGAL LIABILITY OR RESPONSIBILITY FOR THE ACCURACY, COMPLETENESS, OR USEFULNESS OF THE SOFTWARE, (3) DO NOT REPRESENT THAT USE OF THE SOFTWARE WOULD NOT INFRINGE PRIVATELY OWNED RIGHTS, (4) DO NOT WARRANT THAT THE SOFTWARE WILL FUNCTION UNINTERRUPTED, THAT IT IS ERROR-FREE OR THAT ANY ERRORS WILL BE CORRECTED.</t>
    </r>
  </si>
  <si>
    <r>
      <t>4. LIMITATION OF LIABILITY.</t>
    </r>
    <r>
      <rPr>
        <sz val="12"/>
        <rFont val="Times New Roman"/>
        <family val="1"/>
      </rPr>
      <t xml:space="preserve"> IN NO EVENT WILL THE COPYRIGHT HOLDERS: BE LIABLE FOR ANY INDIRECT, INCIDENTAL, CONSEQUENTIAL, SPECIAL OR PUNITIVE DAMAGES OF ANY KIND OR NATURE, INCLUDING BUT NOT LIMITED TO LOSS OF PROFITS OR LOSS OF DATA, FOR ANY REASON WHATSOEVER, WHETHER SUCH LIABILITY IS ASSERTED ON THE BASIS OF CONTRACT, TORT (INCLUDING NEGLIGENCE OR STRICT LIABILITY), OR OTHERWISE, EVEN IF ANY OF SAID PARTIES HAS BEEN WARNED OF THE POSSIBILITY OF SUCH LOSS OR DAMAGES.</t>
    </r>
  </si>
  <si>
    <t>Software: BTIME v1.0</t>
  </si>
  <si>
    <t>Copyright © 2009 Michael O'Hare, Richard Plevin, Jeremy Martin, Andy Jones, Alissa Kendall, and Eli Hopson.</t>
  </si>
  <si>
    <t>(Based on internal v35)</t>
  </si>
  <si>
    <t>Version 1.1</t>
  </si>
</sst>
</file>

<file path=xl/styles.xml><?xml version="1.0" encoding="utf-8"?>
<styleSheet xmlns="http://schemas.openxmlformats.org/spreadsheetml/2006/main">
  <numFmts count="5">
    <numFmt numFmtId="43" formatCode="_(* #,##0.00_);_(* \(#,##0.00\);_(* &quot;-&quot;??_);_(@_)"/>
    <numFmt numFmtId="164" formatCode="0.0"/>
    <numFmt numFmtId="165" formatCode="0.0E+00"/>
    <numFmt numFmtId="166" formatCode="0.0%"/>
    <numFmt numFmtId="167" formatCode="0.000"/>
  </numFmts>
  <fonts count="53">
    <font>
      <sz val="10"/>
      <name val="Arial"/>
    </font>
    <font>
      <sz val="10"/>
      <name val="Calibri"/>
      <family val="2"/>
    </font>
    <font>
      <sz val="10"/>
      <name val="Calibri"/>
      <family val="2"/>
    </font>
    <font>
      <sz val="8"/>
      <name val="Arial"/>
      <family val="2"/>
    </font>
    <font>
      <sz val="20"/>
      <name val="Arial"/>
      <family val="2"/>
    </font>
    <font>
      <sz val="10"/>
      <name val="Arial"/>
      <family val="2"/>
    </font>
    <font>
      <sz val="10"/>
      <name val="Arial"/>
      <family val="2"/>
    </font>
    <font>
      <sz val="10"/>
      <color indexed="8"/>
      <name val="Calibri"/>
      <family val="2"/>
    </font>
    <font>
      <b/>
      <sz val="10"/>
      <color indexed="8"/>
      <name val="Calibri"/>
      <family val="2"/>
    </font>
    <font>
      <vertAlign val="subscript"/>
      <sz val="10"/>
      <color indexed="8"/>
      <name val="Calibri"/>
      <family val="2"/>
    </font>
    <font>
      <i/>
      <sz val="10"/>
      <color indexed="8"/>
      <name val="Calibri"/>
      <family val="2"/>
    </font>
    <font>
      <sz val="10"/>
      <color indexed="21"/>
      <name val="Calibri"/>
      <family val="2"/>
    </font>
    <font>
      <b/>
      <sz val="10"/>
      <name val="Calibri"/>
      <family val="2"/>
    </font>
    <font>
      <sz val="9"/>
      <color indexed="81"/>
      <name val="Tahoma"/>
      <family val="2"/>
    </font>
    <font>
      <sz val="10"/>
      <name val="Verdana"/>
      <family val="2"/>
    </font>
    <font>
      <b/>
      <sz val="10"/>
      <name val="Arial"/>
      <family val="2"/>
    </font>
    <font>
      <b/>
      <sz val="11"/>
      <color indexed="8"/>
      <name val="Calibri"/>
      <family val="2"/>
    </font>
    <font>
      <sz val="10"/>
      <name val="Arial"/>
      <family val="2"/>
    </font>
    <font>
      <sz val="10"/>
      <color indexed="55"/>
      <name val="Calibri"/>
      <family val="2"/>
    </font>
    <font>
      <b/>
      <vertAlign val="subscript"/>
      <sz val="10"/>
      <color indexed="8"/>
      <name val="Calibri"/>
      <family val="2"/>
    </font>
    <font>
      <sz val="12"/>
      <name val="Arial"/>
      <family val="2"/>
    </font>
    <font>
      <b/>
      <sz val="10"/>
      <name val="Calibri"/>
      <family val="2"/>
    </font>
    <font>
      <sz val="10"/>
      <name val="Calibri"/>
      <family val="2"/>
    </font>
    <font>
      <sz val="10"/>
      <color indexed="8"/>
      <name val="Calibri"/>
      <family val="2"/>
    </font>
    <font>
      <i/>
      <vertAlign val="subscript"/>
      <sz val="10"/>
      <color indexed="8"/>
      <name val="Calibri"/>
      <family val="2"/>
    </font>
    <font>
      <sz val="8"/>
      <name val="Arial"/>
      <family val="2"/>
    </font>
    <font>
      <b/>
      <sz val="10"/>
      <color indexed="8"/>
      <name val="Calibri"/>
      <family val="2"/>
    </font>
    <font>
      <sz val="10"/>
      <name val="Calibri"/>
      <family val="2"/>
    </font>
    <font>
      <b/>
      <sz val="11"/>
      <name val="Calibri"/>
      <family val="2"/>
    </font>
    <font>
      <b/>
      <vertAlign val="subscript"/>
      <sz val="11"/>
      <name val="Calibri"/>
      <family val="2"/>
    </font>
    <font>
      <b/>
      <vertAlign val="subscript"/>
      <sz val="11"/>
      <color indexed="8"/>
      <name val="Calibri"/>
      <family val="2"/>
    </font>
    <font>
      <b/>
      <vertAlign val="subscript"/>
      <sz val="10"/>
      <name val="Arial"/>
      <family val="2"/>
    </font>
    <font>
      <b/>
      <sz val="10"/>
      <name val="Calibri"/>
      <family val="2"/>
    </font>
    <font>
      <b/>
      <vertAlign val="subscript"/>
      <sz val="10"/>
      <name val="Calibri"/>
      <family val="2"/>
    </font>
    <font>
      <b/>
      <sz val="12"/>
      <name val="Calibri"/>
      <family val="2"/>
    </font>
    <font>
      <sz val="9"/>
      <name val="Calibri"/>
      <family val="2"/>
    </font>
    <font>
      <b/>
      <i/>
      <sz val="10"/>
      <color indexed="8"/>
      <name val="Calibri"/>
      <family val="2"/>
    </font>
    <font>
      <vertAlign val="subscript"/>
      <sz val="10"/>
      <name val="Calibri"/>
      <family val="2"/>
    </font>
    <font>
      <b/>
      <sz val="10"/>
      <color indexed="10"/>
      <name val="Calibri"/>
      <family val="2"/>
    </font>
    <font>
      <i/>
      <sz val="10"/>
      <name val="Calibri"/>
      <family val="2"/>
    </font>
    <font>
      <b/>
      <i/>
      <sz val="10"/>
      <name val="Calibri"/>
      <family val="2"/>
    </font>
    <font>
      <sz val="8"/>
      <name val="Arial"/>
      <family val="2"/>
    </font>
    <font>
      <b/>
      <sz val="9"/>
      <color indexed="81"/>
      <name val="Tahoma"/>
      <family val="2"/>
    </font>
    <font>
      <sz val="10"/>
      <color indexed="55"/>
      <name val="Calibri"/>
      <family val="2"/>
    </font>
    <font>
      <u/>
      <sz val="10"/>
      <color theme="10"/>
      <name val="Arial"/>
      <family val="2"/>
    </font>
    <font>
      <b/>
      <sz val="10"/>
      <name val="Calibri"/>
      <family val="2"/>
      <scheme val="minor"/>
    </font>
    <font>
      <b/>
      <sz val="12"/>
      <name val="Calibri"/>
      <family val="2"/>
      <scheme val="minor"/>
    </font>
    <font>
      <sz val="10"/>
      <name val="Calibri"/>
      <family val="2"/>
      <scheme val="minor"/>
    </font>
    <font>
      <b/>
      <vertAlign val="subscript"/>
      <sz val="10"/>
      <name val="Calibri"/>
      <family val="2"/>
      <scheme val="minor"/>
    </font>
    <font>
      <sz val="9"/>
      <name val="Arial"/>
      <family val="2"/>
    </font>
    <font>
      <b/>
      <sz val="12"/>
      <name val="Times New Roman"/>
      <family val="1"/>
    </font>
    <font>
      <sz val="12"/>
      <name val="Times New Roman"/>
      <family val="1"/>
    </font>
    <font>
      <b/>
      <sz val="12"/>
      <name val="Arial"/>
      <family val="2"/>
    </font>
  </fonts>
  <fills count="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indexed="52"/>
        <bgColor indexed="64"/>
      </patternFill>
    </fill>
    <fill>
      <patternFill patternType="solid">
        <fgColor theme="0"/>
        <bgColor indexed="64"/>
      </patternFill>
    </fill>
    <fill>
      <patternFill patternType="solid">
        <fgColor theme="0" tint="-0.249977111117893"/>
        <bgColor indexed="64"/>
      </patternFill>
    </fill>
  </fills>
  <borders count="17">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43" fontId="17" fillId="0" borderId="0" applyFont="0" applyFill="0" applyBorder="0" applyAlignment="0" applyProtection="0"/>
    <xf numFmtId="0" fontId="44" fillId="0" borderId="0" applyNumberFormat="0" applyFill="0" applyBorder="0" applyAlignment="0" applyProtection="0">
      <alignment vertical="top"/>
      <protection locked="0"/>
    </xf>
    <xf numFmtId="0" fontId="7" fillId="0" borderId="0"/>
    <xf numFmtId="0" fontId="14" fillId="0" borderId="0"/>
    <xf numFmtId="9" fontId="6" fillId="0" borderId="0" applyFont="0" applyFill="0" applyBorder="0" applyAlignment="0" applyProtection="0"/>
    <xf numFmtId="9" fontId="7" fillId="0" borderId="0" applyFont="0" applyFill="0" applyBorder="0" applyAlignment="0" applyProtection="0"/>
  </cellStyleXfs>
  <cellXfs count="239">
    <xf numFmtId="0" fontId="0" fillId="0" borderId="0" xfId="0"/>
    <xf numFmtId="0" fontId="8" fillId="2" borderId="0" xfId="3" applyFont="1" applyFill="1" applyAlignment="1">
      <alignment horizontal="left"/>
    </xf>
    <xf numFmtId="0" fontId="8" fillId="2" borderId="0" xfId="3" applyFont="1" applyFill="1" applyAlignment="1">
      <alignment horizontal="center"/>
    </xf>
    <xf numFmtId="0" fontId="8" fillId="2" borderId="0" xfId="3" applyFont="1" applyFill="1" applyBorder="1" applyAlignment="1">
      <alignment horizontal="center"/>
    </xf>
    <xf numFmtId="0" fontId="7" fillId="0" borderId="0" xfId="3"/>
    <xf numFmtId="0" fontId="7" fillId="0" borderId="0" xfId="3" applyFont="1" applyAlignment="1">
      <alignment horizontal="left"/>
    </xf>
    <xf numFmtId="165" fontId="7" fillId="0" borderId="0" xfId="3" applyNumberFormat="1" applyFont="1" applyAlignment="1">
      <alignment horizontal="center"/>
    </xf>
    <xf numFmtId="1" fontId="7" fillId="0" borderId="0" xfId="3" applyNumberFormat="1"/>
    <xf numFmtId="0" fontId="8" fillId="2" borderId="0" xfId="3" applyFont="1" applyFill="1"/>
    <xf numFmtId="0" fontId="7" fillId="0" borderId="0" xfId="3" applyFont="1" applyFill="1"/>
    <xf numFmtId="0" fontId="7" fillId="0" borderId="0" xfId="3" applyFill="1"/>
    <xf numFmtId="0" fontId="10" fillId="0" borderId="0" xfId="3" applyFont="1"/>
    <xf numFmtId="1" fontId="8" fillId="0" borderId="0" xfId="3" applyNumberFormat="1" applyFont="1" applyFill="1" applyAlignment="1">
      <alignment horizontal="center"/>
    </xf>
    <xf numFmtId="1" fontId="7" fillId="0" borderId="0" xfId="3" applyNumberFormat="1" applyFont="1" applyFill="1" applyBorder="1" applyAlignment="1">
      <alignment horizontal="center"/>
    </xf>
    <xf numFmtId="1" fontId="7" fillId="0" borderId="0" xfId="3" applyNumberFormat="1" applyFont="1" applyFill="1" applyAlignment="1">
      <alignment horizontal="center"/>
    </xf>
    <xf numFmtId="1" fontId="7" fillId="0" borderId="0" xfId="3" quotePrefix="1" applyNumberFormat="1" applyFont="1" applyFill="1" applyAlignment="1">
      <alignment horizontal="center"/>
    </xf>
    <xf numFmtId="9" fontId="11" fillId="0" borderId="0" xfId="6" applyFont="1" applyAlignment="1">
      <alignment horizontal="center"/>
    </xf>
    <xf numFmtId="9" fontId="11" fillId="0" borderId="1" xfId="6" applyFont="1" applyBorder="1" applyAlignment="1">
      <alignment horizontal="center"/>
    </xf>
    <xf numFmtId="0" fontId="12" fillId="2" borderId="0" xfId="3" applyFont="1" applyFill="1"/>
    <xf numFmtId="0" fontId="2" fillId="2" borderId="0" xfId="3" applyFont="1" applyFill="1"/>
    <xf numFmtId="0" fontId="7" fillId="0" borderId="0" xfId="3" applyFont="1"/>
    <xf numFmtId="0" fontId="7" fillId="0" borderId="0" xfId="3" applyFont="1" applyAlignment="1">
      <alignment horizontal="center"/>
    </xf>
    <xf numFmtId="164" fontId="7" fillId="0" borderId="0" xfId="3" applyNumberFormat="1" applyFont="1" applyAlignment="1">
      <alignment horizontal="center"/>
    </xf>
    <xf numFmtId="167" fontId="7" fillId="0" borderId="0" xfId="3" applyNumberFormat="1" applyFont="1" applyAlignment="1">
      <alignment horizontal="center"/>
    </xf>
    <xf numFmtId="0" fontId="15" fillId="0" borderId="0" xfId="0" applyFont="1"/>
    <xf numFmtId="0" fontId="0" fillId="0" borderId="0" xfId="0" quotePrefix="1"/>
    <xf numFmtId="165" fontId="7" fillId="0" borderId="0" xfId="3" applyNumberFormat="1" applyFont="1" applyBorder="1" applyAlignment="1">
      <alignment horizontal="center"/>
    </xf>
    <xf numFmtId="1" fontId="7" fillId="0" borderId="0" xfId="3" applyNumberFormat="1" applyFont="1" applyBorder="1" applyAlignment="1">
      <alignment horizontal="center"/>
    </xf>
    <xf numFmtId="0" fontId="7" fillId="0" borderId="0" xfId="3" applyFont="1" applyFill="1" applyAlignment="1">
      <alignment horizontal="center"/>
    </xf>
    <xf numFmtId="0" fontId="7" fillId="0" borderId="0" xfId="3" applyFont="1" applyFill="1" applyBorder="1" applyAlignment="1">
      <alignment horizontal="center"/>
    </xf>
    <xf numFmtId="9" fontId="7" fillId="0" borderId="0" xfId="3" applyNumberFormat="1" applyFont="1" applyFill="1" applyBorder="1" applyAlignment="1">
      <alignment horizontal="center"/>
    </xf>
    <xf numFmtId="9" fontId="7" fillId="0" borderId="0" xfId="3" applyNumberFormat="1" applyFont="1" applyFill="1" applyAlignment="1">
      <alignment horizontal="center"/>
    </xf>
    <xf numFmtId="9" fontId="7" fillId="0" borderId="0" xfId="3" applyNumberFormat="1" applyFont="1" applyBorder="1" applyAlignment="1">
      <alignment horizontal="center"/>
    </xf>
    <xf numFmtId="9" fontId="7" fillId="0" borderId="0" xfId="3" applyNumberFormat="1" applyFont="1" applyAlignment="1">
      <alignment horizontal="center"/>
    </xf>
    <xf numFmtId="1" fontId="7" fillId="0" borderId="0" xfId="3" applyNumberFormat="1" applyFont="1" applyAlignment="1">
      <alignment horizontal="center"/>
    </xf>
    <xf numFmtId="9" fontId="2" fillId="0" borderId="0" xfId="6" applyFont="1" applyBorder="1" applyAlignment="1">
      <alignment horizontal="center"/>
    </xf>
    <xf numFmtId="0" fontId="7" fillId="0" borderId="0" xfId="3" applyFont="1" applyBorder="1"/>
    <xf numFmtId="0" fontId="7" fillId="2" borderId="0" xfId="3" applyFont="1" applyFill="1"/>
    <xf numFmtId="0" fontId="7" fillId="2" borderId="0" xfId="3" applyFont="1" applyFill="1" applyBorder="1"/>
    <xf numFmtId="165" fontId="7" fillId="0" borderId="0" xfId="3" applyNumberFormat="1" applyFont="1" applyFill="1" applyBorder="1" applyAlignment="1">
      <alignment horizontal="center"/>
    </xf>
    <xf numFmtId="165" fontId="7" fillId="0" borderId="0" xfId="3" applyNumberFormat="1" applyFont="1" applyFill="1" applyAlignment="1">
      <alignment horizontal="center"/>
    </xf>
    <xf numFmtId="11" fontId="7" fillId="0" borderId="0" xfId="3" applyNumberFormat="1" applyFont="1" applyBorder="1" applyAlignment="1">
      <alignment horizontal="center"/>
    </xf>
    <xf numFmtId="11" fontId="7" fillId="0" borderId="0" xfId="3" applyNumberFormat="1" applyFont="1" applyAlignment="1">
      <alignment horizontal="center"/>
    </xf>
    <xf numFmtId="3" fontId="7" fillId="0" borderId="0" xfId="3" applyNumberFormat="1" applyFont="1" applyBorder="1" applyAlignment="1">
      <alignment horizontal="center"/>
    </xf>
    <xf numFmtId="1" fontId="7" fillId="0" borderId="0" xfId="3" quotePrefix="1" applyNumberFormat="1" applyFont="1" applyFill="1" applyBorder="1" applyAlignment="1">
      <alignment horizontal="center"/>
    </xf>
    <xf numFmtId="0" fontId="7" fillId="0" borderId="1" xfId="3" applyFont="1" applyBorder="1"/>
    <xf numFmtId="0" fontId="7" fillId="0" borderId="1" xfId="3" applyFont="1" applyBorder="1" applyAlignment="1">
      <alignment horizontal="center"/>
    </xf>
    <xf numFmtId="2" fontId="7" fillId="0" borderId="0" xfId="3" applyNumberFormat="1" applyFont="1" applyAlignment="1">
      <alignment horizontal="center"/>
    </xf>
    <xf numFmtId="164" fontId="7" fillId="0" borderId="0" xfId="3" applyNumberFormat="1" applyFont="1" applyFill="1" applyAlignment="1">
      <alignment horizontal="center"/>
    </xf>
    <xf numFmtId="166" fontId="7" fillId="0" borderId="0" xfId="3" applyNumberFormat="1" applyFont="1" applyAlignment="1">
      <alignment horizontal="center"/>
    </xf>
    <xf numFmtId="9" fontId="2" fillId="2" borderId="0" xfId="6" applyFont="1" applyFill="1" applyAlignment="1">
      <alignment horizontal="center"/>
    </xf>
    <xf numFmtId="1" fontId="7" fillId="0" borderId="0" xfId="3" applyNumberFormat="1" applyFont="1"/>
    <xf numFmtId="3" fontId="7" fillId="0" borderId="0" xfId="3" applyNumberFormat="1" applyAlignment="1">
      <alignment horizontal="center"/>
    </xf>
    <xf numFmtId="0" fontId="7" fillId="3" borderId="0" xfId="3" applyFill="1" applyAlignment="1">
      <alignment horizontal="center"/>
    </xf>
    <xf numFmtId="1" fontId="0" fillId="0" borderId="0" xfId="0" applyNumberFormat="1" applyAlignment="1">
      <alignment horizontal="center"/>
    </xf>
    <xf numFmtId="164" fontId="0" fillId="0" borderId="0" xfId="0" applyNumberFormat="1" applyBorder="1" applyAlignment="1">
      <alignment horizontal="center"/>
    </xf>
    <xf numFmtId="1" fontId="0" fillId="0" borderId="0" xfId="0" applyNumberFormat="1" applyBorder="1" applyAlignment="1">
      <alignment horizontal="center"/>
    </xf>
    <xf numFmtId="9" fontId="0" fillId="0" borderId="0" xfId="5" applyFont="1" applyBorder="1" applyAlignment="1">
      <alignment horizontal="center"/>
    </xf>
    <xf numFmtId="0" fontId="0" fillId="0" borderId="0" xfId="0" applyFont="1" applyBorder="1" applyAlignment="1">
      <alignment horizontal="left" vertical="center" wrapText="1"/>
    </xf>
    <xf numFmtId="0" fontId="7" fillId="3" borderId="0" xfId="3" applyFont="1" applyFill="1" applyAlignment="1">
      <alignment horizontal="center"/>
    </xf>
    <xf numFmtId="0" fontId="7" fillId="0" borderId="0" xfId="3" applyFont="1" applyAlignment="1">
      <alignment horizontal="left" indent="1"/>
    </xf>
    <xf numFmtId="9" fontId="7" fillId="0" borderId="0" xfId="5" applyFont="1" applyBorder="1" applyAlignment="1">
      <alignment horizontal="center"/>
    </xf>
    <xf numFmtId="9" fontId="18" fillId="0" borderId="0" xfId="5" applyFont="1" applyBorder="1" applyAlignment="1">
      <alignment horizontal="center"/>
    </xf>
    <xf numFmtId="9" fontId="18" fillId="0" borderId="0" xfId="5" applyFont="1" applyFill="1" applyBorder="1" applyAlignment="1">
      <alignment horizontal="center"/>
    </xf>
    <xf numFmtId="0" fontId="7" fillId="0" borderId="0" xfId="3" applyAlignment="1">
      <alignment horizontal="left" indent="1"/>
    </xf>
    <xf numFmtId="9" fontId="7" fillId="0" borderId="0" xfId="5" applyFont="1" applyAlignment="1">
      <alignment horizontal="center"/>
    </xf>
    <xf numFmtId="1" fontId="7" fillId="0" borderId="0" xfId="5" applyNumberFormat="1" applyFont="1" applyAlignment="1">
      <alignment horizontal="center"/>
    </xf>
    <xf numFmtId="0" fontId="7" fillId="0" borderId="0" xfId="3" applyAlignment="1">
      <alignment horizontal="center"/>
    </xf>
    <xf numFmtId="0" fontId="7" fillId="0" borderId="0" xfId="3" applyAlignment="1">
      <alignment horizontal="left"/>
    </xf>
    <xf numFmtId="0" fontId="8" fillId="4" borderId="2" xfId="3" applyFont="1" applyFill="1" applyBorder="1" applyAlignment="1">
      <alignment horizontal="center"/>
    </xf>
    <xf numFmtId="0" fontId="8" fillId="4" borderId="3" xfId="3" applyFont="1" applyFill="1" applyBorder="1" applyAlignment="1">
      <alignment horizontal="center"/>
    </xf>
    <xf numFmtId="0" fontId="8" fillId="4" borderId="4" xfId="3" applyFont="1" applyFill="1" applyBorder="1" applyAlignment="1">
      <alignment horizontal="center"/>
    </xf>
    <xf numFmtId="1" fontId="7" fillId="4" borderId="5" xfId="3" applyNumberFormat="1" applyFill="1" applyBorder="1" applyAlignment="1">
      <alignment horizontal="center"/>
    </xf>
    <xf numFmtId="1" fontId="7" fillId="4" borderId="6" xfId="3" applyNumberFormat="1" applyFill="1" applyBorder="1" applyAlignment="1">
      <alignment horizontal="center"/>
    </xf>
    <xf numFmtId="1" fontId="7" fillId="4" borderId="7" xfId="3" applyNumberFormat="1" applyFill="1" applyBorder="1" applyAlignment="1">
      <alignment horizontal="center"/>
    </xf>
    <xf numFmtId="0" fontId="5" fillId="0" borderId="0" xfId="0" applyFont="1"/>
    <xf numFmtId="0" fontId="20" fillId="0" borderId="0" xfId="0" applyFont="1"/>
    <xf numFmtId="164" fontId="22" fillId="0" borderId="0" xfId="0" applyNumberFormat="1" applyFont="1" applyBorder="1" applyAlignment="1">
      <alignment horizontal="center"/>
    </xf>
    <xf numFmtId="1" fontId="22" fillId="0" borderId="0" xfId="0" applyNumberFormat="1" applyFont="1" applyBorder="1" applyAlignment="1">
      <alignment horizontal="center"/>
    </xf>
    <xf numFmtId="9" fontId="22" fillId="0" borderId="8" xfId="5" applyFont="1" applyBorder="1" applyAlignment="1">
      <alignment horizontal="center"/>
    </xf>
    <xf numFmtId="1" fontId="22" fillId="0" borderId="6" xfId="0" applyNumberFormat="1" applyFont="1" applyBorder="1" applyAlignment="1">
      <alignment horizontal="center"/>
    </xf>
    <xf numFmtId="9" fontId="22" fillId="0" borderId="7" xfId="5" applyFont="1" applyBorder="1" applyAlignment="1">
      <alignment horizontal="center"/>
    </xf>
    <xf numFmtId="164" fontId="23" fillId="0" borderId="0" xfId="3" applyNumberFormat="1" applyFont="1" applyBorder="1" applyAlignment="1">
      <alignment horizontal="center"/>
    </xf>
    <xf numFmtId="0" fontId="8" fillId="5" borderId="0" xfId="3" applyFont="1" applyFill="1" applyAlignment="1">
      <alignment horizontal="center"/>
    </xf>
    <xf numFmtId="165" fontId="7" fillId="3" borderId="0" xfId="3" applyNumberFormat="1" applyFont="1" applyFill="1" applyBorder="1" applyAlignment="1">
      <alignment horizontal="center"/>
    </xf>
    <xf numFmtId="0" fontId="7" fillId="3" borderId="0" xfId="3" applyFont="1" applyFill="1" applyBorder="1" applyAlignment="1">
      <alignment horizontal="center"/>
    </xf>
    <xf numFmtId="1" fontId="7" fillId="3" borderId="0" xfId="3" applyNumberFormat="1" applyFont="1" applyFill="1" applyBorder="1" applyAlignment="1">
      <alignment horizontal="center"/>
    </xf>
    <xf numFmtId="9" fontId="7" fillId="3" borderId="0" xfId="3" applyNumberFormat="1" applyFont="1" applyFill="1" applyBorder="1" applyAlignment="1">
      <alignment horizontal="center"/>
    </xf>
    <xf numFmtId="0" fontId="22" fillId="0" borderId="0" xfId="0" applyFont="1" applyBorder="1" applyAlignment="1">
      <alignment horizontal="left" vertical="center" wrapText="1"/>
    </xf>
    <xf numFmtId="9" fontId="22" fillId="0" borderId="0" xfId="5" applyFont="1" applyBorder="1" applyAlignment="1">
      <alignment horizontal="center"/>
    </xf>
    <xf numFmtId="0" fontId="22" fillId="0" borderId="0" xfId="0" applyFont="1" applyAlignment="1">
      <alignment horizontal="left"/>
    </xf>
    <xf numFmtId="1" fontId="22" fillId="3" borderId="0" xfId="0" applyNumberFormat="1" applyFont="1" applyFill="1" applyAlignment="1">
      <alignment horizontal="center"/>
    </xf>
    <xf numFmtId="9" fontId="22" fillId="3" borderId="0" xfId="0" applyNumberFormat="1" applyFont="1" applyFill="1" applyAlignment="1">
      <alignment horizontal="center"/>
    </xf>
    <xf numFmtId="9" fontId="22" fillId="3" borderId="0" xfId="5" applyFont="1" applyFill="1" applyAlignment="1">
      <alignment horizontal="center"/>
    </xf>
    <xf numFmtId="0" fontId="7" fillId="2" borderId="0" xfId="3" applyFont="1" applyFill="1" applyAlignment="1">
      <alignment horizontal="center"/>
    </xf>
    <xf numFmtId="1" fontId="7" fillId="3" borderId="0" xfId="5" applyNumberFormat="1" applyFont="1" applyFill="1" applyAlignment="1">
      <alignment horizontal="center"/>
    </xf>
    <xf numFmtId="1" fontId="7" fillId="0" borderId="0" xfId="3" applyNumberFormat="1" applyBorder="1" applyAlignment="1">
      <alignment horizontal="center"/>
    </xf>
    <xf numFmtId="1" fontId="7" fillId="0" borderId="6" xfId="3" applyNumberFormat="1" applyBorder="1" applyAlignment="1">
      <alignment horizontal="center"/>
    </xf>
    <xf numFmtId="0" fontId="27" fillId="0" borderId="0" xfId="0" applyFont="1"/>
    <xf numFmtId="164" fontId="7" fillId="0" borderId="6" xfId="3" applyNumberFormat="1" applyBorder="1" applyAlignment="1">
      <alignment horizontal="center"/>
    </xf>
    <xf numFmtId="164" fontId="22" fillId="0" borderId="9" xfId="0" applyNumberFormat="1" applyFont="1" applyBorder="1" applyAlignment="1">
      <alignment horizontal="center"/>
    </xf>
    <xf numFmtId="0" fontId="15" fillId="0" borderId="0" xfId="0" applyFont="1" applyAlignment="1">
      <alignment horizontal="center" wrapText="1"/>
    </xf>
    <xf numFmtId="164" fontId="22" fillId="0" borderId="5" xfId="0" applyNumberFormat="1" applyFont="1" applyBorder="1" applyAlignment="1">
      <alignment horizontal="center"/>
    </xf>
    <xf numFmtId="0" fontId="32" fillId="0" borderId="0" xfId="0" applyFont="1" applyAlignment="1">
      <alignment horizontal="center" wrapText="1"/>
    </xf>
    <xf numFmtId="0" fontId="32" fillId="0" borderId="10" xfId="0" applyFont="1" applyBorder="1" applyAlignment="1">
      <alignment horizontal="center" wrapText="1"/>
    </xf>
    <xf numFmtId="0" fontId="32" fillId="0" borderId="11" xfId="0" applyFont="1" applyBorder="1" applyAlignment="1">
      <alignment horizontal="center" wrapText="1"/>
    </xf>
    <xf numFmtId="0" fontId="32" fillId="0" borderId="12" xfId="0" applyFont="1" applyBorder="1" applyAlignment="1">
      <alignment horizontal="center" wrapText="1"/>
    </xf>
    <xf numFmtId="0" fontId="27" fillId="0" borderId="0" xfId="0" applyFont="1" applyAlignment="1">
      <alignment wrapText="1"/>
    </xf>
    <xf numFmtId="1" fontId="27" fillId="0" borderId="0" xfId="0" applyNumberFormat="1" applyFont="1" applyAlignment="1">
      <alignment horizontal="center"/>
    </xf>
    <xf numFmtId="9" fontId="27" fillId="0" borderId="0" xfId="5" applyFont="1" applyAlignment="1">
      <alignment horizontal="center"/>
    </xf>
    <xf numFmtId="165" fontId="27" fillId="0" borderId="0" xfId="0" applyNumberFormat="1" applyFont="1" applyAlignment="1">
      <alignment horizontal="center"/>
    </xf>
    <xf numFmtId="0" fontId="27" fillId="0" borderId="13" xfId="0" applyFont="1" applyBorder="1"/>
    <xf numFmtId="0" fontId="32" fillId="0" borderId="14" xfId="0" applyFont="1" applyBorder="1" applyAlignment="1">
      <alignment horizontal="center" wrapText="1"/>
    </xf>
    <xf numFmtId="0" fontId="27" fillId="0" borderId="0" xfId="0" applyFont="1" applyAlignment="1">
      <alignment horizontal="center" wrapText="1"/>
    </xf>
    <xf numFmtId="0" fontId="27" fillId="0" borderId="0" xfId="0" applyFont="1" applyAlignment="1">
      <alignment horizontal="center"/>
    </xf>
    <xf numFmtId="9" fontId="27" fillId="0" borderId="0" xfId="0" applyNumberFormat="1" applyFont="1"/>
    <xf numFmtId="11" fontId="27" fillId="0" borderId="0" xfId="0" applyNumberFormat="1" applyFont="1"/>
    <xf numFmtId="1" fontId="27" fillId="0" borderId="0" xfId="0" applyNumberFormat="1" applyFont="1"/>
    <xf numFmtId="0" fontId="34" fillId="0" borderId="0" xfId="0" applyFont="1"/>
    <xf numFmtId="0" fontId="27" fillId="0" borderId="0" xfId="0" applyFont="1" applyAlignment="1">
      <alignment horizontal="left" indent="1"/>
    </xf>
    <xf numFmtId="0" fontId="32" fillId="0" borderId="0" xfId="0" applyFont="1"/>
    <xf numFmtId="10" fontId="27" fillId="0" borderId="0" xfId="0" applyNumberFormat="1" applyFont="1"/>
    <xf numFmtId="0" fontId="32" fillId="0" borderId="0" xfId="0" applyFont="1" applyAlignment="1"/>
    <xf numFmtId="11" fontId="7" fillId="0" borderId="0" xfId="3" applyNumberFormat="1" applyAlignment="1">
      <alignment horizontal="center"/>
    </xf>
    <xf numFmtId="164" fontId="18" fillId="0" borderId="0" xfId="5" applyNumberFormat="1" applyFont="1" applyFill="1" applyBorder="1" applyAlignment="1">
      <alignment horizontal="center"/>
    </xf>
    <xf numFmtId="164" fontId="18" fillId="0" borderId="0" xfId="5" applyNumberFormat="1" applyFont="1" applyBorder="1" applyAlignment="1">
      <alignment horizontal="center"/>
    </xf>
    <xf numFmtId="164" fontId="1" fillId="0" borderId="0" xfId="5" applyNumberFormat="1" applyFont="1" applyBorder="1" applyAlignment="1">
      <alignment horizontal="center"/>
    </xf>
    <xf numFmtId="1" fontId="27" fillId="0" borderId="0" xfId="0" applyNumberFormat="1" applyFont="1" applyBorder="1" applyAlignment="1">
      <alignment horizontal="left"/>
    </xf>
    <xf numFmtId="1" fontId="27" fillId="0" borderId="0" xfId="0" applyNumberFormat="1" applyFont="1" applyBorder="1" applyAlignment="1">
      <alignment horizontal="right"/>
    </xf>
    <xf numFmtId="0" fontId="27" fillId="0" borderId="0" xfId="0" applyFont="1" applyAlignment="1"/>
    <xf numFmtId="0" fontId="27" fillId="0" borderId="0" xfId="0" applyFont="1" applyFill="1" applyAlignment="1"/>
    <xf numFmtId="9" fontId="27" fillId="0" borderId="0" xfId="0" applyNumberFormat="1" applyFont="1" applyFill="1" applyAlignment="1">
      <alignment horizontal="center"/>
    </xf>
    <xf numFmtId="0" fontId="35" fillId="0" borderId="0" xfId="0" applyFont="1" applyBorder="1" applyAlignment="1">
      <alignment horizontal="right"/>
    </xf>
    <xf numFmtId="0" fontId="38" fillId="0" borderId="0" xfId="0" applyFont="1"/>
    <xf numFmtId="0" fontId="35" fillId="0" borderId="0" xfId="0" applyFont="1" applyBorder="1"/>
    <xf numFmtId="0" fontId="39" fillId="0" borderId="0" xfId="0" applyFont="1"/>
    <xf numFmtId="9" fontId="27" fillId="0" borderId="0" xfId="5" applyFont="1"/>
    <xf numFmtId="0" fontId="27" fillId="0" borderId="0" xfId="0" applyFont="1" applyAlignment="1">
      <alignment horizontal="left"/>
    </xf>
    <xf numFmtId="0" fontId="32" fillId="0" borderId="0" xfId="0" applyFont="1" applyAlignment="1">
      <alignment horizontal="center"/>
    </xf>
    <xf numFmtId="1" fontId="27" fillId="0" borderId="0" xfId="0" applyNumberFormat="1" applyFont="1" applyAlignment="1">
      <alignment horizontal="center" wrapText="1"/>
    </xf>
    <xf numFmtId="1" fontId="32" fillId="0" borderId="0" xfId="0" applyNumberFormat="1" applyFont="1" applyAlignment="1">
      <alignment horizontal="center"/>
    </xf>
    <xf numFmtId="164" fontId="27" fillId="0" borderId="0" xfId="0" applyNumberFormat="1" applyFont="1"/>
    <xf numFmtId="0" fontId="27" fillId="0" borderId="0" xfId="0" applyFont="1" applyBorder="1" applyAlignment="1">
      <alignment horizontal="left"/>
    </xf>
    <xf numFmtId="165" fontId="7" fillId="0" borderId="0" xfId="3" applyNumberFormat="1"/>
    <xf numFmtId="37" fontId="8" fillId="0" borderId="0" xfId="1" applyNumberFormat="1" applyFont="1" applyAlignment="1">
      <alignment horizontal="center"/>
    </xf>
    <xf numFmtId="0" fontId="8" fillId="0" borderId="0" xfId="3" applyFont="1" applyAlignment="1">
      <alignment horizontal="left"/>
    </xf>
    <xf numFmtId="10" fontId="27" fillId="0" borderId="0" xfId="0" applyNumberFormat="1" applyFont="1" applyAlignment="1">
      <alignment wrapText="1"/>
    </xf>
    <xf numFmtId="11" fontId="27" fillId="0" borderId="0" xfId="0" applyNumberFormat="1" applyFont="1" applyAlignment="1">
      <alignment wrapText="1"/>
    </xf>
    <xf numFmtId="9" fontId="22" fillId="0" borderId="15" xfId="5" applyFont="1" applyBorder="1" applyAlignment="1">
      <alignment horizontal="center"/>
    </xf>
    <xf numFmtId="9" fontId="22" fillId="0" borderId="14" xfId="5" applyFont="1" applyBorder="1" applyAlignment="1">
      <alignment horizontal="center"/>
    </xf>
    <xf numFmtId="0" fontId="22" fillId="0" borderId="9" xfId="0" applyFont="1" applyBorder="1" applyAlignment="1">
      <alignment horizontal="center" vertical="center"/>
    </xf>
    <xf numFmtId="0" fontId="22" fillId="0" borderId="9" xfId="0" applyFont="1" applyBorder="1" applyAlignment="1">
      <alignment horizontal="center" vertical="center" wrapText="1"/>
    </xf>
    <xf numFmtId="0" fontId="23" fillId="0" borderId="9" xfId="3" applyFont="1" applyBorder="1" applyAlignment="1">
      <alignment horizontal="center"/>
    </xf>
    <xf numFmtId="0" fontId="7" fillId="0" borderId="5" xfId="3" applyBorder="1" applyAlignment="1">
      <alignment horizontal="center"/>
    </xf>
    <xf numFmtId="0" fontId="12" fillId="0" borderId="0" xfId="0" applyFont="1" applyAlignment="1">
      <alignment horizontal="center" wrapText="1"/>
    </xf>
    <xf numFmtId="1" fontId="2" fillId="0" borderId="0" xfId="3" applyNumberFormat="1" applyFont="1" applyFill="1" applyAlignment="1">
      <alignment horizontal="center"/>
    </xf>
    <xf numFmtId="9" fontId="7" fillId="0" borderId="0" xfId="3" applyNumberFormat="1" applyAlignment="1">
      <alignment horizontal="center"/>
    </xf>
    <xf numFmtId="0" fontId="0" fillId="0" borderId="0" xfId="0" applyAlignment="1"/>
    <xf numFmtId="1" fontId="7" fillId="0" borderId="15" xfId="3" applyNumberFormat="1" applyBorder="1" applyAlignment="1">
      <alignment horizontal="center"/>
    </xf>
    <xf numFmtId="1" fontId="7" fillId="0" borderId="14" xfId="3" applyNumberFormat="1" applyBorder="1" applyAlignment="1">
      <alignment horizontal="center"/>
    </xf>
    <xf numFmtId="9" fontId="0" fillId="0" borderId="0" xfId="0" applyNumberFormat="1" applyAlignment="1"/>
    <xf numFmtId="0" fontId="0" fillId="0" borderId="0" xfId="0" applyAlignment="1">
      <alignment horizontal="center"/>
    </xf>
    <xf numFmtId="0" fontId="15" fillId="0" borderId="0" xfId="0" applyFont="1" applyAlignment="1"/>
    <xf numFmtId="9" fontId="15" fillId="0" borderId="0" xfId="0" applyNumberFormat="1" applyFont="1" applyAlignment="1">
      <alignment horizontal="center" wrapText="1"/>
    </xf>
    <xf numFmtId="9" fontId="15" fillId="3" borderId="0" xfId="0" applyNumberFormat="1" applyFont="1" applyFill="1" applyAlignment="1">
      <alignment horizontal="center"/>
    </xf>
    <xf numFmtId="0" fontId="36" fillId="6" borderId="0" xfId="3" applyFont="1" applyFill="1"/>
    <xf numFmtId="0" fontId="7" fillId="6" borderId="0" xfId="3" applyFill="1"/>
    <xf numFmtId="0" fontId="1" fillId="0" borderId="0" xfId="0" applyFont="1" applyAlignment="1">
      <alignment horizontal="left"/>
    </xf>
    <xf numFmtId="0" fontId="1" fillId="0" borderId="0" xfId="0" applyFont="1"/>
    <xf numFmtId="1" fontId="7" fillId="0" borderId="0" xfId="3" applyNumberFormat="1" applyAlignment="1">
      <alignment horizontal="center"/>
    </xf>
    <xf numFmtId="164" fontId="7" fillId="0" borderId="0" xfId="5" applyNumberFormat="1" applyFont="1" applyBorder="1" applyAlignment="1">
      <alignment horizontal="center"/>
    </xf>
    <xf numFmtId="164" fontId="43" fillId="0" borderId="0" xfId="5" applyNumberFormat="1" applyFont="1" applyBorder="1" applyAlignment="1">
      <alignment horizontal="center"/>
    </xf>
    <xf numFmtId="166" fontId="7" fillId="3" borderId="0" xfId="3" applyNumberFormat="1" applyFill="1" applyAlignment="1">
      <alignment horizontal="center"/>
    </xf>
    <xf numFmtId="1" fontId="1" fillId="0" borderId="0" xfId="0" applyNumberFormat="1" applyFont="1" applyBorder="1" applyAlignment="1">
      <alignment horizontal="center"/>
    </xf>
    <xf numFmtId="164" fontId="0" fillId="0" borderId="0" xfId="0" applyNumberFormat="1"/>
    <xf numFmtId="9" fontId="7" fillId="3" borderId="0" xfId="3" applyNumberFormat="1" applyFont="1" applyFill="1" applyBorder="1" applyAlignment="1">
      <alignment horizontal="center"/>
    </xf>
    <xf numFmtId="9" fontId="0" fillId="0" borderId="0" xfId="5" applyFont="1"/>
    <xf numFmtId="165" fontId="7" fillId="0" borderId="0" xfId="3" applyNumberFormat="1" applyFill="1" applyBorder="1"/>
    <xf numFmtId="0" fontId="7" fillId="0" borderId="0" xfId="3" applyFill="1" applyBorder="1"/>
    <xf numFmtId="166" fontId="7" fillId="0" borderId="0" xfId="3" applyNumberFormat="1" applyFill="1" applyBorder="1"/>
    <xf numFmtId="9" fontId="7" fillId="2" borderId="0" xfId="6" applyNumberFormat="1" applyFont="1" applyFill="1" applyAlignment="1">
      <alignment horizontal="center"/>
    </xf>
    <xf numFmtId="1" fontId="7" fillId="0" borderId="0" xfId="3" applyNumberFormat="1" applyFont="1" applyAlignment="1">
      <alignment horizontal="right"/>
    </xf>
    <xf numFmtId="1" fontId="22" fillId="0" borderId="0" xfId="0" applyNumberFormat="1" applyFont="1" applyFill="1" applyBorder="1" applyAlignment="1">
      <alignment horizontal="center"/>
    </xf>
    <xf numFmtId="0" fontId="8" fillId="0" borderId="0" xfId="3" applyFont="1" applyAlignment="1"/>
    <xf numFmtId="9" fontId="22" fillId="0" borderId="7" xfId="5" applyNumberFormat="1" applyFont="1" applyBorder="1" applyAlignment="1">
      <alignment horizontal="center"/>
    </xf>
    <xf numFmtId="0" fontId="12" fillId="0" borderId="9" xfId="0" applyFont="1" applyBorder="1" applyAlignment="1">
      <alignment horizontal="center" vertical="center" wrapText="1"/>
    </xf>
    <xf numFmtId="11" fontId="28" fillId="0" borderId="0" xfId="0" applyNumberFormat="1" applyFont="1" applyBorder="1" applyAlignment="1">
      <alignment horizontal="center" vertical="center"/>
    </xf>
    <xf numFmtId="0" fontId="28" fillId="0" borderId="0" xfId="0" applyFont="1" applyBorder="1" applyAlignment="1">
      <alignment horizontal="center" vertical="center"/>
    </xf>
    <xf numFmtId="11" fontId="21" fillId="0" borderId="8" xfId="0" applyNumberFormat="1" applyFont="1" applyBorder="1" applyAlignment="1">
      <alignment horizontal="center" vertical="center"/>
    </xf>
    <xf numFmtId="0" fontId="16" fillId="0" borderId="2" xfId="3" applyFont="1" applyBorder="1" applyAlignment="1">
      <alignment horizontal="center" vertical="center"/>
    </xf>
    <xf numFmtId="0" fontId="16" fillId="0" borderId="3" xfId="3" applyFont="1" applyBorder="1" applyAlignment="1">
      <alignment horizontal="center" vertical="center"/>
    </xf>
    <xf numFmtId="11" fontId="21" fillId="0" borderId="4" xfId="0" applyNumberFormat="1" applyFont="1" applyBorder="1" applyAlignment="1">
      <alignment horizontal="center" vertical="center"/>
    </xf>
    <xf numFmtId="9" fontId="8" fillId="0" borderId="2" xfId="3" applyNumberFormat="1" applyFont="1" applyBorder="1" applyAlignment="1">
      <alignment horizontal="center" vertical="center"/>
    </xf>
    <xf numFmtId="166" fontId="8" fillId="0" borderId="4" xfId="5" applyNumberFormat="1" applyFont="1" applyBorder="1" applyAlignment="1">
      <alignment horizontal="center" vertical="center"/>
    </xf>
    <xf numFmtId="0" fontId="8" fillId="0" borderId="15" xfId="3" applyFont="1" applyBorder="1" applyAlignment="1">
      <alignment horizontal="center" vertical="center"/>
    </xf>
    <xf numFmtId="0" fontId="8" fillId="0" borderId="13" xfId="3" applyFont="1" applyBorder="1" applyAlignment="1">
      <alignment horizontal="center" vertical="center"/>
    </xf>
    <xf numFmtId="0" fontId="45" fillId="0" borderId="0" xfId="0" applyFont="1"/>
    <xf numFmtId="0" fontId="46" fillId="0" borderId="0" xfId="0" applyFont="1"/>
    <xf numFmtId="0" fontId="47" fillId="0" borderId="0" xfId="0" applyFont="1"/>
    <xf numFmtId="0" fontId="45" fillId="0" borderId="0" xfId="0" applyFont="1" applyAlignment="1">
      <alignment horizontal="center" wrapText="1"/>
    </xf>
    <xf numFmtId="0" fontId="45" fillId="0" borderId="0" xfId="0" applyFont="1" applyAlignment="1">
      <alignment horizontal="center"/>
    </xf>
    <xf numFmtId="1" fontId="47" fillId="0" borderId="0" xfId="0" applyNumberFormat="1" applyFont="1" applyAlignment="1">
      <alignment horizontal="center"/>
    </xf>
    <xf numFmtId="0" fontId="49" fillId="4" borderId="0" xfId="0" applyFont="1" applyFill="1" applyBorder="1" applyAlignment="1">
      <alignment vertical="top"/>
    </xf>
    <xf numFmtId="0" fontId="0" fillId="4" borderId="0" xfId="0" applyFill="1" applyBorder="1"/>
    <xf numFmtId="0" fontId="50" fillId="4" borderId="0" xfId="0" applyFont="1" applyFill="1" applyBorder="1"/>
    <xf numFmtId="0" fontId="49" fillId="4" borderId="0" xfId="0" applyFont="1" applyFill="1" applyBorder="1" applyAlignment="1"/>
    <xf numFmtId="0" fontId="20" fillId="4" borderId="0" xfId="0" applyFont="1" applyFill="1" applyBorder="1" applyAlignment="1">
      <alignment wrapText="1"/>
    </xf>
    <xf numFmtId="0" fontId="20" fillId="4" borderId="0" xfId="0" applyFont="1" applyFill="1" applyBorder="1"/>
    <xf numFmtId="0" fontId="51" fillId="4" borderId="0" xfId="0" applyFont="1" applyFill="1" applyBorder="1" applyAlignment="1">
      <alignment horizontal="justify" wrapText="1"/>
    </xf>
    <xf numFmtId="0" fontId="46" fillId="7" borderId="0" xfId="0" applyFont="1" applyFill="1"/>
    <xf numFmtId="0" fontId="47" fillId="7" borderId="0" xfId="0" applyFont="1" applyFill="1"/>
    <xf numFmtId="15" fontId="47" fillId="7" borderId="0" xfId="0" applyNumberFormat="1" applyFont="1" applyFill="1" applyAlignment="1">
      <alignment horizontal="left"/>
    </xf>
    <xf numFmtId="0" fontId="45" fillId="7" borderId="0" xfId="0" applyFont="1" applyFill="1"/>
    <xf numFmtId="0" fontId="47" fillId="7" borderId="0" xfId="2" applyFont="1" applyFill="1" applyAlignment="1" applyProtection="1"/>
    <xf numFmtId="0" fontId="47" fillId="7" borderId="0" xfId="0" applyFont="1" applyFill="1" applyAlignment="1">
      <alignment vertical="top" wrapText="1"/>
    </xf>
    <xf numFmtId="0" fontId="7" fillId="8" borderId="0" xfId="3" applyFont="1" applyFill="1"/>
    <xf numFmtId="0" fontId="7" fillId="8" borderId="0" xfId="3" applyFill="1"/>
    <xf numFmtId="0" fontId="8" fillId="8" borderId="0" xfId="3" applyFont="1" applyFill="1" applyAlignment="1">
      <alignment horizontal="center"/>
    </xf>
    <xf numFmtId="0" fontId="47" fillId="7" borderId="0" xfId="0" applyFont="1" applyFill="1" applyAlignment="1">
      <alignment vertical="top" wrapText="1"/>
    </xf>
    <xf numFmtId="0" fontId="45" fillId="7" borderId="0" xfId="0" applyFont="1" applyFill="1" applyAlignment="1">
      <alignment vertical="top" wrapText="1"/>
    </xf>
    <xf numFmtId="0" fontId="51" fillId="4" borderId="0" xfId="0" applyFont="1" applyFill="1" applyBorder="1" applyAlignment="1">
      <alignment wrapText="1"/>
    </xf>
    <xf numFmtId="0" fontId="20" fillId="0" borderId="0" xfId="0" applyFont="1" applyAlignment="1"/>
    <xf numFmtId="0" fontId="20" fillId="4" borderId="0" xfId="0" applyFont="1" applyFill="1" applyAlignment="1"/>
    <xf numFmtId="0" fontId="50" fillId="4" borderId="0" xfId="0" applyFont="1" applyFill="1" applyBorder="1" applyAlignment="1">
      <alignment wrapText="1"/>
    </xf>
    <xf numFmtId="0" fontId="52" fillId="4" borderId="0" xfId="0" applyFont="1" applyFill="1" applyAlignment="1"/>
    <xf numFmtId="0" fontId="20" fillId="4" borderId="0" xfId="0" applyFont="1" applyFill="1" applyAlignment="1">
      <alignment wrapText="1"/>
    </xf>
    <xf numFmtId="0" fontId="8" fillId="4" borderId="10" xfId="3" applyFont="1" applyFill="1" applyBorder="1" applyAlignment="1">
      <alignment horizontal="center" vertical="center"/>
    </xf>
    <xf numFmtId="0" fontId="8" fillId="4" borderId="11" xfId="3" applyFont="1" applyFill="1" applyBorder="1" applyAlignment="1">
      <alignment horizontal="center" vertical="center"/>
    </xf>
    <xf numFmtId="0" fontId="8" fillId="4" borderId="12" xfId="3" applyFont="1" applyFill="1" applyBorder="1" applyAlignment="1">
      <alignment horizontal="center" vertical="center"/>
    </xf>
    <xf numFmtId="0" fontId="26" fillId="0" borderId="10" xfId="3" applyFont="1" applyBorder="1" applyAlignment="1">
      <alignment horizontal="center"/>
    </xf>
    <xf numFmtId="0" fontId="26" fillId="0" borderId="11" xfId="3" applyFont="1" applyBorder="1" applyAlignment="1">
      <alignment horizontal="center"/>
    </xf>
    <xf numFmtId="0" fontId="26" fillId="0" borderId="12" xfId="3" applyFont="1" applyBorder="1" applyAlignment="1">
      <alignment horizontal="center"/>
    </xf>
    <xf numFmtId="0" fontId="8" fillId="0" borderId="10" xfId="3" applyFont="1" applyBorder="1" applyAlignment="1">
      <alignment horizontal="center"/>
    </xf>
    <xf numFmtId="0" fontId="8" fillId="0" borderId="11" xfId="3" applyFont="1" applyBorder="1" applyAlignment="1">
      <alignment horizontal="center"/>
    </xf>
    <xf numFmtId="0" fontId="8" fillId="0" borderId="12" xfId="3" applyFont="1" applyBorder="1" applyAlignment="1">
      <alignment horizontal="center"/>
    </xf>
    <xf numFmtId="0" fontId="32" fillId="0" borderId="16" xfId="0" applyFont="1" applyBorder="1" applyAlignment="1">
      <alignment horizontal="center"/>
    </xf>
    <xf numFmtId="0" fontId="12" fillId="0" borderId="6" xfId="0" applyFont="1" applyBorder="1" applyAlignment="1">
      <alignment horizontal="center"/>
    </xf>
    <xf numFmtId="0" fontId="40" fillId="0" borderId="0" xfId="0" applyFont="1" applyBorder="1" applyAlignment="1">
      <alignment horizontal="center"/>
    </xf>
    <xf numFmtId="0" fontId="15" fillId="0" borderId="0" xfId="0" applyFont="1" applyAlignment="1">
      <alignment horizontal="right"/>
    </xf>
  </cellXfs>
  <cellStyles count="7">
    <cellStyle name="Comma" xfId="1" builtinId="3"/>
    <cellStyle name="Hyperlink" xfId="2" builtinId="8"/>
    <cellStyle name="Normal" xfId="0" builtinId="0"/>
    <cellStyle name="Normal 2" xfId="3"/>
    <cellStyle name="Normal 2 2" xfId="4"/>
    <cellStyle name="Percent" xfId="5" builtinId="5"/>
    <cellStyle name="Percent 2" xfId="6"/>
  </cellStyles>
  <dxfs count="3">
    <dxf>
      <font>
        <condense val="0"/>
        <extend val="0"/>
        <color rgb="FF006100"/>
      </font>
      <fill>
        <patternFill>
          <bgColor rgb="FFC6EFCE"/>
        </patternFill>
      </fill>
    </dxf>
    <dxf>
      <font>
        <condense val="0"/>
        <extend val="0"/>
        <color rgb="FF9C0006"/>
      </font>
      <fill>
        <patternFill>
          <bgColor rgb="FFFFC7CE"/>
        </patternFill>
      </fill>
    </dxf>
    <dxf>
      <font>
        <condense val="0"/>
        <extend val="0"/>
        <color indexed="1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8.6764236695329094E-2"/>
          <c:y val="3.4785968180912202E-2"/>
          <c:w val="0.90542239663334967"/>
          <c:h val="0.93042806363818042"/>
        </c:manualLayout>
      </c:layout>
      <c:lineChart>
        <c:grouping val="standard"/>
        <c:ser>
          <c:idx val="0"/>
          <c:order val="0"/>
          <c:tx>
            <c:v>FWP(physical)</c:v>
          </c:tx>
          <c:cat>
            <c:numRef>
              <c:f>Scenarios!$A$4:$A$9</c:f>
              <c:numCache>
                <c:formatCode>General</c:formatCode>
                <c:ptCount val="6"/>
                <c:pt idx="0">
                  <c:v>10</c:v>
                </c:pt>
                <c:pt idx="1">
                  <c:v>20</c:v>
                </c:pt>
                <c:pt idx="2">
                  <c:v>30</c:v>
                </c:pt>
                <c:pt idx="3">
                  <c:v>40</c:v>
                </c:pt>
                <c:pt idx="4">
                  <c:v>50</c:v>
                </c:pt>
                <c:pt idx="5">
                  <c:v>100</c:v>
                </c:pt>
              </c:numCache>
            </c:numRef>
          </c:cat>
          <c:val>
            <c:numRef>
              <c:f>Scenarios!$D$4:$D$9</c:f>
              <c:numCache>
                <c:formatCode>0%</c:formatCode>
                <c:ptCount val="6"/>
                <c:pt idx="0">
                  <c:v>-0.88931890072932918</c:v>
                </c:pt>
                <c:pt idx="1">
                  <c:v>-0.34487778702316851</c:v>
                </c:pt>
                <c:pt idx="2">
                  <c:v>-0.15448101097907041</c:v>
                </c:pt>
                <c:pt idx="3">
                  <c:v>-7.5929737006396936E-2</c:v>
                </c:pt>
                <c:pt idx="4">
                  <c:v>-2.3356886637343699E-2</c:v>
                </c:pt>
                <c:pt idx="5">
                  <c:v>8.31093026891081E-2</c:v>
                </c:pt>
              </c:numCache>
            </c:numRef>
          </c:val>
        </c:ser>
        <c:ser>
          <c:idx val="1"/>
          <c:order val="1"/>
          <c:tx>
            <c:v>FWP (economic)</c:v>
          </c:tx>
          <c:cat>
            <c:numRef>
              <c:f>Scenarios!$A$4:$A$9</c:f>
              <c:numCache>
                <c:formatCode>General</c:formatCode>
                <c:ptCount val="6"/>
                <c:pt idx="0">
                  <c:v>10</c:v>
                </c:pt>
                <c:pt idx="1">
                  <c:v>20</c:v>
                </c:pt>
                <c:pt idx="2">
                  <c:v>30</c:v>
                </c:pt>
                <c:pt idx="3">
                  <c:v>40</c:v>
                </c:pt>
                <c:pt idx="4">
                  <c:v>50</c:v>
                </c:pt>
                <c:pt idx="5">
                  <c:v>100</c:v>
                </c:pt>
              </c:numCache>
            </c:numRef>
          </c:cat>
          <c:val>
            <c:numRef>
              <c:f>Scenarios!$G$4:$G$9</c:f>
              <c:numCache>
                <c:formatCode>0%</c:formatCode>
                <c:ptCount val="6"/>
                <c:pt idx="0">
                  <c:v>-0.93009082656821551</c:v>
                </c:pt>
                <c:pt idx="1">
                  <c:v>-0.39907677087353743</c:v>
                </c:pt>
                <c:pt idx="2">
                  <c:v>-0.21551139119174945</c:v>
                </c:pt>
                <c:pt idx="3">
                  <c:v>-0.14368879555508851</c:v>
                </c:pt>
                <c:pt idx="4">
                  <c:v>-0.10111772570056288</c:v>
                </c:pt>
                <c:pt idx="5">
                  <c:v>-3.0676177425243756E-2</c:v>
                </c:pt>
              </c:numCache>
            </c:numRef>
          </c:val>
        </c:ser>
        <c:ser>
          <c:idx val="2"/>
          <c:order val="2"/>
          <c:tx>
            <c:v>Flow only (no discounting)</c:v>
          </c:tx>
          <c:cat>
            <c:numRef>
              <c:f>Scenarios!$A$4:$A$9</c:f>
              <c:numCache>
                <c:formatCode>General</c:formatCode>
                <c:ptCount val="6"/>
                <c:pt idx="0">
                  <c:v>10</c:v>
                </c:pt>
                <c:pt idx="1">
                  <c:v>20</c:v>
                </c:pt>
                <c:pt idx="2">
                  <c:v>30</c:v>
                </c:pt>
                <c:pt idx="3">
                  <c:v>40</c:v>
                </c:pt>
                <c:pt idx="4">
                  <c:v>50</c:v>
                </c:pt>
                <c:pt idx="5">
                  <c:v>100</c:v>
                </c:pt>
              </c:numCache>
            </c:numRef>
          </c:cat>
          <c:val>
            <c:numRef>
              <c:f>Scenarios!$H$4:$H$9</c:f>
              <c:numCache>
                <c:formatCode>0%</c:formatCode>
                <c:ptCount val="6"/>
                <c:pt idx="0">
                  <c:v>-0.45055802031540509</c:v>
                </c:pt>
                <c:pt idx="1">
                  <c:v>-8.4746420349066362E-2</c:v>
                </c:pt>
                <c:pt idx="2">
                  <c:v>5.0630270980097217E-2</c:v>
                </c:pt>
                <c:pt idx="3">
                  <c:v>0.12839823514996654</c:v>
                </c:pt>
                <c:pt idx="4">
                  <c:v>0.17505901365188811</c:v>
                </c:pt>
                <c:pt idx="5">
                  <c:v>0.26838057065573129</c:v>
                </c:pt>
              </c:numCache>
            </c:numRef>
          </c:val>
        </c:ser>
        <c:ser>
          <c:idx val="3"/>
          <c:order val="3"/>
          <c:tx>
            <c:v>Flows only (discounted)</c:v>
          </c:tx>
          <c:cat>
            <c:numRef>
              <c:f>Scenarios!$A$4:$A$9</c:f>
              <c:numCache>
                <c:formatCode>General</c:formatCode>
                <c:ptCount val="6"/>
                <c:pt idx="0">
                  <c:v>10</c:v>
                </c:pt>
                <c:pt idx="1">
                  <c:v>20</c:v>
                </c:pt>
                <c:pt idx="2">
                  <c:v>30</c:v>
                </c:pt>
                <c:pt idx="3">
                  <c:v>40</c:v>
                </c:pt>
                <c:pt idx="4">
                  <c:v>50</c:v>
                </c:pt>
                <c:pt idx="5">
                  <c:v>100</c:v>
                </c:pt>
              </c:numCache>
            </c:numRef>
          </c:cat>
          <c:val>
            <c:numRef>
              <c:f>Scenarios!$I$4:$I$9</c:f>
              <c:numCache>
                <c:formatCode>0%</c:formatCode>
                <c:ptCount val="6"/>
                <c:pt idx="0">
                  <c:v>-0.51972981057941448</c:v>
                </c:pt>
                <c:pt idx="1">
                  <c:v>-0.1685169609353078</c:v>
                </c:pt>
                <c:pt idx="2">
                  <c:v>-4.4135220118133499E-2</c:v>
                </c:pt>
                <c:pt idx="3">
                  <c:v>2.3321434033785091E-2</c:v>
                </c:pt>
                <c:pt idx="4">
                  <c:v>6.2209810893129207E-2</c:v>
                </c:pt>
                <c:pt idx="5">
                  <c:v>0.12970698882715376</c:v>
                </c:pt>
              </c:numCache>
            </c:numRef>
          </c:val>
        </c:ser>
        <c:marker val="1"/>
        <c:axId val="105804544"/>
        <c:axId val="105806080"/>
      </c:lineChart>
      <c:catAx>
        <c:axId val="105804544"/>
        <c:scaling>
          <c:orientation val="minMax"/>
        </c:scaling>
        <c:axPos val="b"/>
        <c:numFmt formatCode="General" sourceLinked="1"/>
        <c:tickLblPos val="nextTo"/>
        <c:crossAx val="105806080"/>
        <c:crosses val="autoZero"/>
        <c:auto val="1"/>
        <c:lblAlgn val="ctr"/>
        <c:lblOffset val="100"/>
      </c:catAx>
      <c:valAx>
        <c:axId val="105806080"/>
        <c:scaling>
          <c:orientation val="minMax"/>
        </c:scaling>
        <c:axPos val="l"/>
        <c:majorGridlines/>
        <c:numFmt formatCode="0%" sourceLinked="1"/>
        <c:tickLblPos val="nextTo"/>
        <c:crossAx val="105804544"/>
        <c:crosses val="autoZero"/>
        <c:crossBetween val="between"/>
      </c:valAx>
    </c:plotArea>
    <c:legend>
      <c:legendPos val="r"/>
      <c:layout>
        <c:manualLayout>
          <c:xMode val="edge"/>
          <c:yMode val="edge"/>
          <c:x val="0.54090989126108513"/>
          <c:y val="0.59907834101382451"/>
          <c:w val="0.27878829129422905"/>
          <c:h val="0.22580645161290339"/>
        </c:manualLayout>
      </c:layout>
    </c:legend>
    <c:plotVisOnly val="1"/>
    <c:dispBlanksAs val="gap"/>
  </c:chart>
  <c:printSettings>
    <c:headerFooter/>
    <c:pageMargins b="0.75000000000000266" l="0.70000000000000062" r="0.70000000000000062" t="0.75000000000000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1482923686787025"/>
          <c:y val="3.9388725058016404E-2"/>
          <c:w val="0.85743075554194836"/>
          <c:h val="0.93067319287791728"/>
        </c:manualLayout>
      </c:layout>
      <c:scatterChart>
        <c:scatterStyle val="smoothMarker"/>
        <c:ser>
          <c:idx val="7"/>
          <c:order val="0"/>
          <c:tx>
            <c:strRef>
              <c:f>Summary!$B$4</c:f>
              <c:strCache>
                <c:ptCount val="1"/>
                <c:pt idx="0">
                  <c:v>Gasoline</c:v>
                </c:pt>
              </c:strCache>
            </c:strRef>
          </c:tx>
          <c:spPr>
            <a:ln w="38100">
              <a:solidFill>
                <a:srgbClr val="000000"/>
              </a:solidFill>
              <a:prstDash val="solid"/>
            </a:ln>
          </c:spPr>
          <c:marker>
            <c:symbol val="none"/>
          </c:marker>
          <c:xVal>
            <c:numRef>
              <c:f>Summary!$A$5:$A$95</c:f>
              <c:numCache>
                <c:formatCode>General</c:formatCode>
                <c:ptCount val="9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pt idx="61">
                  <c:v>2071</c:v>
                </c:pt>
                <c:pt idx="62">
                  <c:v>2072</c:v>
                </c:pt>
                <c:pt idx="63">
                  <c:v>2073</c:v>
                </c:pt>
                <c:pt idx="64">
                  <c:v>2074</c:v>
                </c:pt>
                <c:pt idx="65">
                  <c:v>2075</c:v>
                </c:pt>
                <c:pt idx="66">
                  <c:v>2076</c:v>
                </c:pt>
                <c:pt idx="67">
                  <c:v>2077</c:v>
                </c:pt>
                <c:pt idx="68">
                  <c:v>2078</c:v>
                </c:pt>
                <c:pt idx="69">
                  <c:v>2079</c:v>
                </c:pt>
                <c:pt idx="70">
                  <c:v>2080</c:v>
                </c:pt>
                <c:pt idx="71">
                  <c:v>2081</c:v>
                </c:pt>
                <c:pt idx="72">
                  <c:v>2082</c:v>
                </c:pt>
                <c:pt idx="73">
                  <c:v>2083</c:v>
                </c:pt>
                <c:pt idx="74">
                  <c:v>2084</c:v>
                </c:pt>
                <c:pt idx="75">
                  <c:v>2085</c:v>
                </c:pt>
                <c:pt idx="76">
                  <c:v>2086</c:v>
                </c:pt>
                <c:pt idx="77">
                  <c:v>2087</c:v>
                </c:pt>
                <c:pt idx="78">
                  <c:v>2088</c:v>
                </c:pt>
                <c:pt idx="79">
                  <c:v>2089</c:v>
                </c:pt>
                <c:pt idx="80">
                  <c:v>2090</c:v>
                </c:pt>
                <c:pt idx="81">
                  <c:v>2091</c:v>
                </c:pt>
                <c:pt idx="82">
                  <c:v>2092</c:v>
                </c:pt>
                <c:pt idx="83">
                  <c:v>2093</c:v>
                </c:pt>
                <c:pt idx="84">
                  <c:v>2094</c:v>
                </c:pt>
                <c:pt idx="85">
                  <c:v>2095</c:v>
                </c:pt>
                <c:pt idx="86">
                  <c:v>2096</c:v>
                </c:pt>
                <c:pt idx="87">
                  <c:v>2097</c:v>
                </c:pt>
                <c:pt idx="88">
                  <c:v>2098</c:v>
                </c:pt>
                <c:pt idx="89">
                  <c:v>2099</c:v>
                </c:pt>
                <c:pt idx="90">
                  <c:v>2100</c:v>
                </c:pt>
              </c:numCache>
            </c:numRef>
          </c:xVal>
          <c:yVal>
            <c:numRef>
              <c:f>Summary!$B$5:$B$95</c:f>
              <c:numCache>
                <c:formatCode>0</c:formatCode>
                <c:ptCount val="91"/>
                <c:pt idx="0">
                  <c:v>94</c:v>
                </c:pt>
                <c:pt idx="1">
                  <c:v>176.22879654387143</c:v>
                </c:pt>
                <c:pt idx="2">
                  <c:v>252.4487727670016</c:v>
                </c:pt>
                <c:pt idx="3">
                  <c:v>325.18563045416852</c:v>
                </c:pt>
                <c:pt idx="4">
                  <c:v>395.56979260995399</c:v>
                </c:pt>
                <c:pt idx="5">
                  <c:v>464.12896575211323</c:v>
                </c:pt>
                <c:pt idx="6">
                  <c:v>531.12933344376427</c:v>
                </c:pt>
                <c:pt idx="7">
                  <c:v>596.72249971195004</c:v>
                </c:pt>
                <c:pt idx="8">
                  <c:v>661.00883215686576</c:v>
                </c:pt>
                <c:pt idx="9">
                  <c:v>724.06482254645425</c:v>
                </c:pt>
                <c:pt idx="10">
                  <c:v>785.95495722562862</c:v>
                </c:pt>
                <c:pt idx="11">
                  <c:v>846.7369163717309</c:v>
                </c:pt>
                <c:pt idx="12">
                  <c:v>906.46389757914426</c:v>
                </c:pt>
                <c:pt idx="13">
                  <c:v>965.18569738783867</c:v>
                </c:pt>
                <c:pt idx="14">
                  <c:v>1022.9492540103648</c:v>
                </c:pt>
                <c:pt idx="15">
                  <c:v>1079.7989541242976</c:v>
                </c:pt>
                <c:pt idx="16">
                  <c:v>1135.7768342808895</c:v>
                </c:pt>
                <c:pt idx="17">
                  <c:v>1190.9227333141882</c:v>
                </c:pt>
                <c:pt idx="18">
                  <c:v>1245.2744202071108</c:v>
                </c:pt>
                <c:pt idx="19">
                  <c:v>1298.8677081209471</c:v>
                </c:pt>
                <c:pt idx="20">
                  <c:v>1351.7365593679781</c:v>
                </c:pt>
                <c:pt idx="21">
                  <c:v>1403.913183547269</c:v>
                </c:pt>
                <c:pt idx="22">
                  <c:v>1455.4281299536076</c:v>
                </c:pt>
                <c:pt idx="23">
                  <c:v>1506.3103748836977</c:v>
                </c:pt>
                <c:pt idx="24">
                  <c:v>1556.5874042469347</c:v>
                </c:pt>
                <c:pt idx="25">
                  <c:v>1512.2852917875098</c:v>
                </c:pt>
                <c:pt idx="26">
                  <c:v>1479.1999766304973</c:v>
                </c:pt>
                <c:pt idx="27">
                  <c:v>1451.5925434204185</c:v>
                </c:pt>
                <c:pt idx="28">
                  <c:v>1426.9595567558843</c:v>
                </c:pt>
                <c:pt idx="29">
                  <c:v>1404.1917216143067</c:v>
                </c:pt>
                <c:pt idx="30">
                  <c:v>1382.7813807410794</c:v>
                </c:pt>
                <c:pt idx="31">
                  <c:v>1362.4813776619408</c:v>
                </c:pt>
                <c:pt idx="32">
                  <c:v>1343.1581668361628</c:v>
                </c:pt>
                <c:pt idx="33">
                  <c:v>1324.7285213026773</c:v>
                </c:pt>
                <c:pt idx="34">
                  <c:v>1307.1322201725811</c:v>
                </c:pt>
                <c:pt idx="35">
                  <c:v>1290.3202237790931</c:v>
                </c:pt>
                <c:pt idx="36">
                  <c:v>1274.2495175863041</c:v>
                </c:pt>
                <c:pt idx="37">
                  <c:v>1258.8808294997509</c:v>
                </c:pt>
                <c:pt idx="38">
                  <c:v>1244.1775870833594</c:v>
                </c:pt>
                <c:pt idx="39">
                  <c:v>1230.1054115412976</c:v>
                </c:pt>
                <c:pt idx="40">
                  <c:v>1216.6318457048335</c:v>
                </c:pt>
                <c:pt idx="41">
                  <c:v>1203.7261855749177</c:v>
                </c:pt>
                <c:pt idx="42">
                  <c:v>1191.3593591323634</c:v>
                </c:pt>
                <c:pt idx="43">
                  <c:v>1179.503828050216</c:v>
                </c:pt>
                <c:pt idx="44">
                  <c:v>1168.1335016881267</c:v>
                </c:pt>
                <c:pt idx="45">
                  <c:v>1157.2236586707959</c:v>
                </c:pt>
                <c:pt idx="46">
                  <c:v>1146.750873907876</c:v>
                </c:pt>
                <c:pt idx="47">
                  <c:v>1136.6929500187478</c:v>
                </c:pt>
                <c:pt idx="48">
                  <c:v>1127.0288526075731</c:v>
                </c:pt>
                <c:pt idx="49">
                  <c:v>1117.7386490471595</c:v>
                </c:pt>
                <c:pt idx="50">
                  <c:v>1108.8034505273022</c:v>
                </c:pt>
                <c:pt idx="51">
                  <c:v>1100.2053571701767</c:v>
                </c:pt>
                <c:pt idx="52">
                  <c:v>1091.9274060404116</c:v>
                </c:pt>
                <c:pt idx="53">
                  <c:v>1083.9535218928365</c:v>
                </c:pt>
                <c:pt idx="54">
                  <c:v>1076.268470511882</c:v>
                </c:pt>
                <c:pt idx="55">
                  <c:v>1068.8578145054437</c:v>
                </c:pt>
                <c:pt idx="56">
                  <c:v>1061.7078714237546</c:v>
                </c:pt>
                <c:pt idx="57">
                  <c:v>1054.8056740808233</c:v>
                </c:pt>
                <c:pt idx="58">
                  <c:v>1048.1389329625326</c:v>
                </c:pt>
                <c:pt idx="59">
                  <c:v>1041.6960006116315</c:v>
                </c:pt>
                <c:pt idx="60">
                  <c:v>1035.4658378856366</c:v>
                </c:pt>
                <c:pt idx="61">
                  <c:v>1029.4379819891444</c:v>
                </c:pt>
                <c:pt idx="62">
                  <c:v>1023.6025161872282</c:v>
                </c:pt>
                <c:pt idx="63">
                  <c:v>1017.9500411115123</c:v>
                </c:pt>
                <c:pt idx="64">
                  <c:v>1012.4716475751627</c:v>
                </c:pt>
                <c:pt idx="65">
                  <c:v>1007.1588908174377</c:v>
                </c:pt>
                <c:pt idx="66">
                  <c:v>1002.0037661026159</c:v>
                </c:pt>
                <c:pt idx="67">
                  <c:v>996.99868560207653</c:v>
                </c:pt>
                <c:pt idx="68">
                  <c:v>992.13645649204591</c:v>
                </c:pt>
                <c:pt idx="69">
                  <c:v>987.41026020308118</c:v>
                </c:pt>
                <c:pt idx="70">
                  <c:v>982.81363276071818</c:v>
                </c:pt>
                <c:pt idx="71">
                  <c:v>978.34044615989956</c:v>
                </c:pt>
                <c:pt idx="72">
                  <c:v>973.98489071881363</c:v>
                </c:pt>
                <c:pt idx="73">
                  <c:v>969.74145836064065</c:v>
                </c:pt>
                <c:pt idx="74">
                  <c:v>965.60492677440163</c:v>
                </c:pt>
                <c:pt idx="75">
                  <c:v>961.5703444086821</c:v>
                </c:pt>
                <c:pt idx="76">
                  <c:v>957.63301625442637</c:v>
                </c:pt>
                <c:pt idx="77">
                  <c:v>953.78849037530631</c:v>
                </c:pt>
                <c:pt idx="78">
                  <c:v>950.03254514634784</c:v>
                </c:pt>
                <c:pt idx="79">
                  <c:v>946.36117716357046</c:v>
                </c:pt>
                <c:pt idx="80">
                  <c:v>942.77058978934633</c:v>
                </c:pt>
                <c:pt idx="81">
                  <c:v>939.2571823000518</c:v>
                </c:pt>
                <c:pt idx="82">
                  <c:v>935.81753960433207</c:v>
                </c:pt>
                <c:pt idx="83">
                  <c:v>932.44842250197269</c:v>
                </c:pt>
                <c:pt idx="84">
                  <c:v>929.14675845494696</c:v>
                </c:pt>
                <c:pt idx="85">
                  <c:v>925.90963284370355</c:v>
                </c:pt>
                <c:pt idx="86">
                  <c:v>922.73428068317571</c:v>
                </c:pt>
                <c:pt idx="87">
                  <c:v>919.6180787743358</c:v>
                </c:pt>
                <c:pt idx="88">
                  <c:v>916.55853826838847</c:v>
                </c:pt>
                <c:pt idx="89">
                  <c:v>913.55329762190445</c:v>
                </c:pt>
                <c:pt idx="90">
                  <c:v>910.60011592233229</c:v>
                </c:pt>
              </c:numCache>
            </c:numRef>
          </c:yVal>
          <c:smooth val="1"/>
        </c:ser>
        <c:ser>
          <c:idx val="8"/>
          <c:order val="1"/>
          <c:tx>
            <c:strRef>
              <c:f>Summary!$C$4</c:f>
              <c:strCache>
                <c:ptCount val="1"/>
                <c:pt idx="0">
                  <c:v>Corn ethanol</c:v>
                </c:pt>
              </c:strCache>
            </c:strRef>
          </c:tx>
          <c:spPr>
            <a:ln w="38100">
              <a:solidFill>
                <a:srgbClr val="FF6600"/>
              </a:solidFill>
              <a:prstDash val="solid"/>
            </a:ln>
          </c:spPr>
          <c:marker>
            <c:symbol val="none"/>
          </c:marker>
          <c:xVal>
            <c:numRef>
              <c:f>Summary!$A$5:$A$95</c:f>
              <c:numCache>
                <c:formatCode>General</c:formatCode>
                <c:ptCount val="9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pt idx="61">
                  <c:v>2071</c:v>
                </c:pt>
                <c:pt idx="62">
                  <c:v>2072</c:v>
                </c:pt>
                <c:pt idx="63">
                  <c:v>2073</c:v>
                </c:pt>
                <c:pt idx="64">
                  <c:v>2074</c:v>
                </c:pt>
                <c:pt idx="65">
                  <c:v>2075</c:v>
                </c:pt>
                <c:pt idx="66">
                  <c:v>2076</c:v>
                </c:pt>
                <c:pt idx="67">
                  <c:v>2077</c:v>
                </c:pt>
                <c:pt idx="68">
                  <c:v>2078</c:v>
                </c:pt>
                <c:pt idx="69">
                  <c:v>2079</c:v>
                </c:pt>
                <c:pt idx="70">
                  <c:v>2080</c:v>
                </c:pt>
                <c:pt idx="71">
                  <c:v>2081</c:v>
                </c:pt>
                <c:pt idx="72">
                  <c:v>2082</c:v>
                </c:pt>
                <c:pt idx="73">
                  <c:v>2083</c:v>
                </c:pt>
                <c:pt idx="74">
                  <c:v>2084</c:v>
                </c:pt>
                <c:pt idx="75">
                  <c:v>2085</c:v>
                </c:pt>
                <c:pt idx="76">
                  <c:v>2086</c:v>
                </c:pt>
                <c:pt idx="77">
                  <c:v>2087</c:v>
                </c:pt>
                <c:pt idx="78">
                  <c:v>2088</c:v>
                </c:pt>
                <c:pt idx="79">
                  <c:v>2089</c:v>
                </c:pt>
                <c:pt idx="80">
                  <c:v>2090</c:v>
                </c:pt>
                <c:pt idx="81">
                  <c:v>2091</c:v>
                </c:pt>
                <c:pt idx="82">
                  <c:v>2092</c:v>
                </c:pt>
                <c:pt idx="83">
                  <c:v>2093</c:v>
                </c:pt>
                <c:pt idx="84">
                  <c:v>2094</c:v>
                </c:pt>
                <c:pt idx="85">
                  <c:v>2095</c:v>
                </c:pt>
                <c:pt idx="86">
                  <c:v>2096</c:v>
                </c:pt>
                <c:pt idx="87">
                  <c:v>2097</c:v>
                </c:pt>
                <c:pt idx="88">
                  <c:v>2098</c:v>
                </c:pt>
                <c:pt idx="89">
                  <c:v>2099</c:v>
                </c:pt>
                <c:pt idx="90">
                  <c:v>2100</c:v>
                </c:pt>
              </c:numCache>
            </c:numRef>
          </c:xVal>
          <c:yVal>
            <c:numRef>
              <c:f>Summary!$C$5:$C$95</c:f>
              <c:numCache>
                <c:formatCode>0</c:formatCode>
                <c:ptCount val="91"/>
                <c:pt idx="0">
                  <c:v>546.14623628550646</c:v>
                </c:pt>
                <c:pt idx="1">
                  <c:v>597.62449757077354</c:v>
                </c:pt>
                <c:pt idx="2">
                  <c:v>667.5718315226153</c:v>
                </c:pt>
                <c:pt idx="3">
                  <c:v>744.53115301047421</c:v>
                </c:pt>
                <c:pt idx="4">
                  <c:v>823.61659977380737</c:v>
                </c:pt>
                <c:pt idx="5">
                  <c:v>850.47801449727467</c:v>
                </c:pt>
                <c:pt idx="6">
                  <c:v>883.10675685650222</c:v>
                </c:pt>
                <c:pt idx="7">
                  <c:v>917.97108170597676</c:v>
                </c:pt>
                <c:pt idx="8">
                  <c:v>953.56164390761592</c:v>
                </c:pt>
                <c:pt idx="9">
                  <c:v>989.23888686192913</c:v>
                </c:pt>
                <c:pt idx="10">
                  <c:v>1024.7370513214078</c:v>
                </c:pt>
                <c:pt idx="11">
                  <c:v>1059.9507553356441</c:v>
                </c:pt>
                <c:pt idx="12">
                  <c:v>1094.843175587517</c:v>
                </c:pt>
                <c:pt idx="13">
                  <c:v>1129.4065578276131</c:v>
                </c:pt>
                <c:pt idx="14">
                  <c:v>1163.6452455593965</c:v>
                </c:pt>
                <c:pt idx="15">
                  <c:v>1197.5683981213674</c:v>
                </c:pt>
                <c:pt idx="16">
                  <c:v>1231.1868774085819</c:v>
                </c:pt>
                <c:pt idx="17">
                  <c:v>1264.5119274681058</c:v>
                </c:pt>
                <c:pt idx="18">
                  <c:v>1297.5546246284994</c:v>
                </c:pt>
                <c:pt idx="19">
                  <c:v>1330.325658258997</c:v>
                </c:pt>
                <c:pt idx="20">
                  <c:v>1362.835252898951</c:v>
                </c:pt>
                <c:pt idx="21">
                  <c:v>1395.0931503589352</c:v>
                </c:pt>
                <c:pt idx="22">
                  <c:v>1427.1086168096638</c:v>
                </c:pt>
                <c:pt idx="23">
                  <c:v>1458.8904598467955</c:v>
                </c:pt>
                <c:pt idx="24">
                  <c:v>1490.4470491122042</c:v>
                </c:pt>
                <c:pt idx="25">
                  <c:v>1441.2918716887666</c:v>
                </c:pt>
                <c:pt idx="26">
                  <c:v>1402.0069167169013</c:v>
                </c:pt>
                <c:pt idx="27">
                  <c:v>1369.7870194539162</c:v>
                </c:pt>
                <c:pt idx="28">
                  <c:v>1339.4251838660464</c:v>
                </c:pt>
                <c:pt idx="29">
                  <c:v>1310.2090419538167</c:v>
                </c:pt>
                <c:pt idx="30">
                  <c:v>1282.0800914365459</c:v>
                </c:pt>
                <c:pt idx="31">
                  <c:v>1254.9828966523307</c:v>
                </c:pt>
                <c:pt idx="32">
                  <c:v>1228.8649273384024</c:v>
                </c:pt>
                <c:pt idx="33">
                  <c:v>1203.6764058899203</c:v>
                </c:pt>
                <c:pt idx="34">
                  <c:v>1179.3701626513107</c:v>
                </c:pt>
                <c:pt idx="35">
                  <c:v>1155.9014988177107</c:v>
                </c:pt>
                <c:pt idx="36">
                  <c:v>1133.228056546292</c:v>
                </c:pt>
                <c:pt idx="37">
                  <c:v>1111.3096958982876</c:v>
                </c:pt>
                <c:pt idx="38">
                  <c:v>1090.1083782524909</c:v>
                </c:pt>
                <c:pt idx="39">
                  <c:v>1069.5880558498791</c:v>
                </c:pt>
                <c:pt idx="40">
                  <c:v>1049.7145671469223</c:v>
                </c:pt>
                <c:pt idx="41">
                  <c:v>1030.4555376720921</c:v>
                </c:pt>
                <c:pt idx="42">
                  <c:v>1011.7802860961499</c:v>
                </c:pt>
                <c:pt idx="43">
                  <c:v>993.6597352420165</c:v>
                </c:pt>
                <c:pt idx="44">
                  <c:v>976.06632777444599</c:v>
                </c:pt>
                <c:pt idx="45">
                  <c:v>958.97394632338728</c:v>
                </c:pt>
                <c:pt idx="46">
                  <c:v>942.35783780786085</c:v>
                </c:pt>
                <c:pt idx="47">
                  <c:v>926.19454173944291</c:v>
                </c:pt>
                <c:pt idx="48">
                  <c:v>910.46182229606336</c:v>
                </c:pt>
                <c:pt idx="49">
                  <c:v>895.13860396783548</c:v>
                </c:pt>
                <c:pt idx="50">
                  <c:v>880.20491058705761</c:v>
                </c:pt>
                <c:pt idx="51">
                  <c:v>865.64180756441408</c:v>
                </c:pt>
                <c:pt idx="52">
                  <c:v>851.43134716275517</c:v>
                </c:pt>
                <c:pt idx="53">
                  <c:v>837.55651664870925</c:v>
                </c:pt>
                <c:pt idx="54">
                  <c:v>824.00118917077725</c:v>
                </c:pt>
                <c:pt idx="55">
                  <c:v>821.26255587625906</c:v>
                </c:pt>
                <c:pt idx="56">
                  <c:v>818.56478735133271</c:v>
                </c:pt>
                <c:pt idx="57">
                  <c:v>815.90632940482476</c:v>
                </c:pt>
                <c:pt idx="58">
                  <c:v>813.28570615166007</c:v>
                </c:pt>
                <c:pt idx="59">
                  <c:v>810.70151591441891</c:v>
                </c:pt>
                <c:pt idx="60">
                  <c:v>808.15242734032142</c:v>
                </c:pt>
                <c:pt idx="61">
                  <c:v>805.63717572231417</c:v>
                </c:pt>
                <c:pt idx="62">
                  <c:v>803.15455951352078</c:v>
                </c:pt>
                <c:pt idx="63">
                  <c:v>800.70343702489265</c:v>
                </c:pt>
                <c:pt idx="64">
                  <c:v>798.28272329642243</c:v>
                </c:pt>
                <c:pt idx="65">
                  <c:v>795.89138713279351</c:v>
                </c:pt>
                <c:pt idx="66">
                  <c:v>793.52844829482012</c:v>
                </c:pt>
                <c:pt idx="67">
                  <c:v>791.192974838483</c:v>
                </c:pt>
                <c:pt idx="68">
                  <c:v>788.88408059380015</c:v>
                </c:pt>
                <c:pt idx="69">
                  <c:v>786.60092277617946</c:v>
                </c:pt>
                <c:pt idx="70">
                  <c:v>784.34269972328639</c:v>
                </c:pt>
                <c:pt idx="71">
                  <c:v>782.1086487508245</c:v>
                </c:pt>
                <c:pt idx="72">
                  <c:v>779.89804412097885</c:v>
                </c:pt>
                <c:pt idx="73">
                  <c:v>777.71019511759448</c:v>
                </c:pt>
                <c:pt idx="74">
                  <c:v>775.54444422248048</c:v>
                </c:pt>
                <c:pt idx="75">
                  <c:v>773.40016538751831</c:v>
                </c:pt>
                <c:pt idx="76">
                  <c:v>771.27676239753998</c:v>
                </c:pt>
                <c:pt idx="77">
                  <c:v>769.17366731920083</c:v>
                </c:pt>
                <c:pt idx="78">
                  <c:v>767.09033903132467</c:v>
                </c:pt>
                <c:pt idx="79">
                  <c:v>765.02626183244001</c:v>
                </c:pt>
                <c:pt idx="80">
                  <c:v>762.98094412144428</c:v>
                </c:pt>
                <c:pt idx="81">
                  <c:v>760.95391714755283</c:v>
                </c:pt>
                <c:pt idx="82">
                  <c:v>758.94473382589172</c:v>
                </c:pt>
                <c:pt idx="83">
                  <c:v>756.95296761527754</c:v>
                </c:pt>
                <c:pt idx="84">
                  <c:v>754.97821145491844</c:v>
                </c:pt>
                <c:pt idx="85">
                  <c:v>753.02007675693687</c:v>
                </c:pt>
                <c:pt idx="86">
                  <c:v>751.07819245177825</c:v>
                </c:pt>
                <c:pt idx="87">
                  <c:v>749.15220408372613</c:v>
                </c:pt>
                <c:pt idx="88">
                  <c:v>747.24177295388745</c:v>
                </c:pt>
                <c:pt idx="89">
                  <c:v>745.34657530815377</c:v>
                </c:pt>
                <c:pt idx="90">
                  <c:v>743.46630156777314</c:v>
                </c:pt>
              </c:numCache>
            </c:numRef>
          </c:yVal>
          <c:smooth val="1"/>
        </c:ser>
        <c:ser>
          <c:idx val="0"/>
          <c:order val="2"/>
          <c:tx>
            <c:v>Corn ethanol emissions</c:v>
          </c:tx>
          <c:spPr>
            <a:ln w="38100">
              <a:solidFill>
                <a:srgbClr val="FF6600"/>
              </a:solidFill>
              <a:prstDash val="sysDash"/>
            </a:ln>
          </c:spPr>
          <c:marker>
            <c:symbol val="none"/>
          </c:marker>
          <c:xVal>
            <c:numRef>
              <c:f>Ethanol!$A$18:$A$108</c:f>
              <c:numCache>
                <c:formatCode>General</c:formatCode>
                <c:ptCount val="9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pt idx="61">
                  <c:v>2071</c:v>
                </c:pt>
                <c:pt idx="62">
                  <c:v>2072</c:v>
                </c:pt>
                <c:pt idx="63">
                  <c:v>2073</c:v>
                </c:pt>
                <c:pt idx="64">
                  <c:v>2074</c:v>
                </c:pt>
                <c:pt idx="65">
                  <c:v>2075</c:v>
                </c:pt>
                <c:pt idx="66">
                  <c:v>2076</c:v>
                </c:pt>
                <c:pt idx="67">
                  <c:v>2077</c:v>
                </c:pt>
                <c:pt idx="68">
                  <c:v>2078</c:v>
                </c:pt>
                <c:pt idx="69">
                  <c:v>2079</c:v>
                </c:pt>
                <c:pt idx="70">
                  <c:v>2080</c:v>
                </c:pt>
                <c:pt idx="71">
                  <c:v>2081</c:v>
                </c:pt>
                <c:pt idx="72">
                  <c:v>2082</c:v>
                </c:pt>
                <c:pt idx="73">
                  <c:v>2083</c:v>
                </c:pt>
                <c:pt idx="74">
                  <c:v>2084</c:v>
                </c:pt>
                <c:pt idx="75">
                  <c:v>2085</c:v>
                </c:pt>
                <c:pt idx="76">
                  <c:v>2086</c:v>
                </c:pt>
                <c:pt idx="77">
                  <c:v>2087</c:v>
                </c:pt>
                <c:pt idx="78">
                  <c:v>2088</c:v>
                </c:pt>
                <c:pt idx="79">
                  <c:v>2089</c:v>
                </c:pt>
                <c:pt idx="80">
                  <c:v>2090</c:v>
                </c:pt>
                <c:pt idx="81">
                  <c:v>2091</c:v>
                </c:pt>
                <c:pt idx="82">
                  <c:v>2092</c:v>
                </c:pt>
                <c:pt idx="83">
                  <c:v>2093</c:v>
                </c:pt>
                <c:pt idx="84">
                  <c:v>2094</c:v>
                </c:pt>
                <c:pt idx="85">
                  <c:v>2095</c:v>
                </c:pt>
                <c:pt idx="86">
                  <c:v>2096</c:v>
                </c:pt>
                <c:pt idx="87">
                  <c:v>2097</c:v>
                </c:pt>
                <c:pt idx="88">
                  <c:v>2098</c:v>
                </c:pt>
                <c:pt idx="89">
                  <c:v>2099</c:v>
                </c:pt>
                <c:pt idx="90">
                  <c:v>2100</c:v>
                </c:pt>
              </c:numCache>
            </c:numRef>
          </c:xVal>
          <c:yVal>
            <c:numRef>
              <c:f>Ethanol!$H$18:$H$108</c:f>
              <c:numCache>
                <c:formatCode>0</c:formatCode>
                <c:ptCount val="91"/>
                <c:pt idx="0">
                  <c:v>546.14623628550646</c:v>
                </c:pt>
                <c:pt idx="1">
                  <c:v>119.86973430777311</c:v>
                </c:pt>
                <c:pt idx="2">
                  <c:v>119.86973430777311</c:v>
                </c:pt>
                <c:pt idx="3">
                  <c:v>119.86973430777311</c:v>
                </c:pt>
                <c:pt idx="4">
                  <c:v>119.86973430777311</c:v>
                </c:pt>
                <c:pt idx="5">
                  <c:v>67.579873115976312</c:v>
                </c:pt>
                <c:pt idx="6">
                  <c:v>67.579873115976312</c:v>
                </c:pt>
                <c:pt idx="7">
                  <c:v>67.579873115976312</c:v>
                </c:pt>
                <c:pt idx="8">
                  <c:v>67.579873115976312</c:v>
                </c:pt>
                <c:pt idx="9">
                  <c:v>67.579873115976312</c:v>
                </c:pt>
                <c:pt idx="10">
                  <c:v>67.579873115976312</c:v>
                </c:pt>
                <c:pt idx="11">
                  <c:v>67.579873115976312</c:v>
                </c:pt>
                <c:pt idx="12">
                  <c:v>67.579873115976312</c:v>
                </c:pt>
                <c:pt idx="13">
                  <c:v>67.579873115976312</c:v>
                </c:pt>
                <c:pt idx="14">
                  <c:v>67.579873115976312</c:v>
                </c:pt>
                <c:pt idx="15">
                  <c:v>67.579873115976312</c:v>
                </c:pt>
                <c:pt idx="16">
                  <c:v>67.579873115976312</c:v>
                </c:pt>
                <c:pt idx="17">
                  <c:v>67.579873115976312</c:v>
                </c:pt>
                <c:pt idx="18">
                  <c:v>67.579873115976312</c:v>
                </c:pt>
                <c:pt idx="19">
                  <c:v>67.579873115976312</c:v>
                </c:pt>
                <c:pt idx="20">
                  <c:v>67.579873115976312</c:v>
                </c:pt>
                <c:pt idx="21">
                  <c:v>67.579873115976312</c:v>
                </c:pt>
                <c:pt idx="22">
                  <c:v>67.579873115976312</c:v>
                </c:pt>
                <c:pt idx="23">
                  <c:v>67.579873115976312</c:v>
                </c:pt>
                <c:pt idx="24">
                  <c:v>67.579873115976312</c:v>
                </c:pt>
                <c:pt idx="25">
                  <c:v>-12.914592943161866</c:v>
                </c:pt>
                <c:pt idx="26">
                  <c:v>-12.914592943161866</c:v>
                </c:pt>
                <c:pt idx="27">
                  <c:v>-12.914592943161866</c:v>
                </c:pt>
                <c:pt idx="28">
                  <c:v>-12.914592943161866</c:v>
                </c:pt>
                <c:pt idx="29">
                  <c:v>-12.914592943161866</c:v>
                </c:pt>
                <c:pt idx="30">
                  <c:v>-12.914592943161866</c:v>
                </c:pt>
                <c:pt idx="31">
                  <c:v>-12.914592943161866</c:v>
                </c:pt>
                <c:pt idx="32">
                  <c:v>-12.914592943161866</c:v>
                </c:pt>
                <c:pt idx="33">
                  <c:v>-12.914592943161866</c:v>
                </c:pt>
                <c:pt idx="34">
                  <c:v>-12.914592943161866</c:v>
                </c:pt>
                <c:pt idx="35">
                  <c:v>-12.914592943161866</c:v>
                </c:pt>
                <c:pt idx="36">
                  <c:v>-12.914592943161866</c:v>
                </c:pt>
                <c:pt idx="37">
                  <c:v>-12.914592943161866</c:v>
                </c:pt>
                <c:pt idx="38">
                  <c:v>-12.914592943161866</c:v>
                </c:pt>
                <c:pt idx="39">
                  <c:v>-12.914592943161866</c:v>
                </c:pt>
                <c:pt idx="40">
                  <c:v>-12.914592943161866</c:v>
                </c:pt>
                <c:pt idx="41">
                  <c:v>-12.914592943161866</c:v>
                </c:pt>
                <c:pt idx="42">
                  <c:v>-12.914592943161866</c:v>
                </c:pt>
                <c:pt idx="43">
                  <c:v>-12.914592943161866</c:v>
                </c:pt>
                <c:pt idx="44">
                  <c:v>-12.914592943161866</c:v>
                </c:pt>
                <c:pt idx="45">
                  <c:v>-12.914592943161866</c:v>
                </c:pt>
                <c:pt idx="46">
                  <c:v>-12.914592943161866</c:v>
                </c:pt>
                <c:pt idx="47">
                  <c:v>-12.914592943161866</c:v>
                </c:pt>
                <c:pt idx="48">
                  <c:v>-12.914592943161866</c:v>
                </c:pt>
                <c:pt idx="49">
                  <c:v>-12.914592943161866</c:v>
                </c:pt>
                <c:pt idx="50">
                  <c:v>-12.914592943161866</c:v>
                </c:pt>
                <c:pt idx="51">
                  <c:v>-12.914592943161866</c:v>
                </c:pt>
                <c:pt idx="52">
                  <c:v>-12.914592943161866</c:v>
                </c:pt>
                <c:pt idx="53">
                  <c:v>-12.914592943161866</c:v>
                </c:pt>
                <c:pt idx="54">
                  <c:v>-12.914592943161866</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yVal>
          <c:smooth val="1"/>
        </c:ser>
        <c:ser>
          <c:idx val="1"/>
          <c:order val="3"/>
          <c:tx>
            <c:v>Gasoline emissions</c:v>
          </c:tx>
          <c:spPr>
            <a:ln w="38100">
              <a:solidFill>
                <a:srgbClr val="000000"/>
              </a:solidFill>
              <a:prstDash val="sysDash"/>
            </a:ln>
          </c:spPr>
          <c:marker>
            <c:symbol val="none"/>
          </c:marker>
          <c:xVal>
            <c:numRef>
              <c:f>Gasoline!$A$4:$A$94</c:f>
              <c:numCache>
                <c:formatCode>General</c:formatCode>
                <c:ptCount val="9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pt idx="61">
                  <c:v>2071</c:v>
                </c:pt>
                <c:pt idx="62">
                  <c:v>2072</c:v>
                </c:pt>
                <c:pt idx="63">
                  <c:v>2073</c:v>
                </c:pt>
                <c:pt idx="64">
                  <c:v>2074</c:v>
                </c:pt>
                <c:pt idx="65">
                  <c:v>2075</c:v>
                </c:pt>
                <c:pt idx="66">
                  <c:v>2076</c:v>
                </c:pt>
                <c:pt idx="67">
                  <c:v>2077</c:v>
                </c:pt>
                <c:pt idx="68">
                  <c:v>2078</c:v>
                </c:pt>
                <c:pt idx="69">
                  <c:v>2079</c:v>
                </c:pt>
                <c:pt idx="70">
                  <c:v>2080</c:v>
                </c:pt>
                <c:pt idx="71">
                  <c:v>2081</c:v>
                </c:pt>
                <c:pt idx="72">
                  <c:v>2082</c:v>
                </c:pt>
                <c:pt idx="73">
                  <c:v>2083</c:v>
                </c:pt>
                <c:pt idx="74">
                  <c:v>2084</c:v>
                </c:pt>
                <c:pt idx="75">
                  <c:v>2085</c:v>
                </c:pt>
                <c:pt idx="76">
                  <c:v>2086</c:v>
                </c:pt>
                <c:pt idx="77">
                  <c:v>2087</c:v>
                </c:pt>
                <c:pt idx="78">
                  <c:v>2088</c:v>
                </c:pt>
                <c:pt idx="79">
                  <c:v>2089</c:v>
                </c:pt>
                <c:pt idx="80">
                  <c:v>2090</c:v>
                </c:pt>
                <c:pt idx="81">
                  <c:v>2091</c:v>
                </c:pt>
                <c:pt idx="82">
                  <c:v>2092</c:v>
                </c:pt>
                <c:pt idx="83">
                  <c:v>2093</c:v>
                </c:pt>
                <c:pt idx="84">
                  <c:v>2094</c:v>
                </c:pt>
                <c:pt idx="85">
                  <c:v>2095</c:v>
                </c:pt>
                <c:pt idx="86">
                  <c:v>2096</c:v>
                </c:pt>
                <c:pt idx="87">
                  <c:v>2097</c:v>
                </c:pt>
                <c:pt idx="88">
                  <c:v>2098</c:v>
                </c:pt>
                <c:pt idx="89">
                  <c:v>2099</c:v>
                </c:pt>
                <c:pt idx="90">
                  <c:v>2100</c:v>
                </c:pt>
              </c:numCache>
            </c:numRef>
          </c:xVal>
          <c:yVal>
            <c:numRef>
              <c:f>Gasoline!$C$4:$C$94</c:f>
              <c:numCache>
                <c:formatCode>0</c:formatCode>
                <c:ptCount val="91"/>
                <c:pt idx="0">
                  <c:v>94</c:v>
                </c:pt>
                <c:pt idx="1">
                  <c:v>94</c:v>
                </c:pt>
                <c:pt idx="2">
                  <c:v>94</c:v>
                </c:pt>
                <c:pt idx="3">
                  <c:v>94</c:v>
                </c:pt>
                <c:pt idx="4">
                  <c:v>94</c:v>
                </c:pt>
                <c:pt idx="5">
                  <c:v>94</c:v>
                </c:pt>
                <c:pt idx="6">
                  <c:v>94</c:v>
                </c:pt>
                <c:pt idx="7">
                  <c:v>94</c:v>
                </c:pt>
                <c:pt idx="8">
                  <c:v>94</c:v>
                </c:pt>
                <c:pt idx="9">
                  <c:v>94</c:v>
                </c:pt>
                <c:pt idx="10">
                  <c:v>94</c:v>
                </c:pt>
                <c:pt idx="11">
                  <c:v>94</c:v>
                </c:pt>
                <c:pt idx="12">
                  <c:v>94</c:v>
                </c:pt>
                <c:pt idx="13">
                  <c:v>94</c:v>
                </c:pt>
                <c:pt idx="14">
                  <c:v>94</c:v>
                </c:pt>
                <c:pt idx="15">
                  <c:v>94</c:v>
                </c:pt>
                <c:pt idx="16">
                  <c:v>94</c:v>
                </c:pt>
                <c:pt idx="17">
                  <c:v>94</c:v>
                </c:pt>
                <c:pt idx="18">
                  <c:v>94</c:v>
                </c:pt>
                <c:pt idx="19">
                  <c:v>94</c:v>
                </c:pt>
                <c:pt idx="20">
                  <c:v>94</c:v>
                </c:pt>
                <c:pt idx="21">
                  <c:v>94</c:v>
                </c:pt>
                <c:pt idx="22">
                  <c:v>94</c:v>
                </c:pt>
                <c:pt idx="23">
                  <c:v>94</c:v>
                </c:pt>
                <c:pt idx="24">
                  <c:v>94</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yVal>
          <c:smooth val="1"/>
        </c:ser>
        <c:axId val="104302464"/>
        <c:axId val="104304000"/>
      </c:scatterChart>
      <c:valAx>
        <c:axId val="104302464"/>
        <c:scaling>
          <c:orientation val="minMax"/>
          <c:max val="2100"/>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304000"/>
        <c:crosses val="autoZero"/>
        <c:crossBetween val="midCat"/>
      </c:valAx>
      <c:valAx>
        <c:axId val="104304000"/>
        <c:scaling>
          <c:orientation val="minMax"/>
        </c:scaling>
        <c:axPos val="l"/>
        <c:majorGridlines>
          <c:spPr>
            <a:ln w="3175">
              <a:solidFill>
                <a:schemeClr val="bg1">
                  <a:lumMod val="85000"/>
                </a:schemeClr>
              </a:solidFill>
              <a:prstDash val="solid"/>
            </a:ln>
          </c:spPr>
        </c:majorGridlines>
        <c:title>
          <c:tx>
            <c:rich>
              <a:bodyPr/>
              <a:lstStyle/>
              <a:p>
                <a:pPr>
                  <a:defRPr sz="975" b="0" i="0" u="none" strike="noStrike" baseline="0">
                    <a:solidFill>
                      <a:srgbClr val="000000"/>
                    </a:solidFill>
                    <a:latin typeface="Calibri"/>
                    <a:ea typeface="Calibri"/>
                    <a:cs typeface="Calibri"/>
                  </a:defRPr>
                </a:pPr>
                <a:r>
                  <a:rPr lang="en-US" sz="1000" b="1" i="0" strike="noStrike">
                    <a:solidFill>
                      <a:srgbClr val="000000"/>
                    </a:solidFill>
                    <a:latin typeface="Arial"/>
                    <a:cs typeface="Arial"/>
                  </a:rPr>
                  <a:t>Extra CO</a:t>
                </a:r>
                <a:r>
                  <a:rPr lang="en-US" sz="1000" b="1" i="0" strike="noStrike" baseline="-25000">
                    <a:solidFill>
                      <a:srgbClr val="000000"/>
                    </a:solidFill>
                    <a:latin typeface="Arial"/>
                    <a:cs typeface="Arial"/>
                  </a:rPr>
                  <a:t>2</a:t>
                </a:r>
                <a:r>
                  <a:rPr lang="en-US" sz="1000" b="1" i="0" strike="noStrike">
                    <a:solidFill>
                      <a:srgbClr val="000000"/>
                    </a:solidFill>
                    <a:latin typeface="Arial"/>
                    <a:cs typeface="Arial"/>
                  </a:rPr>
                  <a:t>e (g per MJ annual production)</a:t>
                </a:r>
              </a:p>
            </c:rich>
          </c:tx>
          <c:layout>
            <c:manualLayout>
              <c:xMode val="edge"/>
              <c:yMode val="edge"/>
              <c:x val="2.19134370706748E-2"/>
              <c:y val="0.22269880200497089"/>
            </c:manualLayout>
          </c:layout>
          <c:spPr>
            <a:noFill/>
            <a:ln w="25400">
              <a:noFill/>
            </a:ln>
          </c:spPr>
        </c:title>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302464"/>
        <c:crosses val="autoZero"/>
        <c:crossBetween val="midCat"/>
      </c:valAx>
      <c:spPr>
        <a:solidFill>
          <a:schemeClr val="bg1"/>
        </a:solidFill>
        <a:ln w="12700">
          <a:noFill/>
          <a:prstDash val="solid"/>
        </a:ln>
      </c:spPr>
    </c:plotArea>
    <c:legend>
      <c:legendPos val="r"/>
      <c:layout>
        <c:manualLayout>
          <c:xMode val="edge"/>
          <c:yMode val="edge"/>
          <c:x val="0.68671235322799906"/>
          <c:y val="0.10898390689211657"/>
          <c:w val="0.23751522533495736"/>
          <c:h val="0.16862777387364766"/>
        </c:manualLayout>
      </c:layou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000000000000522" l="0.70000000000000062" r="0.70000000000000062" t="0.750000000000005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strRef>
          <c:f>Scenarios!$L$141</c:f>
          <c:strCache>
            <c:ptCount val="1"/>
            <c:pt idx="0">
              <c:v>Physical versus Economic GWP (2.5% Discount Rate)</c:v>
            </c:pt>
          </c:strCache>
        </c:strRef>
      </c:tx>
      <c:layout>
        <c:manualLayout>
          <c:xMode val="edge"/>
          <c:yMode val="edge"/>
          <c:x val="0.30664016512499126"/>
          <c:y val="2.548533997352901E-2"/>
        </c:manualLayout>
      </c:layout>
      <c:spPr>
        <a:noFill/>
        <a:ln w="25400">
          <a:noFill/>
        </a:ln>
      </c:spPr>
      <c:txPr>
        <a:bodyPr/>
        <a:lstStyle/>
        <a:p>
          <a:pPr>
            <a:defRPr sz="1200" b="1" i="0" u="none" strike="noStrike" baseline="0">
              <a:solidFill>
                <a:srgbClr val="000000"/>
              </a:solidFill>
              <a:latin typeface="Arial"/>
              <a:ea typeface="Arial"/>
              <a:cs typeface="Arial"/>
            </a:defRPr>
          </a:pPr>
          <a:endParaRPr lang="en-US"/>
        </a:p>
      </c:txPr>
    </c:title>
    <c:plotArea>
      <c:layout>
        <c:manualLayout>
          <c:layoutTarget val="inner"/>
          <c:xMode val="edge"/>
          <c:yMode val="edge"/>
          <c:x val="0.12102689486552567"/>
          <c:y val="0.16339904045615591"/>
          <c:w val="0.81418092909535456"/>
          <c:h val="0.76252885546205973"/>
        </c:manualLayout>
      </c:layout>
      <c:scatterChart>
        <c:scatterStyle val="smoothMarker"/>
        <c:ser>
          <c:idx val="0"/>
          <c:order val="0"/>
          <c:tx>
            <c:strRef>
              <c:f>Scenarios!$L$140</c:f>
              <c:strCache>
                <c:ptCount val="1"/>
                <c:pt idx="0">
                  <c:v>FWPp Corn ethanol</c:v>
                </c:pt>
              </c:strCache>
            </c:strRef>
          </c:tx>
          <c:spPr>
            <a:ln w="38100">
              <a:solidFill>
                <a:srgbClr val="FF6600"/>
              </a:solidFill>
              <a:prstDash val="solid"/>
            </a:ln>
          </c:spPr>
          <c:marker>
            <c:symbol val="none"/>
          </c:marker>
          <c:xVal>
            <c:numRef>
              <c:f>Summary!$A$5:$A$95</c:f>
              <c:numCache>
                <c:formatCode>General</c:formatCode>
                <c:ptCount val="9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pt idx="61">
                  <c:v>2071</c:v>
                </c:pt>
                <c:pt idx="62">
                  <c:v>2072</c:v>
                </c:pt>
                <c:pt idx="63">
                  <c:v>2073</c:v>
                </c:pt>
                <c:pt idx="64">
                  <c:v>2074</c:v>
                </c:pt>
                <c:pt idx="65">
                  <c:v>2075</c:v>
                </c:pt>
                <c:pt idx="66">
                  <c:v>2076</c:v>
                </c:pt>
                <c:pt idx="67">
                  <c:v>2077</c:v>
                </c:pt>
                <c:pt idx="68">
                  <c:v>2078</c:v>
                </c:pt>
                <c:pt idx="69">
                  <c:v>2079</c:v>
                </c:pt>
                <c:pt idx="70">
                  <c:v>2080</c:v>
                </c:pt>
                <c:pt idx="71">
                  <c:v>2081</c:v>
                </c:pt>
                <c:pt idx="72">
                  <c:v>2082</c:v>
                </c:pt>
                <c:pt idx="73">
                  <c:v>2083</c:v>
                </c:pt>
                <c:pt idx="74">
                  <c:v>2084</c:v>
                </c:pt>
                <c:pt idx="75">
                  <c:v>2085</c:v>
                </c:pt>
                <c:pt idx="76">
                  <c:v>2086</c:v>
                </c:pt>
                <c:pt idx="77">
                  <c:v>2087</c:v>
                </c:pt>
                <c:pt idx="78">
                  <c:v>2088</c:v>
                </c:pt>
                <c:pt idx="79">
                  <c:v>2089</c:v>
                </c:pt>
                <c:pt idx="80">
                  <c:v>2090</c:v>
                </c:pt>
                <c:pt idx="81">
                  <c:v>2091</c:v>
                </c:pt>
                <c:pt idx="82">
                  <c:v>2092</c:v>
                </c:pt>
                <c:pt idx="83">
                  <c:v>2093</c:v>
                </c:pt>
                <c:pt idx="84">
                  <c:v>2094</c:v>
                </c:pt>
                <c:pt idx="85">
                  <c:v>2095</c:v>
                </c:pt>
                <c:pt idx="86">
                  <c:v>2096</c:v>
                </c:pt>
                <c:pt idx="87">
                  <c:v>2097</c:v>
                </c:pt>
                <c:pt idx="88">
                  <c:v>2098</c:v>
                </c:pt>
                <c:pt idx="89">
                  <c:v>2099</c:v>
                </c:pt>
                <c:pt idx="90">
                  <c:v>2100</c:v>
                </c:pt>
              </c:numCache>
            </c:numRef>
          </c:xVal>
          <c:yVal>
            <c:numRef>
              <c:f>Summary!$F$5:$F$95</c:f>
              <c:numCache>
                <c:formatCode>0.0E+00</c:formatCode>
                <c:ptCount val="91"/>
                <c:pt idx="0">
                  <c:v>546.14623628550646</c:v>
                </c:pt>
                <c:pt idx="1">
                  <c:v>1143.77073385628</c:v>
                </c:pt>
                <c:pt idx="2">
                  <c:v>1811.3425653788954</c:v>
                </c:pt>
                <c:pt idx="3">
                  <c:v>2555.8737183893695</c:v>
                </c:pt>
                <c:pt idx="4">
                  <c:v>3379.4903181631771</c:v>
                </c:pt>
                <c:pt idx="5">
                  <c:v>4229.9683326604518</c:v>
                </c:pt>
                <c:pt idx="6">
                  <c:v>5113.075089516954</c:v>
                </c:pt>
                <c:pt idx="7">
                  <c:v>6031.0461712229308</c:v>
                </c:pt>
                <c:pt idx="8">
                  <c:v>6984.6078151305464</c:v>
                </c:pt>
                <c:pt idx="9">
                  <c:v>7973.8467019924756</c:v>
                </c:pt>
                <c:pt idx="10">
                  <c:v>8998.5837533138838</c:v>
                </c:pt>
                <c:pt idx="11">
                  <c:v>10058.534508649527</c:v>
                </c:pt>
                <c:pt idx="12">
                  <c:v>11153.377684237044</c:v>
                </c:pt>
                <c:pt idx="13">
                  <c:v>12282.784242064658</c:v>
                </c:pt>
                <c:pt idx="14">
                  <c:v>13446.429487624055</c:v>
                </c:pt>
                <c:pt idx="15">
                  <c:v>14643.997885745423</c:v>
                </c:pt>
                <c:pt idx="16">
                  <c:v>15875.184763154004</c:v>
                </c:pt>
                <c:pt idx="17">
                  <c:v>17139.69669062211</c:v>
                </c:pt>
                <c:pt idx="18">
                  <c:v>18437.251315250607</c:v>
                </c:pt>
                <c:pt idx="19">
                  <c:v>19767.576973509604</c:v>
                </c:pt>
                <c:pt idx="20">
                  <c:v>21130.412226408556</c:v>
                </c:pt>
                <c:pt idx="21">
                  <c:v>22525.505376767491</c:v>
                </c:pt>
                <c:pt idx="22">
                  <c:v>23952.613993577153</c:v>
                </c:pt>
                <c:pt idx="23">
                  <c:v>25411.50445342395</c:v>
                </c:pt>
                <c:pt idx="24">
                  <c:v>26901.951502536154</c:v>
                </c:pt>
                <c:pt idx="25">
                  <c:v>28343.24337422492</c:v>
                </c:pt>
                <c:pt idx="26">
                  <c:v>29745.250290941822</c:v>
                </c:pt>
                <c:pt idx="27">
                  <c:v>31115.037310395739</c:v>
                </c:pt>
                <c:pt idx="28">
                  <c:v>32454.462494261785</c:v>
                </c:pt>
                <c:pt idx="29">
                  <c:v>33764.671536215603</c:v>
                </c:pt>
                <c:pt idx="30">
                  <c:v>35046.751627652149</c:v>
                </c:pt>
                <c:pt idx="31">
                  <c:v>36301.734524304477</c:v>
                </c:pt>
                <c:pt idx="32">
                  <c:v>37530.599451642876</c:v>
                </c:pt>
                <c:pt idx="33">
                  <c:v>38734.275857532797</c:v>
                </c:pt>
                <c:pt idx="34">
                  <c:v>39913.646020184111</c:v>
                </c:pt>
                <c:pt idx="35">
                  <c:v>41069.547519001819</c:v>
                </c:pt>
                <c:pt idx="36">
                  <c:v>42202.775575548112</c:v>
                </c:pt>
                <c:pt idx="37">
                  <c:v>43314.085271446398</c:v>
                </c:pt>
                <c:pt idx="38">
                  <c:v>44404.193649698886</c:v>
                </c:pt>
                <c:pt idx="39">
                  <c:v>45473.781705548761</c:v>
                </c:pt>
                <c:pt idx="40">
                  <c:v>46523.49627269568</c:v>
                </c:pt>
                <c:pt idx="41">
                  <c:v>47553.951810367769</c:v>
                </c:pt>
                <c:pt idx="42">
                  <c:v>48565.732096463922</c:v>
                </c:pt>
                <c:pt idx="43">
                  <c:v>49559.391831705936</c:v>
                </c:pt>
                <c:pt idx="44">
                  <c:v>50535.458159480382</c:v>
                </c:pt>
                <c:pt idx="45">
                  <c:v>51494.432105803768</c:v>
                </c:pt>
                <c:pt idx="46">
                  <c:v>52436.789943611628</c:v>
                </c:pt>
                <c:pt idx="47">
                  <c:v>53362.984485351073</c:v>
                </c:pt>
                <c:pt idx="48">
                  <c:v>54273.446307647137</c:v>
                </c:pt>
                <c:pt idx="49">
                  <c:v>55168.584911614969</c:v>
                </c:pt>
                <c:pt idx="50">
                  <c:v>56048.78982220203</c:v>
                </c:pt>
                <c:pt idx="51">
                  <c:v>56914.431629766441</c:v>
                </c:pt>
                <c:pt idx="52">
                  <c:v>57765.862976929195</c:v>
                </c:pt>
                <c:pt idx="53">
                  <c:v>58603.419493577901</c:v>
                </c:pt>
                <c:pt idx="54">
                  <c:v>59427.420682748678</c:v>
                </c:pt>
                <c:pt idx="55">
                  <c:v>60248.683238624937</c:v>
                </c:pt>
                <c:pt idx="56">
                  <c:v>61067.248025976267</c:v>
                </c:pt>
                <c:pt idx="57">
                  <c:v>61883.154355381092</c:v>
                </c:pt>
                <c:pt idx="58">
                  <c:v>62696.440061532754</c:v>
                </c:pt>
                <c:pt idx="59">
                  <c:v>63507.141577447175</c:v>
                </c:pt>
                <c:pt idx="60">
                  <c:v>64315.294004787494</c:v>
                </c:pt>
                <c:pt idx="61">
                  <c:v>65120.931180509811</c:v>
                </c:pt>
                <c:pt idx="62">
                  <c:v>65924.085740023336</c:v>
                </c:pt>
                <c:pt idx="63">
                  <c:v>66724.789177048224</c:v>
                </c:pt>
                <c:pt idx="64">
                  <c:v>67523.071900344643</c:v>
                </c:pt>
                <c:pt idx="65">
                  <c:v>68318.96328747744</c:v>
                </c:pt>
                <c:pt idx="66">
                  <c:v>69112.491735772259</c:v>
                </c:pt>
                <c:pt idx="67">
                  <c:v>69903.684710610745</c:v>
                </c:pt>
                <c:pt idx="68">
                  <c:v>70692.56879120454</c:v>
                </c:pt>
                <c:pt idx="69">
                  <c:v>71479.169713980722</c:v>
                </c:pt>
                <c:pt idx="70">
                  <c:v>72263.512413704011</c:v>
                </c:pt>
                <c:pt idx="71">
                  <c:v>73045.62106245484</c:v>
                </c:pt>
                <c:pt idx="72">
                  <c:v>73825.519106575826</c:v>
                </c:pt>
                <c:pt idx="73">
                  <c:v>74603.229301693427</c:v>
                </c:pt>
                <c:pt idx="74">
                  <c:v>75378.773745915911</c:v>
                </c:pt>
                <c:pt idx="75">
                  <c:v>76152.173911303427</c:v>
                </c:pt>
                <c:pt idx="76">
                  <c:v>76923.450673700965</c:v>
                </c:pt>
                <c:pt idx="77">
                  <c:v>77692.624341020171</c:v>
                </c:pt>
                <c:pt idx="78">
                  <c:v>78459.714680051489</c:v>
                </c:pt>
                <c:pt idx="79">
                  <c:v>79224.740941883923</c:v>
                </c:pt>
                <c:pt idx="80">
                  <c:v>79987.721886005369</c:v>
                </c:pt>
                <c:pt idx="81">
                  <c:v>80748.675803152917</c:v>
                </c:pt>
                <c:pt idx="82">
                  <c:v>81507.620536978808</c:v>
                </c:pt>
                <c:pt idx="83">
                  <c:v>82264.573504594082</c:v>
                </c:pt>
                <c:pt idx="84">
                  <c:v>83019.551716048998</c:v>
                </c:pt>
                <c:pt idx="85">
                  <c:v>83772.571792805931</c:v>
                </c:pt>
                <c:pt idx="86">
                  <c:v>84523.649985257711</c:v>
                </c:pt>
                <c:pt idx="87">
                  <c:v>85272.802189341441</c:v>
                </c:pt>
                <c:pt idx="88">
                  <c:v>86020.043962295327</c:v>
                </c:pt>
                <c:pt idx="89">
                  <c:v>86765.390537603482</c:v>
                </c:pt>
                <c:pt idx="90">
                  <c:v>87508.856839171262</c:v>
                </c:pt>
              </c:numCache>
            </c:numRef>
          </c:yVal>
          <c:smooth val="1"/>
        </c:ser>
        <c:ser>
          <c:idx val="1"/>
          <c:order val="1"/>
          <c:tx>
            <c:strRef>
              <c:f>Scenarios!$K$140</c:f>
              <c:strCache>
                <c:ptCount val="1"/>
                <c:pt idx="0">
                  <c:v>FWPp Gasoline </c:v>
                </c:pt>
              </c:strCache>
            </c:strRef>
          </c:tx>
          <c:spPr>
            <a:ln w="38100">
              <a:solidFill>
                <a:srgbClr val="000000"/>
              </a:solidFill>
              <a:prstDash val="solid"/>
            </a:ln>
          </c:spPr>
          <c:marker>
            <c:symbol val="none"/>
          </c:marker>
          <c:xVal>
            <c:numRef>
              <c:f>Summary!$A$5:$A$95</c:f>
              <c:numCache>
                <c:formatCode>General</c:formatCode>
                <c:ptCount val="9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pt idx="61">
                  <c:v>2071</c:v>
                </c:pt>
                <c:pt idx="62">
                  <c:v>2072</c:v>
                </c:pt>
                <c:pt idx="63">
                  <c:v>2073</c:v>
                </c:pt>
                <c:pt idx="64">
                  <c:v>2074</c:v>
                </c:pt>
                <c:pt idx="65">
                  <c:v>2075</c:v>
                </c:pt>
                <c:pt idx="66">
                  <c:v>2076</c:v>
                </c:pt>
                <c:pt idx="67">
                  <c:v>2077</c:v>
                </c:pt>
                <c:pt idx="68">
                  <c:v>2078</c:v>
                </c:pt>
                <c:pt idx="69">
                  <c:v>2079</c:v>
                </c:pt>
                <c:pt idx="70">
                  <c:v>2080</c:v>
                </c:pt>
                <c:pt idx="71">
                  <c:v>2081</c:v>
                </c:pt>
                <c:pt idx="72">
                  <c:v>2082</c:v>
                </c:pt>
                <c:pt idx="73">
                  <c:v>2083</c:v>
                </c:pt>
                <c:pt idx="74">
                  <c:v>2084</c:v>
                </c:pt>
                <c:pt idx="75">
                  <c:v>2085</c:v>
                </c:pt>
                <c:pt idx="76">
                  <c:v>2086</c:v>
                </c:pt>
                <c:pt idx="77">
                  <c:v>2087</c:v>
                </c:pt>
                <c:pt idx="78">
                  <c:v>2088</c:v>
                </c:pt>
                <c:pt idx="79">
                  <c:v>2089</c:v>
                </c:pt>
                <c:pt idx="80">
                  <c:v>2090</c:v>
                </c:pt>
                <c:pt idx="81">
                  <c:v>2091</c:v>
                </c:pt>
                <c:pt idx="82">
                  <c:v>2092</c:v>
                </c:pt>
                <c:pt idx="83">
                  <c:v>2093</c:v>
                </c:pt>
                <c:pt idx="84">
                  <c:v>2094</c:v>
                </c:pt>
                <c:pt idx="85">
                  <c:v>2095</c:v>
                </c:pt>
                <c:pt idx="86">
                  <c:v>2096</c:v>
                </c:pt>
                <c:pt idx="87">
                  <c:v>2097</c:v>
                </c:pt>
                <c:pt idx="88">
                  <c:v>2098</c:v>
                </c:pt>
                <c:pt idx="89">
                  <c:v>2099</c:v>
                </c:pt>
                <c:pt idx="90">
                  <c:v>2100</c:v>
                </c:pt>
              </c:numCache>
            </c:numRef>
          </c:xVal>
          <c:yVal>
            <c:numRef>
              <c:f>Summary!$E$5:$E$95</c:f>
              <c:numCache>
                <c:formatCode>0.0E+00</c:formatCode>
                <c:ptCount val="91"/>
                <c:pt idx="0">
                  <c:v>94</c:v>
                </c:pt>
                <c:pt idx="1">
                  <c:v>270.22879654387145</c:v>
                </c:pt>
                <c:pt idx="2">
                  <c:v>522.67756931087308</c:v>
                </c:pt>
                <c:pt idx="3">
                  <c:v>847.8631997650416</c:v>
                </c:pt>
                <c:pt idx="4">
                  <c:v>1243.4329923749956</c:v>
                </c:pt>
                <c:pt idx="5">
                  <c:v>1707.5619581271089</c:v>
                </c:pt>
                <c:pt idx="6">
                  <c:v>2238.6912915708731</c:v>
                </c:pt>
                <c:pt idx="7">
                  <c:v>2835.4137912828232</c:v>
                </c:pt>
                <c:pt idx="8">
                  <c:v>3496.4226234396892</c:v>
                </c:pt>
                <c:pt idx="9">
                  <c:v>4220.4874459861439</c:v>
                </c:pt>
                <c:pt idx="10">
                  <c:v>5006.4424032117722</c:v>
                </c:pt>
                <c:pt idx="11">
                  <c:v>5853.1793195835035</c:v>
                </c:pt>
                <c:pt idx="12">
                  <c:v>6759.6432171626475</c:v>
                </c:pt>
                <c:pt idx="13">
                  <c:v>7724.8289145504859</c:v>
                </c:pt>
                <c:pt idx="14">
                  <c:v>8747.7781685608516</c:v>
                </c:pt>
                <c:pt idx="15">
                  <c:v>9827.5771226851484</c:v>
                </c:pt>
                <c:pt idx="16">
                  <c:v>10963.353956966039</c:v>
                </c:pt>
                <c:pt idx="17">
                  <c:v>12154.276690280227</c:v>
                </c:pt>
                <c:pt idx="18">
                  <c:v>13399.551110487337</c:v>
                </c:pt>
                <c:pt idx="19">
                  <c:v>14698.418818608283</c:v>
                </c:pt>
                <c:pt idx="20">
                  <c:v>16050.155377976262</c:v>
                </c:pt>
                <c:pt idx="21">
                  <c:v>17454.068561523531</c:v>
                </c:pt>
                <c:pt idx="22">
                  <c:v>18909.496691477139</c:v>
                </c:pt>
                <c:pt idx="23">
                  <c:v>20415.807066360838</c:v>
                </c:pt>
                <c:pt idx="24">
                  <c:v>21972.394470607771</c:v>
                </c:pt>
                <c:pt idx="25">
                  <c:v>23484.679762395281</c:v>
                </c:pt>
                <c:pt idx="26">
                  <c:v>24963.879739025779</c:v>
                </c:pt>
                <c:pt idx="27">
                  <c:v>26415.472282446197</c:v>
                </c:pt>
                <c:pt idx="28">
                  <c:v>27842.43183920208</c:v>
                </c:pt>
                <c:pt idx="29">
                  <c:v>29246.623560816388</c:v>
                </c:pt>
                <c:pt idx="30">
                  <c:v>30629.404941557466</c:v>
                </c:pt>
                <c:pt idx="31">
                  <c:v>31991.886319219408</c:v>
                </c:pt>
                <c:pt idx="32">
                  <c:v>33335.044486055573</c:v>
                </c:pt>
                <c:pt idx="33">
                  <c:v>34659.77300735825</c:v>
                </c:pt>
                <c:pt idx="34">
                  <c:v>35966.905227530828</c:v>
                </c:pt>
                <c:pt idx="35">
                  <c:v>37257.225451309918</c:v>
                </c:pt>
                <c:pt idx="36">
                  <c:v>38531.474968896218</c:v>
                </c:pt>
                <c:pt idx="37">
                  <c:v>39790.355798395969</c:v>
                </c:pt>
                <c:pt idx="38">
                  <c:v>41034.533385479328</c:v>
                </c:pt>
                <c:pt idx="39">
                  <c:v>42264.638797020627</c:v>
                </c:pt>
                <c:pt idx="40">
                  <c:v>43481.27064272546</c:v>
                </c:pt>
                <c:pt idx="41">
                  <c:v>44684.996828300376</c:v>
                </c:pt>
                <c:pt idx="42">
                  <c:v>45876.356187432742</c:v>
                </c:pt>
                <c:pt idx="43">
                  <c:v>47055.860015482962</c:v>
                </c:pt>
                <c:pt idx="44">
                  <c:v>48223.993517171089</c:v>
                </c:pt>
                <c:pt idx="45">
                  <c:v>49381.217175841884</c:v>
                </c:pt>
                <c:pt idx="46">
                  <c:v>50527.968049749761</c:v>
                </c:pt>
                <c:pt idx="47">
                  <c:v>51664.660999768508</c:v>
                </c:pt>
                <c:pt idx="48">
                  <c:v>52791.689852376083</c:v>
                </c:pt>
                <c:pt idx="49">
                  <c:v>53909.428501423245</c:v>
                </c:pt>
                <c:pt idx="50">
                  <c:v>55018.231951950547</c:v>
                </c:pt>
                <c:pt idx="51">
                  <c:v>56118.437309120724</c:v>
                </c:pt>
                <c:pt idx="52">
                  <c:v>57210.364715161137</c:v>
                </c:pt>
                <c:pt idx="53">
                  <c:v>58294.318237053973</c:v>
                </c:pt>
                <c:pt idx="54">
                  <c:v>59370.586707565853</c:v>
                </c:pt>
                <c:pt idx="55">
                  <c:v>60439.444522071295</c:v>
                </c:pt>
                <c:pt idx="56">
                  <c:v>61501.152393495053</c:v>
                </c:pt>
                <c:pt idx="57">
                  <c:v>62555.958067575877</c:v>
                </c:pt>
                <c:pt idx="58">
                  <c:v>63604.097000538408</c:v>
                </c:pt>
                <c:pt idx="59">
                  <c:v>64645.793001150043</c:v>
                </c:pt>
                <c:pt idx="60">
                  <c:v>65681.258839035683</c:v>
                </c:pt>
                <c:pt idx="61">
                  <c:v>66710.696821024831</c:v>
                </c:pt>
                <c:pt idx="62">
                  <c:v>67734.299337212055</c:v>
                </c:pt>
                <c:pt idx="63">
                  <c:v>68752.24937832357</c:v>
                </c:pt>
                <c:pt idx="64">
                  <c:v>69764.721025898732</c:v>
                </c:pt>
                <c:pt idx="65">
                  <c:v>70771.879916716163</c:v>
                </c:pt>
                <c:pt idx="66">
                  <c:v>71773.883682818778</c:v>
                </c:pt>
                <c:pt idx="67">
                  <c:v>72770.882368420847</c:v>
                </c:pt>
                <c:pt idx="68">
                  <c:v>73763.018824912899</c:v>
                </c:pt>
                <c:pt idx="69">
                  <c:v>74750.429085115975</c:v>
                </c:pt>
                <c:pt idx="70">
                  <c:v>75733.242717876696</c:v>
                </c:pt>
                <c:pt idx="71">
                  <c:v>76711.583164036594</c:v>
                </c:pt>
                <c:pt idx="72">
                  <c:v>77685.568054755408</c:v>
                </c:pt>
                <c:pt idx="73">
                  <c:v>78655.309513116052</c:v>
                </c:pt>
                <c:pt idx="74">
                  <c:v>79620.914439890446</c:v>
                </c:pt>
                <c:pt idx="75">
                  <c:v>80582.484784299129</c:v>
                </c:pt>
                <c:pt idx="76">
                  <c:v>81540.117800553562</c:v>
                </c:pt>
                <c:pt idx="77">
                  <c:v>82493.906290928862</c:v>
                </c:pt>
                <c:pt idx="78">
                  <c:v>83443.938836075205</c:v>
                </c:pt>
                <c:pt idx="79">
                  <c:v>84390.300013238782</c:v>
                </c:pt>
                <c:pt idx="80">
                  <c:v>85333.070603028129</c:v>
                </c:pt>
                <c:pt idx="81">
                  <c:v>86272.327785328176</c:v>
                </c:pt>
                <c:pt idx="82">
                  <c:v>87208.145324932513</c:v>
                </c:pt>
                <c:pt idx="83">
                  <c:v>88140.593747434483</c:v>
                </c:pt>
                <c:pt idx="84">
                  <c:v>89069.740505889436</c:v>
                </c:pt>
                <c:pt idx="85">
                  <c:v>89995.650138733137</c:v>
                </c:pt>
                <c:pt idx="86">
                  <c:v>90918.38441941631</c:v>
                </c:pt>
                <c:pt idx="87">
                  <c:v>91838.002498190646</c:v>
                </c:pt>
                <c:pt idx="88">
                  <c:v>92754.561036459039</c:v>
                </c:pt>
                <c:pt idx="89">
                  <c:v>93668.11433408095</c:v>
                </c:pt>
                <c:pt idx="90">
                  <c:v>94578.714450003288</c:v>
                </c:pt>
              </c:numCache>
            </c:numRef>
          </c:yVal>
          <c:smooth val="1"/>
        </c:ser>
        <c:ser>
          <c:idx val="8"/>
          <c:order val="2"/>
          <c:tx>
            <c:strRef>
              <c:f>Scenarios!$O$140</c:f>
              <c:strCache>
                <c:ptCount val="1"/>
                <c:pt idx="0">
                  <c:v>FWPe Corn ethanol</c:v>
                </c:pt>
              </c:strCache>
            </c:strRef>
          </c:tx>
          <c:spPr>
            <a:ln w="38100">
              <a:solidFill>
                <a:srgbClr val="FF6600"/>
              </a:solidFill>
              <a:prstDash val="sysDash"/>
            </a:ln>
          </c:spPr>
          <c:marker>
            <c:symbol val="none"/>
          </c:marker>
          <c:xVal>
            <c:numRef>
              <c:f>Summary!$A$5:$A$95</c:f>
              <c:numCache>
                <c:formatCode>General</c:formatCode>
                <c:ptCount val="9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pt idx="61">
                  <c:v>2071</c:v>
                </c:pt>
                <c:pt idx="62">
                  <c:v>2072</c:v>
                </c:pt>
                <c:pt idx="63">
                  <c:v>2073</c:v>
                </c:pt>
                <c:pt idx="64">
                  <c:v>2074</c:v>
                </c:pt>
                <c:pt idx="65">
                  <c:v>2075</c:v>
                </c:pt>
                <c:pt idx="66">
                  <c:v>2076</c:v>
                </c:pt>
                <c:pt idx="67">
                  <c:v>2077</c:v>
                </c:pt>
                <c:pt idx="68">
                  <c:v>2078</c:v>
                </c:pt>
                <c:pt idx="69">
                  <c:v>2079</c:v>
                </c:pt>
                <c:pt idx="70">
                  <c:v>2080</c:v>
                </c:pt>
                <c:pt idx="71">
                  <c:v>2081</c:v>
                </c:pt>
                <c:pt idx="72">
                  <c:v>2082</c:v>
                </c:pt>
                <c:pt idx="73">
                  <c:v>2083</c:v>
                </c:pt>
                <c:pt idx="74">
                  <c:v>2084</c:v>
                </c:pt>
                <c:pt idx="75">
                  <c:v>2085</c:v>
                </c:pt>
                <c:pt idx="76">
                  <c:v>2086</c:v>
                </c:pt>
                <c:pt idx="77">
                  <c:v>2087</c:v>
                </c:pt>
                <c:pt idx="78">
                  <c:v>2088</c:v>
                </c:pt>
                <c:pt idx="79">
                  <c:v>2089</c:v>
                </c:pt>
                <c:pt idx="80">
                  <c:v>2090</c:v>
                </c:pt>
                <c:pt idx="81">
                  <c:v>2091</c:v>
                </c:pt>
                <c:pt idx="82">
                  <c:v>2092</c:v>
                </c:pt>
                <c:pt idx="83">
                  <c:v>2093</c:v>
                </c:pt>
                <c:pt idx="84">
                  <c:v>2094</c:v>
                </c:pt>
                <c:pt idx="85">
                  <c:v>2095</c:v>
                </c:pt>
                <c:pt idx="86">
                  <c:v>2096</c:v>
                </c:pt>
                <c:pt idx="87">
                  <c:v>2097</c:v>
                </c:pt>
                <c:pt idx="88">
                  <c:v>2098</c:v>
                </c:pt>
                <c:pt idx="89">
                  <c:v>2099</c:v>
                </c:pt>
                <c:pt idx="90">
                  <c:v>2100</c:v>
                </c:pt>
              </c:numCache>
            </c:numRef>
          </c:xVal>
          <c:yVal>
            <c:numRef>
              <c:f>Summary!$I$5:$I$95</c:f>
              <c:numCache>
                <c:formatCode>0.0E+00</c:formatCode>
                <c:ptCount val="91"/>
                <c:pt idx="0">
                  <c:v>532.82559637610393</c:v>
                </c:pt>
                <c:pt idx="1">
                  <c:v>1101.6531966814209</c:v>
                </c:pt>
                <c:pt idx="2">
                  <c:v>1721.5600061799394</c:v>
                </c:pt>
                <c:pt idx="3">
                  <c:v>2396.0684843232834</c:v>
                </c:pt>
                <c:pt idx="4">
                  <c:v>3124.0255473797351</c:v>
                </c:pt>
                <c:pt idx="5">
                  <c:v>3857.3900738490474</c:v>
                </c:pt>
                <c:pt idx="6">
                  <c:v>4600.3170872596884</c:v>
                </c:pt>
                <c:pt idx="7">
                  <c:v>5353.7387046754529</c:v>
                </c:pt>
                <c:pt idx="8">
                  <c:v>6117.2825576472296</c:v>
                </c:pt>
                <c:pt idx="9">
                  <c:v>6890.0743949887055</c:v>
                </c:pt>
                <c:pt idx="10">
                  <c:v>7671.072391751065</c:v>
                </c:pt>
                <c:pt idx="11">
                  <c:v>8459.2050137391034</c:v>
                </c:pt>
                <c:pt idx="12">
                  <c:v>9253.4265614559736</c:v>
                </c:pt>
                <c:pt idx="13">
                  <c:v>10052.73829750022</c:v>
                </c:pt>
                <c:pt idx="14">
                  <c:v>10856.195259938428</c:v>
                </c:pt>
                <c:pt idx="15">
                  <c:v>11662.907192486373</c:v>
                </c:pt>
                <c:pt idx="16">
                  <c:v>12472.037122654385</c:v>
                </c:pt>
                <c:pt idx="17">
                  <c:v>13282.79906250209</c:v>
                </c:pt>
                <c:pt idx="18">
                  <c:v>14094.455443789531</c:v>
                </c:pt>
                <c:pt idx="19">
                  <c:v>14906.314537564545</c:v>
                </c:pt>
                <c:pt idx="20">
                  <c:v>15717.727956830786</c:v>
                </c:pt>
                <c:pt idx="21">
                  <c:v>16528.088277825856</c:v>
                </c:pt>
                <c:pt idx="22">
                  <c:v>17336.826789355189</c:v>
                </c:pt>
                <c:pt idx="23">
                  <c:v>18143.41136906085</c:v>
                </c:pt>
                <c:pt idx="24">
                  <c:v>18947.344481424421</c:v>
                </c:pt>
                <c:pt idx="25">
                  <c:v>19705.802307998725</c:v>
                </c:pt>
                <c:pt idx="26">
                  <c:v>20425.592277987918</c:v>
                </c:pt>
                <c:pt idx="27">
                  <c:v>21111.688164321058</c:v>
                </c:pt>
                <c:pt idx="28">
                  <c:v>21766.213352045255</c:v>
                </c:pt>
                <c:pt idx="29">
                  <c:v>22390.845928854706</c:v>
                </c:pt>
                <c:pt idx="30">
                  <c:v>22987.160373155704</c:v>
                </c:pt>
                <c:pt idx="31">
                  <c:v>23556.634653708923</c:v>
                </c:pt>
                <c:pt idx="32">
                  <c:v>24100.656814904756</c:v>
                </c:pt>
                <c:pt idx="33">
                  <c:v>24620.531085903731</c:v>
                </c:pt>
                <c:pt idx="34">
                  <c:v>25117.483549001205</c:v>
                </c:pt>
                <c:pt idx="35">
                  <c:v>25592.667399919552</c:v>
                </c:pt>
                <c:pt idx="36">
                  <c:v>26047.16783027559</c:v>
                </c:pt>
                <c:pt idx="37">
                  <c:v>26482.006560200625</c:v>
                </c:pt>
                <c:pt idx="38">
                  <c:v>26898.146046991675</c:v>
                </c:pt>
                <c:pt idx="39">
                  <c:v>27296.493393731569</c:v>
                </c:pt>
                <c:pt idx="40">
                  <c:v>27677.903980021525</c:v>
                </c:pt>
                <c:pt idx="41">
                  <c:v>28043.184835310589</c:v>
                </c:pt>
                <c:pt idx="42">
                  <c:v>28393.097773772595</c:v>
                </c:pt>
                <c:pt idx="43">
                  <c:v>28728.362308262713</c:v>
                </c:pt>
                <c:pt idx="44">
                  <c:v>29049.658359574481</c:v>
                </c:pt>
                <c:pt idx="45">
                  <c:v>29357.628776005353</c:v>
                </c:pt>
                <c:pt idx="46">
                  <c:v>29652.88167711757</c:v>
                </c:pt>
                <c:pt idx="47">
                  <c:v>29935.992634544287</c:v>
                </c:pt>
                <c:pt idx="48">
                  <c:v>30207.50670173212</c:v>
                </c:pt>
                <c:pt idx="49">
                  <c:v>30467.940303624422</c:v>
                </c:pt>
                <c:pt idx="50">
                  <c:v>30717.782996469992</c:v>
                </c:pt>
                <c:pt idx="51">
                  <c:v>30957.499107183296</c:v>
                </c:pt>
                <c:pt idx="52">
                  <c:v>31187.529260981322</c:v>
                </c:pt>
                <c:pt idx="53">
                  <c:v>31408.291805373457</c:v>
                </c:pt>
                <c:pt idx="54">
                  <c:v>31620.184137981065</c:v>
                </c:pt>
                <c:pt idx="55">
                  <c:v>31826.221300554116</c:v>
                </c:pt>
                <c:pt idx="56">
                  <c:v>32026.572861828419</c:v>
                </c:pt>
                <c:pt idx="57">
                  <c:v>32221.402986963785</c:v>
                </c:pt>
                <c:pt idx="58">
                  <c:v>32410.870642555728</c:v>
                </c:pt>
                <c:pt idx="59">
                  <c:v>32595.129791787294</c:v>
                </c:pt>
                <c:pt idx="60">
                  <c:v>32774.329580308891</c:v>
                </c:pt>
                <c:pt idx="61">
                  <c:v>32948.61451339395</c:v>
                </c:pt>
                <c:pt idx="62">
                  <c:v>33118.124624881122</c:v>
                </c:pt>
                <c:pt idx="63">
                  <c:v>33282.995638379318</c:v>
                </c:pt>
                <c:pt idx="64">
                  <c:v>33443.35912117987</c:v>
                </c:pt>
                <c:pt idx="65">
                  <c:v>33599.342631290645</c:v>
                </c:pt>
                <c:pt idx="66">
                  <c:v>33751.069857979128</c:v>
                </c:pt>
                <c:pt idx="67">
                  <c:v>33898.660756186255</c:v>
                </c:pt>
                <c:pt idx="68">
                  <c:v>34042.231675148811</c:v>
                </c:pt>
                <c:pt idx="69">
                  <c:v>34181.895481546431</c:v>
                </c:pt>
                <c:pt idx="70">
                  <c:v>34317.761677468487</c:v>
                </c:pt>
                <c:pt idx="71">
                  <c:v>34449.936513477442</c:v>
                </c:pt>
                <c:pt idx="72">
                  <c:v>34578.523097027348</c:v>
                </c:pt>
                <c:pt idx="73">
                  <c:v>34703.6214964799</c:v>
                </c:pt>
                <c:pt idx="74">
                  <c:v>34825.328840945098</c:v>
                </c:pt>
                <c:pt idx="75">
                  <c:v>34943.739416159398</c:v>
                </c:pt>
                <c:pt idx="76">
                  <c:v>35058.9447566011</c:v>
                </c:pt>
                <c:pt idx="77">
                  <c:v>35171.03373403025</c:v>
                </c:pt>
                <c:pt idx="78">
                  <c:v>35280.092642629068</c:v>
                </c:pt>
                <c:pt idx="79">
                  <c:v>35386.205280908202</c:v>
                </c:pt>
                <c:pt idx="80">
                  <c:v>35489.453030534161</c:v>
                </c:pt>
                <c:pt idx="81">
                  <c:v>35589.914932223997</c:v>
                </c:pt>
                <c:pt idx="82">
                  <c:v>35687.66775884488</c:v>
                </c:pt>
                <c:pt idx="83">
                  <c:v>35782.786085847838</c:v>
                </c:pt>
                <c:pt idx="84">
                  <c:v>35875.342359157876</c:v>
                </c:pt>
                <c:pt idx="85">
                  <c:v>35965.406960635257</c:v>
                </c:pt>
                <c:pt idx="86">
                  <c:v>36053.048271216539</c:v>
                </c:pt>
                <c:pt idx="87">
                  <c:v>36138.332731837698</c:v>
                </c:pt>
                <c:pt idx="88">
                  <c:v>36221.324902235996</c:v>
                </c:pt>
                <c:pt idx="89">
                  <c:v>36302.087517722015</c:v>
                </c:pt>
                <c:pt idx="90">
                  <c:v>36380.681544008119</c:v>
                </c:pt>
              </c:numCache>
            </c:numRef>
          </c:yVal>
          <c:smooth val="1"/>
        </c:ser>
        <c:ser>
          <c:idx val="2"/>
          <c:order val="3"/>
          <c:tx>
            <c:strRef>
              <c:f>Scenarios!$N$140</c:f>
              <c:strCache>
                <c:ptCount val="1"/>
                <c:pt idx="0">
                  <c:v>FWPe Gasoline</c:v>
                </c:pt>
              </c:strCache>
            </c:strRef>
          </c:tx>
          <c:spPr>
            <a:ln w="38100">
              <a:solidFill>
                <a:srgbClr val="000000"/>
              </a:solidFill>
              <a:prstDash val="sysDash"/>
            </a:ln>
          </c:spPr>
          <c:marker>
            <c:symbol val="none"/>
          </c:marker>
          <c:xVal>
            <c:numRef>
              <c:f>Summary!$A$5:$A$95</c:f>
              <c:numCache>
                <c:formatCode>General</c:formatCode>
                <c:ptCount val="91"/>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pt idx="13">
                  <c:v>2023</c:v>
                </c:pt>
                <c:pt idx="14">
                  <c:v>2024</c:v>
                </c:pt>
                <c:pt idx="15">
                  <c:v>2025</c:v>
                </c:pt>
                <c:pt idx="16">
                  <c:v>2026</c:v>
                </c:pt>
                <c:pt idx="17">
                  <c:v>2027</c:v>
                </c:pt>
                <c:pt idx="18">
                  <c:v>2028</c:v>
                </c:pt>
                <c:pt idx="19">
                  <c:v>2029</c:v>
                </c:pt>
                <c:pt idx="20">
                  <c:v>2030</c:v>
                </c:pt>
                <c:pt idx="21">
                  <c:v>2031</c:v>
                </c:pt>
                <c:pt idx="22">
                  <c:v>2032</c:v>
                </c:pt>
                <c:pt idx="23">
                  <c:v>2033</c:v>
                </c:pt>
                <c:pt idx="24">
                  <c:v>2034</c:v>
                </c:pt>
                <c:pt idx="25">
                  <c:v>2035</c:v>
                </c:pt>
                <c:pt idx="26">
                  <c:v>2036</c:v>
                </c:pt>
                <c:pt idx="27">
                  <c:v>2037</c:v>
                </c:pt>
                <c:pt idx="28">
                  <c:v>2038</c:v>
                </c:pt>
                <c:pt idx="29">
                  <c:v>2039</c:v>
                </c:pt>
                <c:pt idx="30">
                  <c:v>2040</c:v>
                </c:pt>
                <c:pt idx="31">
                  <c:v>2041</c:v>
                </c:pt>
                <c:pt idx="32">
                  <c:v>2042</c:v>
                </c:pt>
                <c:pt idx="33">
                  <c:v>2043</c:v>
                </c:pt>
                <c:pt idx="34">
                  <c:v>2044</c:v>
                </c:pt>
                <c:pt idx="35">
                  <c:v>2045</c:v>
                </c:pt>
                <c:pt idx="36">
                  <c:v>2046</c:v>
                </c:pt>
                <c:pt idx="37">
                  <c:v>2047</c:v>
                </c:pt>
                <c:pt idx="38">
                  <c:v>2048</c:v>
                </c:pt>
                <c:pt idx="39">
                  <c:v>2049</c:v>
                </c:pt>
                <c:pt idx="40">
                  <c:v>2050</c:v>
                </c:pt>
                <c:pt idx="41">
                  <c:v>2051</c:v>
                </c:pt>
                <c:pt idx="42">
                  <c:v>2052</c:v>
                </c:pt>
                <c:pt idx="43">
                  <c:v>2053</c:v>
                </c:pt>
                <c:pt idx="44">
                  <c:v>2054</c:v>
                </c:pt>
                <c:pt idx="45">
                  <c:v>2055</c:v>
                </c:pt>
                <c:pt idx="46">
                  <c:v>2056</c:v>
                </c:pt>
                <c:pt idx="47">
                  <c:v>2057</c:v>
                </c:pt>
                <c:pt idx="48">
                  <c:v>2058</c:v>
                </c:pt>
                <c:pt idx="49">
                  <c:v>2059</c:v>
                </c:pt>
                <c:pt idx="50">
                  <c:v>2060</c:v>
                </c:pt>
                <c:pt idx="51">
                  <c:v>2061</c:v>
                </c:pt>
                <c:pt idx="52">
                  <c:v>2062</c:v>
                </c:pt>
                <c:pt idx="53">
                  <c:v>2063</c:v>
                </c:pt>
                <c:pt idx="54">
                  <c:v>2064</c:v>
                </c:pt>
                <c:pt idx="55">
                  <c:v>2065</c:v>
                </c:pt>
                <c:pt idx="56">
                  <c:v>2066</c:v>
                </c:pt>
                <c:pt idx="57">
                  <c:v>2067</c:v>
                </c:pt>
                <c:pt idx="58">
                  <c:v>2068</c:v>
                </c:pt>
                <c:pt idx="59">
                  <c:v>2069</c:v>
                </c:pt>
                <c:pt idx="60">
                  <c:v>2070</c:v>
                </c:pt>
                <c:pt idx="61">
                  <c:v>2071</c:v>
                </c:pt>
                <c:pt idx="62">
                  <c:v>2072</c:v>
                </c:pt>
                <c:pt idx="63">
                  <c:v>2073</c:v>
                </c:pt>
                <c:pt idx="64">
                  <c:v>2074</c:v>
                </c:pt>
                <c:pt idx="65">
                  <c:v>2075</c:v>
                </c:pt>
                <c:pt idx="66">
                  <c:v>2076</c:v>
                </c:pt>
                <c:pt idx="67">
                  <c:v>2077</c:v>
                </c:pt>
                <c:pt idx="68">
                  <c:v>2078</c:v>
                </c:pt>
                <c:pt idx="69">
                  <c:v>2079</c:v>
                </c:pt>
                <c:pt idx="70">
                  <c:v>2080</c:v>
                </c:pt>
                <c:pt idx="71">
                  <c:v>2081</c:v>
                </c:pt>
                <c:pt idx="72">
                  <c:v>2082</c:v>
                </c:pt>
                <c:pt idx="73">
                  <c:v>2083</c:v>
                </c:pt>
                <c:pt idx="74">
                  <c:v>2084</c:v>
                </c:pt>
                <c:pt idx="75">
                  <c:v>2085</c:v>
                </c:pt>
                <c:pt idx="76">
                  <c:v>2086</c:v>
                </c:pt>
                <c:pt idx="77">
                  <c:v>2087</c:v>
                </c:pt>
                <c:pt idx="78">
                  <c:v>2088</c:v>
                </c:pt>
                <c:pt idx="79">
                  <c:v>2089</c:v>
                </c:pt>
                <c:pt idx="80">
                  <c:v>2090</c:v>
                </c:pt>
                <c:pt idx="81">
                  <c:v>2091</c:v>
                </c:pt>
                <c:pt idx="82">
                  <c:v>2092</c:v>
                </c:pt>
                <c:pt idx="83">
                  <c:v>2093</c:v>
                </c:pt>
                <c:pt idx="84">
                  <c:v>2094</c:v>
                </c:pt>
                <c:pt idx="85">
                  <c:v>2095</c:v>
                </c:pt>
                <c:pt idx="86">
                  <c:v>2096</c:v>
                </c:pt>
                <c:pt idx="87">
                  <c:v>2097</c:v>
                </c:pt>
                <c:pt idx="88">
                  <c:v>2098</c:v>
                </c:pt>
                <c:pt idx="89">
                  <c:v>2099</c:v>
                </c:pt>
                <c:pt idx="90">
                  <c:v>2100</c:v>
                </c:pt>
              </c:numCache>
            </c:numRef>
          </c:xVal>
          <c:yVal>
            <c:numRef>
              <c:f>Summary!$H$5:$H$95</c:f>
              <c:numCache>
                <c:formatCode>0.0E+00</c:formatCode>
                <c:ptCount val="91"/>
                <c:pt idx="0">
                  <c:v>91.707317073170742</c:v>
                </c:pt>
                <c:pt idx="1">
                  <c:v>259.44442264734943</c:v>
                </c:pt>
                <c:pt idx="2">
                  <c:v>493.86820432620061</c:v>
                </c:pt>
                <c:pt idx="3">
                  <c:v>788.4703359157694</c:v>
                </c:pt>
                <c:pt idx="4">
                  <c:v>1138.0963931628849</c:v>
                </c:pt>
                <c:pt idx="5">
                  <c:v>1538.3133457324225</c:v>
                </c:pt>
                <c:pt idx="6">
                  <c:v>1985.1339892916906</c:v>
                </c:pt>
                <c:pt idx="7">
                  <c:v>2474.8919346572898</c:v>
                </c:pt>
                <c:pt idx="8">
                  <c:v>3004.1804539450109</c:v>
                </c:pt>
                <c:pt idx="9">
                  <c:v>3569.8187360641232</c:v>
                </c:pt>
                <c:pt idx="10">
                  <c:v>4168.8302057354149</c:v>
                </c:pt>
                <c:pt idx="11">
                  <c:v>4798.4264229887331</c:v>
                </c:pt>
                <c:pt idx="12">
                  <c:v>5455.9938040873476</c:v>
                </c:pt>
                <c:pt idx="13">
                  <c:v>6139.0819710872647</c:v>
                </c:pt>
                <c:pt idx="14">
                  <c:v>6845.3931973755571</c:v>
                </c:pt>
                <c:pt idx="15">
                  <c:v>7572.7726960424716</c:v>
                </c:pt>
                <c:pt idx="16">
                  <c:v>8319.1996174716933</c:v>
                </c:pt>
                <c:pt idx="17">
                  <c:v>9082.778674732026</c:v>
                </c:pt>
                <c:pt idx="18">
                  <c:v>9861.7323391332466</c:v>
                </c:pt>
                <c:pt idx="19">
                  <c:v>10654.393560017106</c:v>
                </c:pt>
                <c:pt idx="20">
                  <c:v>11459.19896936564</c:v>
                </c:pt>
                <c:pt idx="21">
                  <c:v>12274.682536019141</c:v>
                </c:pt>
                <c:pt idx="22">
                  <c:v>13099.469637429793</c:v>
                </c:pt>
                <c:pt idx="23">
                  <c:v>13932.27151945693</c:v>
                </c:pt>
                <c:pt idx="24">
                  <c:v>14771.88011696301</c:v>
                </c:pt>
                <c:pt idx="25">
                  <c:v>15567.697146185195</c:v>
                </c:pt>
                <c:pt idx="26">
                  <c:v>16327.118012153629</c:v>
                </c:pt>
                <c:pt idx="27">
                  <c:v>17054.188468018838</c:v>
                </c:pt>
                <c:pt idx="28">
                  <c:v>17751.488312019599</c:v>
                </c:pt>
                <c:pt idx="29">
                  <c:v>18420.926443890894</c:v>
                </c:pt>
                <c:pt idx="30">
                  <c:v>19064.078549717968</c:v>
                </c:pt>
                <c:pt idx="31">
                  <c:v>19682.332475234325</c:v>
                </c:pt>
                <c:pt idx="32">
                  <c:v>20276.952593763282</c:v>
                </c:pt>
                <c:pt idx="33">
                  <c:v>20849.109920195719</c:v>
                </c:pt>
                <c:pt idx="34">
                  <c:v>21399.897617714301</c:v>
                </c:pt>
                <c:pt idx="35">
                  <c:v>21930.340162758417</c:v>
                </c:pt>
                <c:pt idx="36">
                  <c:v>22441.399654074754</c:v>
                </c:pt>
                <c:pt idx="37">
                  <c:v>22933.980743798955</c:v>
                </c:pt>
                <c:pt idx="38">
                  <c:v>23408.934824415948</c:v>
                </c:pt>
                <c:pt idx="39">
                  <c:v>23867.063750050322</c:v>
                </c:pt>
                <c:pt idx="40">
                  <c:v>24309.123220398094</c:v>
                </c:pt>
                <c:pt idx="41">
                  <c:v>24735.825891717592</c:v>
                </c:pt>
                <c:pt idx="42">
                  <c:v>25147.844251678602</c:v>
                </c:pt>
                <c:pt idx="43">
                  <c:v>25545.813282540312</c:v>
                </c:pt>
                <c:pt idx="44">
                  <c:v>25930.332931274792</c:v>
                </c:pt>
                <c:pt idx="45">
                  <c:v>26301.970402168419</c:v>
                </c:pt>
                <c:pt idx="46">
                  <c:v>26661.262285559431</c:v>
                </c:pt>
                <c:pt idx="47">
                  <c:v>27008.716535047486</c:v>
                </c:pt>
                <c:pt idx="48">
                  <c:v>27344.814304460615</c:v>
                </c:pt>
                <c:pt idx="49">
                  <c:v>27670.011654966176</c:v>
                </c:pt>
                <c:pt idx="50">
                  <c:v>27984.741141911931</c:v>
                </c:pt>
                <c:pt idx="51">
                  <c:v>28289.413290255634</c:v>
                </c:pt>
                <c:pt idx="52">
                  <c:v>28584.417966774483</c:v>
                </c:pt>
                <c:pt idx="53">
                  <c:v>28870.12565663088</c:v>
                </c:pt>
                <c:pt idx="54">
                  <c:v>29146.888651303601</c:v>
                </c:pt>
                <c:pt idx="55">
                  <c:v>29415.042154369086</c:v>
                </c:pt>
                <c:pt idx="56">
                  <c:v>29674.905311133083</c:v>
                </c:pt>
                <c:pt idx="57">
                  <c:v>29926.782167664613</c:v>
                </c:pt>
                <c:pt idx="58">
                  <c:v>30170.962564370147</c:v>
                </c:pt>
                <c:pt idx="59">
                  <c:v>30407.722968862698</c:v>
                </c:pt>
                <c:pt idx="60">
                  <c:v>30637.327252526262</c:v>
                </c:pt>
                <c:pt idx="61">
                  <c:v>30860.027414848511</c:v>
                </c:pt>
                <c:pt idx="62">
                  <c:v>31076.064259291688</c:v>
                </c:pt>
                <c:pt idx="63">
                  <c:v>31285.668024191429</c:v>
                </c:pt>
                <c:pt idx="64">
                  <c:v>31489.05897191419</c:v>
                </c:pt>
                <c:pt idx="65">
                  <c:v>31686.447939264286</c:v>
                </c:pt>
                <c:pt idx="66">
                  <c:v>31878.036851909899</c:v>
                </c:pt>
                <c:pt idx="67">
                  <c:v>32064.019205392462</c:v>
                </c:pt>
                <c:pt idx="68">
                  <c:v>32244.580515094138</c:v>
                </c:pt>
                <c:pt idx="69">
                  <c:v>32419.898737362822</c:v>
                </c:pt>
                <c:pt idx="70">
                  <c:v>32590.144663831761</c:v>
                </c:pt>
                <c:pt idx="71">
                  <c:v>32755.482290820859</c:v>
                </c:pt>
                <c:pt idx="72">
                  <c:v>32916.069165567962</c:v>
                </c:pt>
                <c:pt idx="73">
                  <c:v>33072.056710909783</c:v>
                </c:pt>
                <c:pt idx="74">
                  <c:v>33223.590529913592</c:v>
                </c:pt>
                <c:pt idx="75">
                  <c:v>33370.81069185058</c:v>
                </c:pt>
                <c:pt idx="76">
                  <c:v>33513.852000800245</c:v>
                </c:pt>
                <c:pt idx="77">
                  <c:v>33652.844248080983</c:v>
                </c:pt>
                <c:pt idx="78">
                  <c:v>33787.912449614916</c:v>
                </c:pt>
                <c:pt idx="79">
                  <c:v>33919.177069254554</c:v>
                </c:pt>
                <c:pt idx="80">
                  <c:v>34046.754229024082</c:v>
                </c:pt>
                <c:pt idx="81">
                  <c:v>34170.755907159095</c:v>
                </c:pt>
                <c:pt idx="82">
                  <c:v>34291.290124764862</c:v>
                </c:pt>
                <c:pt idx="83">
                  <c:v>34408.461121853841</c:v>
                </c:pt>
                <c:pt idx="84">
                  <c:v>34522.369523468456</c:v>
                </c:pt>
                <c:pt idx="85">
                  <c:v>34633.112496544665</c:v>
                </c:pt>
                <c:pt idx="86">
                  <c:v>34740.783898124522</c:v>
                </c:pt>
                <c:pt idx="87">
                  <c:v>34845.474415482953</c:v>
                </c:pt>
                <c:pt idx="88">
                  <c:v>34947.271698693301</c:v>
                </c:pt>
                <c:pt idx="89">
                  <c:v>35046.260486119223</c:v>
                </c:pt>
                <c:pt idx="90">
                  <c:v>35142.522723285874</c:v>
                </c:pt>
              </c:numCache>
            </c:numRef>
          </c:yVal>
          <c:smooth val="1"/>
        </c:ser>
        <c:axId val="104428288"/>
        <c:axId val="104429824"/>
      </c:scatterChart>
      <c:valAx>
        <c:axId val="104428288"/>
        <c:scaling>
          <c:orientation val="minMax"/>
          <c:max val="2100"/>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429824"/>
        <c:crosses val="autoZero"/>
        <c:crossBetween val="midCat"/>
      </c:valAx>
      <c:valAx>
        <c:axId val="104429824"/>
        <c:scaling>
          <c:orientation val="minMax"/>
        </c:scaling>
        <c:axPos val="l"/>
        <c:majorGridlines>
          <c:spPr>
            <a:ln w="3175">
              <a:solidFill>
                <a:schemeClr val="bg1">
                  <a:lumMod val="85000"/>
                </a:schemeClr>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Cummulaive Radiative Forcing &amp; NPV (Arbitary Units)</a:t>
                </a:r>
              </a:p>
            </c:rich>
          </c:tx>
          <c:layout>
            <c:manualLayout>
              <c:xMode val="edge"/>
              <c:yMode val="edge"/>
              <c:x val="1.8337410493591215E-2"/>
              <c:y val="0.17864975211431924"/>
            </c:manualLayout>
          </c:layout>
          <c:spPr>
            <a:noFill/>
            <a:ln w="25400">
              <a:noFill/>
            </a:ln>
          </c:spPr>
        </c:title>
        <c:numFmt formatCode="0.0E+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04428288"/>
        <c:crosses val="autoZero"/>
        <c:crossBetween val="midCat"/>
      </c:valAx>
      <c:spPr>
        <a:solidFill>
          <a:schemeClr val="bg1"/>
        </a:solidFill>
        <a:ln w="12700">
          <a:noFill/>
          <a:prstDash val="solid"/>
        </a:ln>
      </c:spPr>
    </c:plotArea>
    <c:legend>
      <c:legendPos val="r"/>
      <c:layout>
        <c:manualLayout>
          <c:xMode val="edge"/>
          <c:yMode val="edge"/>
          <c:x val="0.15412621359223344"/>
          <c:y val="0.18803458040068374"/>
          <c:w val="0.22208737864077668"/>
          <c:h val="0.18376106720975888"/>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chemeClr val="bg1"/>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000000000000344" r="0.750000000000003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1993253135271342"/>
          <c:y val="4.7243570862869066E-2"/>
          <c:w val="0.85473043471088994"/>
          <c:h val="0.78649832112631757"/>
        </c:manualLayout>
      </c:layout>
      <c:scatterChart>
        <c:scatterStyle val="smoothMarker"/>
        <c:ser>
          <c:idx val="2"/>
          <c:order val="0"/>
          <c:tx>
            <c:strRef>
              <c:f>'Figure 2'!$C$3</c:f>
              <c:strCache>
                <c:ptCount val="1"/>
                <c:pt idx="0">
                  <c:v>Gasoline (baseline)</c:v>
                </c:pt>
              </c:strCache>
            </c:strRef>
          </c:tx>
          <c:spPr>
            <a:ln w="38100">
              <a:solidFill>
                <a:srgbClr val="FFFF00"/>
              </a:solidFill>
              <a:prstDash val="solid"/>
            </a:ln>
          </c:spPr>
          <c:marker>
            <c:symbol val="none"/>
          </c:marker>
          <c:xVal>
            <c:numRef>
              <c:f>'Figure 2'!$B$4:$B$104</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'Figure 2'!$C$4:$C$104</c:f>
              <c:numCache>
                <c:formatCode>0</c:formatCode>
                <c:ptCount val="101"/>
                <c:pt idx="0">
                  <c:v>94</c:v>
                </c:pt>
                <c:pt idx="1">
                  <c:v>94</c:v>
                </c:pt>
                <c:pt idx="2">
                  <c:v>94</c:v>
                </c:pt>
                <c:pt idx="3">
                  <c:v>94</c:v>
                </c:pt>
                <c:pt idx="4">
                  <c:v>94</c:v>
                </c:pt>
                <c:pt idx="5">
                  <c:v>94</c:v>
                </c:pt>
                <c:pt idx="6">
                  <c:v>94</c:v>
                </c:pt>
                <c:pt idx="7">
                  <c:v>94</c:v>
                </c:pt>
                <c:pt idx="8">
                  <c:v>94</c:v>
                </c:pt>
                <c:pt idx="9">
                  <c:v>94</c:v>
                </c:pt>
                <c:pt idx="10">
                  <c:v>94</c:v>
                </c:pt>
                <c:pt idx="11">
                  <c:v>94</c:v>
                </c:pt>
                <c:pt idx="12">
                  <c:v>94</c:v>
                </c:pt>
                <c:pt idx="13">
                  <c:v>94</c:v>
                </c:pt>
                <c:pt idx="14">
                  <c:v>94</c:v>
                </c:pt>
                <c:pt idx="15">
                  <c:v>94</c:v>
                </c:pt>
                <c:pt idx="16">
                  <c:v>94</c:v>
                </c:pt>
                <c:pt idx="17">
                  <c:v>94</c:v>
                </c:pt>
                <c:pt idx="18">
                  <c:v>94</c:v>
                </c:pt>
                <c:pt idx="19">
                  <c:v>94</c:v>
                </c:pt>
                <c:pt idx="20">
                  <c:v>94</c:v>
                </c:pt>
                <c:pt idx="21">
                  <c:v>94</c:v>
                </c:pt>
                <c:pt idx="22">
                  <c:v>94</c:v>
                </c:pt>
                <c:pt idx="23">
                  <c:v>94</c:v>
                </c:pt>
                <c:pt idx="24">
                  <c:v>94</c:v>
                </c:pt>
                <c:pt idx="25">
                  <c:v>94</c:v>
                </c:pt>
                <c:pt idx="26">
                  <c:v>94</c:v>
                </c:pt>
                <c:pt idx="27">
                  <c:v>94</c:v>
                </c:pt>
                <c:pt idx="28">
                  <c:v>94</c:v>
                </c:pt>
                <c:pt idx="29">
                  <c:v>94</c:v>
                </c:pt>
                <c:pt idx="30">
                  <c:v>94</c:v>
                </c:pt>
                <c:pt idx="31">
                  <c:v>94</c:v>
                </c:pt>
                <c:pt idx="32">
                  <c:v>94</c:v>
                </c:pt>
                <c:pt idx="33">
                  <c:v>94</c:v>
                </c:pt>
                <c:pt idx="34">
                  <c:v>94</c:v>
                </c:pt>
                <c:pt idx="35">
                  <c:v>94</c:v>
                </c:pt>
                <c:pt idx="36">
                  <c:v>94</c:v>
                </c:pt>
                <c:pt idx="37">
                  <c:v>94</c:v>
                </c:pt>
                <c:pt idx="38">
                  <c:v>94</c:v>
                </c:pt>
                <c:pt idx="39">
                  <c:v>94</c:v>
                </c:pt>
                <c:pt idx="40">
                  <c:v>94</c:v>
                </c:pt>
                <c:pt idx="41">
                  <c:v>94</c:v>
                </c:pt>
                <c:pt idx="42">
                  <c:v>94</c:v>
                </c:pt>
                <c:pt idx="43">
                  <c:v>94</c:v>
                </c:pt>
                <c:pt idx="44">
                  <c:v>94</c:v>
                </c:pt>
                <c:pt idx="45">
                  <c:v>94</c:v>
                </c:pt>
                <c:pt idx="46">
                  <c:v>94</c:v>
                </c:pt>
                <c:pt idx="47">
                  <c:v>94</c:v>
                </c:pt>
                <c:pt idx="48">
                  <c:v>94</c:v>
                </c:pt>
                <c:pt idx="49">
                  <c:v>94</c:v>
                </c:pt>
                <c:pt idx="50">
                  <c:v>94</c:v>
                </c:pt>
                <c:pt idx="51">
                  <c:v>94</c:v>
                </c:pt>
                <c:pt idx="52">
                  <c:v>94</c:v>
                </c:pt>
                <c:pt idx="53">
                  <c:v>94</c:v>
                </c:pt>
                <c:pt idx="54">
                  <c:v>94</c:v>
                </c:pt>
                <c:pt idx="55">
                  <c:v>94</c:v>
                </c:pt>
                <c:pt idx="56">
                  <c:v>94</c:v>
                </c:pt>
                <c:pt idx="57">
                  <c:v>94</c:v>
                </c:pt>
                <c:pt idx="58">
                  <c:v>94</c:v>
                </c:pt>
                <c:pt idx="59">
                  <c:v>94</c:v>
                </c:pt>
                <c:pt idx="60">
                  <c:v>94</c:v>
                </c:pt>
                <c:pt idx="61">
                  <c:v>94</c:v>
                </c:pt>
                <c:pt idx="62">
                  <c:v>94</c:v>
                </c:pt>
                <c:pt idx="63">
                  <c:v>94</c:v>
                </c:pt>
                <c:pt idx="64">
                  <c:v>94</c:v>
                </c:pt>
                <c:pt idx="65">
                  <c:v>94</c:v>
                </c:pt>
                <c:pt idx="66">
                  <c:v>94</c:v>
                </c:pt>
                <c:pt idx="67">
                  <c:v>94</c:v>
                </c:pt>
                <c:pt idx="68">
                  <c:v>94</c:v>
                </c:pt>
                <c:pt idx="69">
                  <c:v>94</c:v>
                </c:pt>
                <c:pt idx="70">
                  <c:v>94</c:v>
                </c:pt>
                <c:pt idx="71">
                  <c:v>94</c:v>
                </c:pt>
                <c:pt idx="72">
                  <c:v>94</c:v>
                </c:pt>
                <c:pt idx="73">
                  <c:v>94</c:v>
                </c:pt>
                <c:pt idx="74">
                  <c:v>94</c:v>
                </c:pt>
                <c:pt idx="75">
                  <c:v>94</c:v>
                </c:pt>
                <c:pt idx="76">
                  <c:v>94</c:v>
                </c:pt>
                <c:pt idx="77">
                  <c:v>94</c:v>
                </c:pt>
                <c:pt idx="78">
                  <c:v>94</c:v>
                </c:pt>
                <c:pt idx="79">
                  <c:v>94</c:v>
                </c:pt>
                <c:pt idx="80">
                  <c:v>94</c:v>
                </c:pt>
                <c:pt idx="81">
                  <c:v>94</c:v>
                </c:pt>
                <c:pt idx="82">
                  <c:v>94</c:v>
                </c:pt>
                <c:pt idx="83">
                  <c:v>94</c:v>
                </c:pt>
                <c:pt idx="84">
                  <c:v>94</c:v>
                </c:pt>
                <c:pt idx="85">
                  <c:v>94</c:v>
                </c:pt>
                <c:pt idx="86">
                  <c:v>94</c:v>
                </c:pt>
                <c:pt idx="87">
                  <c:v>94</c:v>
                </c:pt>
                <c:pt idx="88">
                  <c:v>94</c:v>
                </c:pt>
                <c:pt idx="89">
                  <c:v>94</c:v>
                </c:pt>
                <c:pt idx="90">
                  <c:v>94</c:v>
                </c:pt>
                <c:pt idx="91">
                  <c:v>94</c:v>
                </c:pt>
                <c:pt idx="92">
                  <c:v>94</c:v>
                </c:pt>
                <c:pt idx="93">
                  <c:v>94</c:v>
                </c:pt>
                <c:pt idx="94">
                  <c:v>94</c:v>
                </c:pt>
                <c:pt idx="95">
                  <c:v>94</c:v>
                </c:pt>
                <c:pt idx="96">
                  <c:v>94</c:v>
                </c:pt>
                <c:pt idx="97">
                  <c:v>94</c:v>
                </c:pt>
                <c:pt idx="98">
                  <c:v>94</c:v>
                </c:pt>
                <c:pt idx="99">
                  <c:v>94</c:v>
                </c:pt>
                <c:pt idx="100">
                  <c:v>94</c:v>
                </c:pt>
              </c:numCache>
            </c:numRef>
          </c:yVal>
          <c:smooth val="1"/>
        </c:ser>
        <c:ser>
          <c:idx val="3"/>
          <c:order val="1"/>
          <c:tx>
            <c:strRef>
              <c:f>'Figure 2'!$G$3</c:f>
              <c:strCache>
                <c:ptCount val="1"/>
                <c:pt idx="0">
                  <c:v>Ethanol FWIp</c:v>
                </c:pt>
              </c:strCache>
            </c:strRef>
          </c:tx>
          <c:spPr>
            <a:ln w="38100">
              <a:solidFill>
                <a:srgbClr val="00FFFF"/>
              </a:solidFill>
              <a:prstDash val="solid"/>
            </a:ln>
          </c:spPr>
          <c:marker>
            <c:symbol val="none"/>
          </c:marker>
          <c:xVal>
            <c:numRef>
              <c:f>'Figure 2'!$B$4:$B$104</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'Figure 2'!$G$4:$G$104</c:f>
              <c:numCache>
                <c:formatCode>0</c:formatCode>
                <c:ptCount val="101"/>
                <c:pt idx="0">
                  <c:v>546.14623628550646</c:v>
                </c:pt>
                <c:pt idx="1">
                  <c:v>397.86451465410505</c:v>
                </c:pt>
                <c:pt idx="2">
                  <c:v>325.75762026693536</c:v>
                </c:pt>
                <c:pt idx="3">
                  <c:v>283.36190271635684</c:v>
                </c:pt>
                <c:pt idx="4">
                  <c:v>255.47986248987581</c:v>
                </c:pt>
                <c:pt idx="5">
                  <c:v>232.85657154496315</c:v>
                </c:pt>
                <c:pt idx="6">
                  <c:v>214.69197661341676</c:v>
                </c:pt>
                <c:pt idx="7">
                  <c:v>199.94201263952561</c:v>
                </c:pt>
                <c:pt idx="8">
                  <c:v>187.77853976255639</c:v>
                </c:pt>
                <c:pt idx="9">
                  <c:v>177.59597666855694</c:v>
                </c:pt>
                <c:pt idx="10">
                  <c:v>168.95567844121365</c:v>
                </c:pt>
                <c:pt idx="11">
                  <c:v>161.53652437225091</c:v>
                </c:pt>
                <c:pt idx="12">
                  <c:v>155.09953242152832</c:v>
                </c:pt>
                <c:pt idx="13">
                  <c:v>149.4637268379249</c:v>
                </c:pt>
                <c:pt idx="14">
                  <c:v>144.48976042617269</c:v>
                </c:pt>
                <c:pt idx="15">
                  <c:v>140.06868468959564</c:v>
                </c:pt>
                <c:pt idx="16">
                  <c:v>136.11412835834787</c:v>
                </c:pt>
                <c:pt idx="17">
                  <c:v>132.55675594475315</c:v>
                </c:pt>
                <c:pt idx="18">
                  <c:v>129.34027486018707</c:v>
                </c:pt>
                <c:pt idx="19">
                  <c:v>126.41851198017784</c:v>
                </c:pt>
                <c:pt idx="20">
                  <c:v>123.75324116848822</c:v>
                </c:pt>
                <c:pt idx="21">
                  <c:v>121.31254658205151</c:v>
                </c:pt>
                <c:pt idx="22">
                  <c:v>119.06957398877073</c:v>
                </c:pt>
                <c:pt idx="23">
                  <c:v>117.00156701410477</c:v>
                </c:pt>
                <c:pt idx="24">
                  <c:v>115.08911532701291</c:v>
                </c:pt>
                <c:pt idx="25">
                  <c:v>113.44693238880278</c:v>
                </c:pt>
                <c:pt idx="26">
                  <c:v>112.0039655926354</c:v>
                </c:pt>
                <c:pt idx="27">
                  <c:v>110.723498558109</c:v>
                </c:pt>
                <c:pt idx="28">
                  <c:v>109.57086981767168</c:v>
                </c:pt>
                <c:pt idx="29">
                  <c:v>108.52121503203261</c:v>
                </c:pt>
                <c:pt idx="30">
                  <c:v>107.5565999171444</c:v>
                </c:pt>
                <c:pt idx="31">
                  <c:v>106.66338993692328</c:v>
                </c:pt>
                <c:pt idx="32">
                  <c:v>105.8308576708269</c:v>
                </c:pt>
                <c:pt idx="33">
                  <c:v>105.05036861710248</c:v>
                </c:pt>
                <c:pt idx="34">
                  <c:v>104.31486118036733</c:v>
                </c:pt>
                <c:pt idx="35">
                  <c:v>103.61849064234167</c:v>
                </c:pt>
                <c:pt idx="36">
                  <c:v>102.95637286929335</c:v>
                </c:pt>
                <c:pt idx="37">
                  <c:v>102.32439328125065</c:v>
                </c:pt>
                <c:pt idx="38">
                  <c:v>101.71906096411772</c:v>
                </c:pt>
                <c:pt idx="39">
                  <c:v>101.13739527860132</c:v>
                </c:pt>
                <c:pt idx="40">
                  <c:v>100.57683653191594</c:v>
                </c:pt>
                <c:pt idx="41">
                  <c:v>100.03517483397329</c:v>
                </c:pt>
                <c:pt idx="42">
                  <c:v>99.510492908723691</c:v>
                </c:pt>
                <c:pt idx="43">
                  <c:v>99.001119746776013</c:v>
                </c:pt>
                <c:pt idx="44">
                  <c:v>98.505592766797875</c:v>
                </c:pt>
                <c:pt idx="45">
                  <c:v>98.022626714709574</c:v>
                </c:pt>
                <c:pt idx="46">
                  <c:v>97.551087940966681</c:v>
                </c:pt>
                <c:pt idx="47">
                  <c:v>97.089973001961184</c:v>
                </c:pt>
                <c:pt idx="48">
                  <c:v>96.63839076159465</c:v>
                </c:pt>
                <c:pt idx="49">
                  <c:v>96.195547343910306</c:v>
                </c:pt>
                <c:pt idx="50">
                  <c:v>95.76073342175448</c:v>
                </c:pt>
                <c:pt idx="51">
                  <c:v>95.333313430103956</c:v>
                </c:pt>
                <c:pt idx="52">
                  <c:v>94.91271637344343</c:v>
                </c:pt>
                <c:pt idx="53">
                  <c:v>94.498427959910174</c:v>
                </c:pt>
                <c:pt idx="54">
                  <c:v>94.089983844921392</c:v>
                </c:pt>
                <c:pt idx="55">
                  <c:v>93.703313609419268</c:v>
                </c:pt>
                <c:pt idx="56">
                  <c:v>93.336809003418281</c:v>
                </c:pt>
                <c:pt idx="57">
                  <c:v>92.989008387050987</c:v>
                </c:pt>
                <c:pt idx="58">
                  <c:v>92.658580873087317</c:v>
                </c:pt>
                <c:pt idx="59">
                  <c:v>92.34431246243409</c:v>
                </c:pt>
                <c:pt idx="60">
                  <c:v>92.045093886918337</c:v>
                </c:pt>
                <c:pt idx="61">
                  <c:v>91.759909919554104</c:v>
                </c:pt>
                <c:pt idx="62">
                  <c:v>91.487829950250088</c:v>
                </c:pt>
                <c:pt idx="63">
                  <c:v>91.227999656110597</c:v>
                </c:pt>
                <c:pt idx="64">
                  <c:v>90.979633621356257</c:v>
                </c:pt>
                <c:pt idx="65">
                  <c:v>90.742008783435196</c:v>
                </c:pt>
                <c:pt idx="66">
                  <c:v>90.514458599900749</c:v>
                </c:pt>
                <c:pt idx="67">
                  <c:v>90.296367845731837</c:v>
                </c:pt>
                <c:pt idx="68">
                  <c:v>90.087167963479473</c:v>
                </c:pt>
                <c:pt idx="69">
                  <c:v>89.886332899352666</c:v>
                </c:pt>
                <c:pt idx="70">
                  <c:v>89.693375367442911</c:v>
                </c:pt>
                <c:pt idx="71">
                  <c:v>89.507843492008149</c:v>
                </c:pt>
                <c:pt idx="72">
                  <c:v>89.329317784313091</c:v>
                </c:pt>
                <c:pt idx="73">
                  <c:v>89.157408416144989</c:v>
                </c:pt>
                <c:pt idx="74">
                  <c:v>88.991752756938638</c:v>
                </c:pt>
                <c:pt idx="75">
                  <c:v>88.832013145581996</c:v>
                </c:pt>
                <c:pt idx="76">
                  <c:v>88.677874871537185</c:v>
                </c:pt>
                <c:pt idx="77">
                  <c:v>88.52904434298749</c:v>
                </c:pt>
                <c:pt idx="78">
                  <c:v>88.38524742238468</c:v>
                </c:pt>
                <c:pt idx="79">
                  <c:v>88.24622791208013</c:v>
                </c:pt>
                <c:pt idx="80">
                  <c:v>88.111746174732062</c:v>
                </c:pt>
                <c:pt idx="81">
                  <c:v>87.981577874930423</c:v>
                </c:pt>
                <c:pt idx="82">
                  <c:v>87.855512830010269</c:v>
                </c:pt>
                <c:pt idx="83">
                  <c:v>87.733353959360244</c:v>
                </c:pt>
                <c:pt idx="84">
                  <c:v>87.614916322705611</c:v>
                </c:pt>
                <c:pt idx="85">
                  <c:v>87.500026238874923</c:v>
                </c:pt>
                <c:pt idx="86">
                  <c:v>87.388520477465306</c:v>
                </c:pt>
                <c:pt idx="87">
                  <c:v>87.280245516620596</c:v>
                </c:pt>
                <c:pt idx="88">
                  <c:v>87.175056860842048</c:v>
                </c:pt>
                <c:pt idx="89">
                  <c:v>87.072818413375515</c:v>
                </c:pt>
                <c:pt idx="90">
                  <c:v>86.973401898272598</c:v>
                </c:pt>
                <c:pt idx="91">
                  <c:v>86.876686327713927</c:v>
                </c:pt>
                <c:pt idx="92">
                  <c:v>86.782557510619881</c:v>
                </c:pt>
                <c:pt idx="93">
                  <c:v>86.690907598962411</c:v>
                </c:pt>
                <c:pt idx="94">
                  <c:v>86.601634668538395</c:v>
                </c:pt>
                <c:pt idx="95">
                  <c:v>86.514642331274942</c:v>
                </c:pt>
                <c:pt idx="96">
                  <c:v>86.429839376413184</c:v>
                </c:pt>
                <c:pt idx="97">
                  <c:v>86.347139438165897</c:v>
                </c:pt>
                <c:pt idx="98">
                  <c:v>86.266460687666182</c:v>
                </c:pt>
                <c:pt idx="99">
                  <c:v>86.187725547223835</c:v>
                </c:pt>
                <c:pt idx="100">
                  <c:v>86.110860425086173</c:v>
                </c:pt>
              </c:numCache>
            </c:numRef>
          </c:yVal>
          <c:smooth val="1"/>
        </c:ser>
        <c:ser>
          <c:idx val="4"/>
          <c:order val="2"/>
          <c:tx>
            <c:strRef>
              <c:f>'Figure 2'!$H$3</c:f>
              <c:strCache>
                <c:ptCount val="1"/>
                <c:pt idx="0">
                  <c:v>Ethanol FWIe (3%)</c:v>
                </c:pt>
              </c:strCache>
            </c:strRef>
          </c:tx>
          <c:spPr>
            <a:ln w="38100">
              <a:solidFill>
                <a:srgbClr val="800080"/>
              </a:solidFill>
              <a:prstDash val="solid"/>
            </a:ln>
          </c:spPr>
          <c:marker>
            <c:symbol val="none"/>
          </c:marker>
          <c:xVal>
            <c:numRef>
              <c:f>'Figure 2'!$B$4:$B$104</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'Figure 2'!$H$4:$H$104</c:f>
              <c:numCache>
                <c:formatCode>0</c:formatCode>
                <c:ptCount val="101"/>
                <c:pt idx="0">
                  <c:v>546.14623628550646</c:v>
                </c:pt>
                <c:pt idx="1">
                  <c:v>399.39594222417082</c:v>
                </c:pt>
                <c:pt idx="2">
                  <c:v>328.05240520098306</c:v>
                </c:pt>
                <c:pt idx="3">
                  <c:v>286.11319514591395</c:v>
                </c:pt>
                <c:pt idx="4">
                  <c:v>258.53724823528898</c:v>
                </c:pt>
                <c:pt idx="5">
                  <c:v>236.28410228734683</c:v>
                </c:pt>
                <c:pt idx="6">
                  <c:v>218.46942657510962</c:v>
                </c:pt>
                <c:pt idx="7">
                  <c:v>204.03294025962353</c:v>
                </c:pt>
                <c:pt idx="8">
                  <c:v>192.14747865550709</c:v>
                </c:pt>
                <c:pt idx="9">
                  <c:v>182.21225656785583</c:v>
                </c:pt>
                <c:pt idx="10">
                  <c:v>173.79362217006732</c:v>
                </c:pt>
                <c:pt idx="11">
                  <c:v>166.57476147797021</c:v>
                </c:pt>
                <c:pt idx="12">
                  <c:v>160.32021097924357</c:v>
                </c:pt>
                <c:pt idx="13">
                  <c:v>154.85182665034384</c:v>
                </c:pt>
                <c:pt idx="14">
                  <c:v>150.03253949908111</c:v>
                </c:pt>
                <c:pt idx="15">
                  <c:v>145.75524410898839</c:v>
                </c:pt>
                <c:pt idx="16">
                  <c:v>141.93507198665282</c:v>
                </c:pt>
                <c:pt idx="17">
                  <c:v>138.50392341992551</c:v>
                </c:pt>
                <c:pt idx="18">
                  <c:v>135.40653069069609</c:v>
                </c:pt>
                <c:pt idx="19">
                  <c:v>132.59757759205812</c:v>
                </c:pt>
                <c:pt idx="20">
                  <c:v>130.03956001735708</c:v>
                </c:pt>
                <c:pt idx="21">
                  <c:v>127.701174909424</c:v>
                </c:pt>
                <c:pt idx="22">
                  <c:v>125.55609163179653</c:v>
                </c:pt>
                <c:pt idx="23">
                  <c:v>123.5820040283909</c:v>
                </c:pt>
                <c:pt idx="24">
                  <c:v>121.75989118116358</c:v>
                </c:pt>
                <c:pt idx="25">
                  <c:v>120.19323220894445</c:v>
                </c:pt>
                <c:pt idx="26">
                  <c:v>118.81870641631717</c:v>
                </c:pt>
                <c:pt idx="27">
                  <c:v>117.60174447577575</c:v>
                </c:pt>
                <c:pt idx="28">
                  <c:v>116.5111891339586</c:v>
                </c:pt>
                <c:pt idx="29">
                  <c:v>115.52435980658935</c:v>
                </c:pt>
                <c:pt idx="30">
                  <c:v>114.62453044119816</c:v>
                </c:pt>
                <c:pt idx="31">
                  <c:v>113.79876902611286</c:v>
                </c:pt>
                <c:pt idx="32">
                  <c:v>113.03677023265014</c:v>
                </c:pt>
                <c:pt idx="33">
                  <c:v>112.33015619640224</c:v>
                </c:pt>
                <c:pt idx="34">
                  <c:v>111.67201912875846</c:v>
                </c:pt>
                <c:pt idx="35">
                  <c:v>111.05660159192648</c:v>
                </c:pt>
                <c:pt idx="36">
                  <c:v>110.47906243964246</c:v>
                </c:pt>
                <c:pt idx="37">
                  <c:v>109.93530002305843</c:v>
                </c:pt>
                <c:pt idx="38">
                  <c:v>109.4218157344403</c:v>
                </c:pt>
                <c:pt idx="39">
                  <c:v>108.93560702128178</c:v>
                </c:pt>
                <c:pt idx="40">
                  <c:v>108.47408248478618</c:v>
                </c:pt>
                <c:pt idx="41">
                  <c:v>108.03499383255117</c:v>
                </c:pt>
                <c:pt idx="42">
                  <c:v>107.61638087314809</c:v>
                </c:pt>
                <c:pt idx="43">
                  <c:v>107.21652671546141</c:v>
                </c:pt>
                <c:pt idx="44">
                  <c:v>106.833921028284</c:v>
                </c:pt>
                <c:pt idx="45">
                  <c:v>106.46722971915631</c:v>
                </c:pt>
                <c:pt idx="46">
                  <c:v>106.11526976380438</c:v>
                </c:pt>
                <c:pt idx="47">
                  <c:v>105.77698819664423</c:v>
                </c:pt>
                <c:pt idx="48">
                  <c:v>105.45144448435974</c:v>
                </c:pt>
                <c:pt idx="49">
                  <c:v>105.13779566640311</c:v>
                </c:pt>
                <c:pt idx="50">
                  <c:v>104.83528377113826</c:v>
                </c:pt>
                <c:pt idx="51">
                  <c:v>104.54322511342961</c:v>
                </c:pt>
                <c:pt idx="52">
                  <c:v>104.26100115549175</c:v>
                </c:pt>
                <c:pt idx="53">
                  <c:v>103.98805067272895</c:v>
                </c:pt>
                <c:pt idx="54">
                  <c:v>103.72386301380917</c:v>
                </c:pt>
                <c:pt idx="55">
                  <c:v>103.47526878381663</c:v>
                </c:pt>
                <c:pt idx="56">
                  <c:v>103.24108819729987</c:v>
                </c:pt>
                <c:pt idx="57">
                  <c:v>103.02025083117697</c:v>
                </c:pt>
                <c:pt idx="58">
                  <c:v>102.81178371658497</c:v>
                </c:pt>
                <c:pt idx="59">
                  <c:v>102.61480091846407</c:v>
                </c:pt>
                <c:pt idx="60">
                  <c:v>102.42849439254751</c:v>
                </c:pt>
                <c:pt idx="61">
                  <c:v>102.2521259426678</c:v>
                </c:pt>
                <c:pt idx="62">
                  <c:v>102.08502012872998</c:v>
                </c:pt>
                <c:pt idx="63">
                  <c:v>101.92655799844768</c:v>
                </c:pt>
                <c:pt idx="64">
                  <c:v>101.77617153486378</c:v>
                </c:pt>
                <c:pt idx="65">
                  <c:v>101.63333872748619</c:v>
                </c:pt>
                <c:pt idx="66">
                  <c:v>101.49757918811959</c:v>
                </c:pt>
                <c:pt idx="67">
                  <c:v>101.36845024362023</c:v>
                </c:pt>
                <c:pt idx="68">
                  <c:v>101.24554344720787</c:v>
                </c:pt>
                <c:pt idx="69">
                  <c:v>101.12848145793133</c:v>
                </c:pt>
                <c:pt idx="70">
                  <c:v>101.0169152446492</c:v>
                </c:pt>
                <c:pt idx="71">
                  <c:v>100.91052157664623</c:v>
                </c:pt>
                <c:pt idx="72">
                  <c:v>100.80900076792751</c:v>
                </c:pt>
                <c:pt idx="73">
                  <c:v>100.71207464644708</c:v>
                </c:pt>
                <c:pt idx="74">
                  <c:v>100.61948472314727</c:v>
                </c:pt>
                <c:pt idx="75">
                  <c:v>100.53099053880176</c:v>
                </c:pt>
                <c:pt idx="76">
                  <c:v>100.44636816934495</c:v>
                </c:pt>
                <c:pt idx="77">
                  <c:v>100.36540887269888</c:v>
                </c:pt>
                <c:pt idx="78">
                  <c:v>100.28791786212548</c:v>
                </c:pt>
                <c:pt idx="79">
                  <c:v>100.21371319288779</c:v>
                </c:pt>
                <c:pt idx="80">
                  <c:v>100.14262475053052</c:v>
                </c:pt>
                <c:pt idx="81">
                  <c:v>100.07449333042416</c:v>
                </c:pt>
                <c:pt idx="82">
                  <c:v>100.00916979938296</c:v>
                </c:pt>
                <c:pt idx="83">
                  <c:v>99.946514331188823</c:v>
                </c:pt>
                <c:pt idx="84">
                  <c:v>99.886395708750257</c:v>
                </c:pt>
                <c:pt idx="85">
                  <c:v>99.828690686413978</c:v>
                </c:pt>
                <c:pt idx="86">
                  <c:v>99.773283406642364</c:v>
                </c:pt>
                <c:pt idx="87">
                  <c:v>99.720064865882605</c:v>
                </c:pt>
                <c:pt idx="88">
                  <c:v>99.668932424995575</c:v>
                </c:pt>
                <c:pt idx="89">
                  <c:v>99.619789360092668</c:v>
                </c:pt>
                <c:pt idx="90">
                  <c:v>99.572544450053826</c:v>
                </c:pt>
                <c:pt idx="91">
                  <c:v>99.527111597378266</c:v>
                </c:pt>
                <c:pt idx="92">
                  <c:v>99.483409479354933</c:v>
                </c:pt>
                <c:pt idx="93">
                  <c:v>99.441361226839192</c:v>
                </c:pt>
                <c:pt idx="94">
                  <c:v>99.400894128188824</c:v>
                </c:pt>
                <c:pt idx="95">
                  <c:v>99.361939356150657</c:v>
                </c:pt>
                <c:pt idx="96">
                  <c:v>99.324431715701976</c:v>
                </c:pt>
                <c:pt idx="97">
                  <c:v>99.288309411041269</c:v>
                </c:pt>
                <c:pt idx="98">
                  <c:v>99.253513830094121</c:v>
                </c:pt>
                <c:pt idx="99">
                  <c:v>99.21998934505244</c:v>
                </c:pt>
                <c:pt idx="100">
                  <c:v>99.187683127603492</c:v>
                </c:pt>
              </c:numCache>
            </c:numRef>
          </c:yVal>
          <c:smooth val="1"/>
        </c:ser>
        <c:ser>
          <c:idx val="5"/>
          <c:order val="3"/>
          <c:tx>
            <c:strRef>
              <c:f>'Figure 2'!$I$3</c:f>
              <c:strCache>
                <c:ptCount val="1"/>
                <c:pt idx="0">
                  <c:v>Ethanol FWIe (7%)</c:v>
                </c:pt>
              </c:strCache>
            </c:strRef>
          </c:tx>
          <c:spPr>
            <a:ln w="38100">
              <a:solidFill>
                <a:srgbClr val="800000"/>
              </a:solidFill>
              <a:prstDash val="solid"/>
            </a:ln>
          </c:spPr>
          <c:marker>
            <c:symbol val="none"/>
          </c:marker>
          <c:xVal>
            <c:numRef>
              <c:f>'Figure 2'!$B$4:$B$104</c:f>
              <c:numCache>
                <c:formatCode>0</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'Figure 2'!$I$4:$I$104</c:f>
              <c:numCache>
                <c:formatCode>0</c:formatCode>
                <c:ptCount val="101"/>
                <c:pt idx="0">
                  <c:v>546.14623628550646</c:v>
                </c:pt>
                <c:pt idx="1">
                  <c:v>401.38930772613452</c:v>
                </c:pt>
                <c:pt idx="2">
                  <c:v>331.0719869611421</c:v>
                </c:pt>
                <c:pt idx="3">
                  <c:v>289.77301235319106</c:v>
                </c:pt>
                <c:pt idx="4">
                  <c:v>262.64838269088199</c:v>
                </c:pt>
                <c:pt idx="5">
                  <c:v>240.92878639415034</c:v>
                </c:pt>
                <c:pt idx="6">
                  <c:v>223.62711913650719</c:v>
                </c:pt>
                <c:pt idx="7">
                  <c:v>209.66275588678073</c:v>
                </c:pt>
                <c:pt idx="8">
                  <c:v>198.20914504590036</c:v>
                </c:pt>
                <c:pt idx="9">
                  <c:v>188.67087321164234</c:v>
                </c:pt>
                <c:pt idx="10">
                  <c:v>180.61999965283155</c:v>
                </c:pt>
                <c:pt idx="11">
                  <c:v>173.74466275388863</c:v>
                </c:pt>
                <c:pt idx="12">
                  <c:v>167.81344794868699</c:v>
                </c:pt>
                <c:pt idx="13">
                  <c:v>162.65146441051286</c:v>
                </c:pt>
                <c:pt idx="14">
                  <c:v>158.12425155459357</c:v>
                </c:pt>
                <c:pt idx="15">
                  <c:v>154.12680380117749</c:v>
                </c:pt>
                <c:pt idx="16">
                  <c:v>150.57595381004063</c:v>
                </c:pt>
                <c:pt idx="17">
                  <c:v>147.4049896744832</c:v>
                </c:pt>
                <c:pt idx="18">
                  <c:v>144.55978365193499</c:v>
                </c:pt>
                <c:pt idx="19">
                  <c:v>141.99596197891728</c:v>
                </c:pt>
                <c:pt idx="20">
                  <c:v>139.67680426715324</c:v>
                </c:pt>
                <c:pt idx="21">
                  <c:v>137.57166261221241</c:v>
                </c:pt>
                <c:pt idx="22">
                  <c:v>135.65475659501092</c:v>
                </c:pt>
                <c:pt idx="23">
                  <c:v>133.90424401131307</c:v>
                </c:pt>
                <c:pt idx="24">
                  <c:v>132.3014965019909</c:v>
                </c:pt>
                <c:pt idx="25">
                  <c:v>130.93092216995416</c:v>
                </c:pt>
                <c:pt idx="26">
                  <c:v>129.73875380136118</c:v>
                </c:pt>
                <c:pt idx="27">
                  <c:v>128.69359988471416</c:v>
                </c:pt>
                <c:pt idx="28">
                  <c:v>127.76852717829148</c:v>
                </c:pt>
                <c:pt idx="29">
                  <c:v>126.9435242140663</c:v>
                </c:pt>
                <c:pt idx="30">
                  <c:v>126.20341119483771</c:v>
                </c:pt>
                <c:pt idx="31">
                  <c:v>125.53619748358435</c:v>
                </c:pt>
                <c:pt idx="32">
                  <c:v>124.93216734122478</c:v>
                </c:pt>
                <c:pt idx="33">
                  <c:v>124.38331370946203</c:v>
                </c:pt>
                <c:pt idx="34">
                  <c:v>123.88295615443111</c:v>
                </c:pt>
                <c:pt idx="35">
                  <c:v>123.42546688824105</c:v>
                </c:pt>
                <c:pt idx="36">
                  <c:v>123.00606616923898</c:v>
                </c:pt>
                <c:pt idx="37">
                  <c:v>122.62066536767819</c:v>
                </c:pt>
                <c:pt idx="38">
                  <c:v>122.2657443608437</c:v>
                </c:pt>
                <c:pt idx="39">
                  <c:v>121.93825445047025</c:v>
                </c:pt>
                <c:pt idx="40">
                  <c:v>121.63554067139248</c:v>
                </c:pt>
                <c:pt idx="41">
                  <c:v>121.35527906515328</c:v>
                </c:pt>
                <c:pt idx="42">
                  <c:v>121.09542564198715</c:v>
                </c:pt>
                <c:pt idx="43">
                  <c:v>120.85417456195646</c:v>
                </c:pt>
                <c:pt idx="44">
                  <c:v>120.62992364920012</c:v>
                </c:pt>
                <c:pt idx="45">
                  <c:v>120.42124578303928</c:v>
                </c:pt>
                <c:pt idx="46">
                  <c:v>120.22686503119083</c:v>
                </c:pt>
                <c:pt idx="47">
                  <c:v>120.04563663370489</c:v>
                </c:pt>
                <c:pt idx="48">
                  <c:v>119.87653013228274</c:v>
                </c:pt>
                <c:pt idx="49">
                  <c:v>119.71861508307491</c:v>
                </c:pt>
                <c:pt idx="50">
                  <c:v>119.57104890252437</c:v>
                </c:pt>
                <c:pt idx="51">
                  <c:v>119.433066483044</c:v>
                </c:pt>
                <c:pt idx="52">
                  <c:v>119.3039712840345</c:v>
                </c:pt>
                <c:pt idx="53">
                  <c:v>119.1831276582149</c:v>
                </c:pt>
                <c:pt idx="54">
                  <c:v>119.06995421666598</c:v>
                </c:pt>
                <c:pt idx="55">
                  <c:v>118.96597027320398</c:v>
                </c:pt>
                <c:pt idx="56">
                  <c:v>118.87036049427458</c:v>
                </c:pt>
                <c:pt idx="57">
                  <c:v>118.78239013073932</c:v>
                </c:pt>
                <c:pt idx="58">
                  <c:v>118.70139605900317</c:v>
                </c:pt>
                <c:pt idx="59">
                  <c:v>118.62677894205606</c:v>
                </c:pt>
                <c:pt idx="60">
                  <c:v>118.5579963539555</c:v>
                </c:pt>
                <c:pt idx="61">
                  <c:v>118.49455673553261</c:v>
                </c:pt>
                <c:pt idx="62">
                  <c:v>118.43601406921809</c:v>
                </c:pt>
                <c:pt idx="63">
                  <c:v>118.38196317763281</c:v>
                </c:pt>
                <c:pt idx="64">
                  <c:v>118.33203556458164</c:v>
                </c:pt>
                <c:pt idx="65">
                  <c:v>118.28589572882724</c:v>
                </c:pt>
                <c:pt idx="66">
                  <c:v>118.2432378908954</c:v>
                </c:pt>
                <c:pt idx="67">
                  <c:v>118.20378308150336</c:v>
                </c:pt>
                <c:pt idx="68">
                  <c:v>118.16727654726159</c:v>
                </c:pt>
                <c:pt idx="69">
                  <c:v>118.13348543529847</c:v>
                </c:pt>
                <c:pt idx="70">
                  <c:v>118.1021967235654</c:v>
                </c:pt>
                <c:pt idx="71">
                  <c:v>118.07321536794315</c:v>
                </c:pt>
                <c:pt idx="72">
                  <c:v>118.04636264100657</c:v>
                </c:pt>
                <c:pt idx="73">
                  <c:v>118.02147464051394</c:v>
                </c:pt>
                <c:pt idx="74">
                  <c:v>117.99840094844552</c:v>
                </c:pt>
                <c:pt idx="75">
                  <c:v>117.97700342379896</c:v>
                </c:pt>
                <c:pt idx="76">
                  <c:v>117.95715511440636</c:v>
                </c:pt>
                <c:pt idx="77">
                  <c:v>117.93873927482049</c:v>
                </c:pt>
                <c:pt idx="78">
                  <c:v>117.92164847886654</c:v>
                </c:pt>
                <c:pt idx="79">
                  <c:v>117.90578381680069</c:v>
                </c:pt>
                <c:pt idx="80">
                  <c:v>117.89105416819</c:v>
                </c:pt>
                <c:pt idx="81">
                  <c:v>117.87737554265233</c:v>
                </c:pt>
                <c:pt idx="82">
                  <c:v>117.86467048149039</c:v>
                </c:pt>
                <c:pt idx="83">
                  <c:v>117.85286751403788</c:v>
                </c:pt>
                <c:pt idx="84">
                  <c:v>117.84190066322424</c:v>
                </c:pt>
                <c:pt idx="85">
                  <c:v>117.83170899546948</c:v>
                </c:pt>
                <c:pt idx="86">
                  <c:v>117.82223621055235</c:v>
                </c:pt>
                <c:pt idx="87">
                  <c:v>117.81343026756491</c:v>
                </c:pt>
                <c:pt idx="88">
                  <c:v>117.80524304348019</c:v>
                </c:pt>
                <c:pt idx="89">
                  <c:v>117.79763002122635</c:v>
                </c:pt>
                <c:pt idx="90">
                  <c:v>117.7905500044842</c:v>
                </c:pt>
                <c:pt idx="91">
                  <c:v>117.78396485671287</c:v>
                </c:pt>
                <c:pt idx="92">
                  <c:v>117.77783926216318</c:v>
                </c:pt>
                <c:pt idx="93">
                  <c:v>117.77214050686446</c:v>
                </c:pt>
                <c:pt idx="94">
                  <c:v>117.76683827777339</c:v>
                </c:pt>
                <c:pt idx="95">
                  <c:v>117.76190447845117</c:v>
                </c:pt>
                <c:pt idx="96">
                  <c:v>117.75731305979778</c:v>
                </c:pt>
                <c:pt idx="97">
                  <c:v>117.75303986451351</c:v>
                </c:pt>
                <c:pt idx="98">
                  <c:v>117.74906248408666</c:v>
                </c:pt>
                <c:pt idx="99">
                  <c:v>117.74536012722049</c:v>
                </c:pt>
                <c:pt idx="100">
                  <c:v>117.7419134987158</c:v>
                </c:pt>
              </c:numCache>
            </c:numRef>
          </c:yVal>
          <c:smooth val="1"/>
        </c:ser>
        <c:axId val="99611776"/>
        <c:axId val="99613696"/>
      </c:scatterChart>
      <c:valAx>
        <c:axId val="99611776"/>
        <c:scaling>
          <c:orientation val="minMax"/>
          <c:max val="100"/>
          <c:min val="0"/>
        </c:scaling>
        <c:axPos val="b"/>
        <c:title>
          <c:tx>
            <c:rich>
              <a:bodyPr/>
              <a:lstStyle/>
              <a:p>
                <a:pPr>
                  <a:defRPr sz="1100" b="1" i="0" u="none" strike="noStrike" baseline="0">
                    <a:solidFill>
                      <a:srgbClr val="000000"/>
                    </a:solidFill>
                    <a:latin typeface="Arial"/>
                    <a:ea typeface="Arial"/>
                    <a:cs typeface="Arial"/>
                  </a:defRPr>
                </a:pPr>
                <a:r>
                  <a:rPr lang="en-US" sz="1100" baseline="0"/>
                  <a:t>Analytic Horizon (years)</a:t>
                </a:r>
              </a:p>
            </c:rich>
          </c:tx>
          <c:layout>
            <c:manualLayout>
              <c:xMode val="edge"/>
              <c:yMode val="edge"/>
              <c:x val="0.41723007585782268"/>
              <c:y val="0.90953656528227955"/>
            </c:manualLayout>
          </c:layout>
          <c:spPr>
            <a:noFill/>
            <a:ln w="25400">
              <a:noFill/>
            </a:ln>
          </c:spPr>
        </c:title>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9613696"/>
        <c:crosses val="autoZero"/>
        <c:crossBetween val="midCat"/>
      </c:valAx>
      <c:valAx>
        <c:axId val="99613696"/>
        <c:scaling>
          <c:orientation val="minMax"/>
          <c:max val="200"/>
        </c:scaling>
        <c:axPos val="l"/>
        <c:majorGridlines>
          <c:spPr>
            <a:ln w="3175">
              <a:solidFill>
                <a:schemeClr val="bg1">
                  <a:lumMod val="85000"/>
                </a:schemeClr>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sz="1100"/>
                  <a:t>Fuel Warming Intensity (g CO</a:t>
                </a:r>
                <a:r>
                  <a:rPr lang="en-US" sz="1100" baseline="-25000"/>
                  <a:t>2</a:t>
                </a:r>
                <a:r>
                  <a:rPr lang="en-US" sz="1100" baseline="0"/>
                  <a:t> </a:t>
                </a:r>
                <a:r>
                  <a:rPr lang="en-US" sz="1100"/>
                  <a:t>MJ</a:t>
                </a:r>
                <a:r>
                  <a:rPr lang="en-US" sz="1100" baseline="30000"/>
                  <a:t>-1</a:t>
                </a:r>
                <a:r>
                  <a:rPr lang="en-US" sz="1100"/>
                  <a:t>)</a:t>
                </a:r>
              </a:p>
            </c:rich>
          </c:tx>
          <c:layout>
            <c:manualLayout>
              <c:xMode val="edge"/>
              <c:yMode val="edge"/>
              <c:x val="1.4275070857407385E-2"/>
              <c:y val="0.12567829756574547"/>
            </c:manualLayout>
          </c:layout>
          <c:spPr>
            <a:noFill/>
            <a:ln w="25400">
              <a:noFill/>
            </a:ln>
          </c:spPr>
        </c:title>
        <c:numFmt formatCode="0" sourceLinked="1"/>
        <c:maj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9611776"/>
        <c:crosses val="autoZero"/>
        <c:crossBetween val="midCat"/>
      </c:valAx>
      <c:spPr>
        <a:solidFill>
          <a:schemeClr val="bg1"/>
        </a:solidFill>
        <a:ln w="12700">
          <a:noFill/>
          <a:prstDash val="solid"/>
        </a:ln>
      </c:spPr>
    </c:plotArea>
    <c:legend>
      <c:legendPos val="r"/>
      <c:layout>
        <c:manualLayout>
          <c:xMode val="edge"/>
          <c:yMode val="edge"/>
          <c:x val="0.61627906976744151"/>
          <c:y val="0.10784339538190149"/>
          <c:w val="0.34385382059800662"/>
          <c:h val="0.23774566709191924"/>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c:pageMargins b="1" l="0.75000000000000266" r="0.75000000000000266"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10</xdr:col>
      <xdr:colOff>542925</xdr:colOff>
      <xdr:row>142</xdr:row>
      <xdr:rowOff>152400</xdr:rowOff>
    </xdr:from>
    <xdr:to>
      <xdr:col>21</xdr:col>
      <xdr:colOff>152400</xdr:colOff>
      <xdr:row>168</xdr:row>
      <xdr:rowOff>76200</xdr:rowOff>
    </xdr:to>
    <xdr:graphicFrame macro="">
      <xdr:nvGraphicFramePr>
        <xdr:cNvPr id="622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114300</xdr:colOff>
      <xdr:row>1</xdr:row>
      <xdr:rowOff>152400</xdr:rowOff>
    </xdr:from>
    <xdr:to>
      <xdr:col>13</xdr:col>
      <xdr:colOff>40482</xdr:colOff>
      <xdr:row>32</xdr:row>
      <xdr:rowOff>69056</xdr:rowOff>
    </xdr:to>
    <xdr:graphicFrame macro="">
      <xdr:nvGraphicFramePr>
        <xdr:cNvPr id="2"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152400</xdr:colOff>
      <xdr:row>35</xdr:row>
      <xdr:rowOff>76200</xdr:rowOff>
    </xdr:from>
    <xdr:to>
      <xdr:col>13</xdr:col>
      <xdr:colOff>109537</xdr:colOff>
      <xdr:row>63</xdr:row>
      <xdr:rowOff>40481</xdr:rowOff>
    </xdr:to>
    <xdr:graphicFrame macro="">
      <xdr:nvGraphicFramePr>
        <xdr:cNvPr id="3" name="Chart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238125</xdr:colOff>
      <xdr:row>1</xdr:row>
      <xdr:rowOff>133350</xdr:rowOff>
    </xdr:from>
    <xdr:to>
      <xdr:col>19</xdr:col>
      <xdr:colOff>523875</xdr:colOff>
      <xdr:row>23</xdr:row>
      <xdr:rowOff>114300</xdr:rowOff>
    </xdr:to>
    <xdr:graphicFrame macro="">
      <xdr:nvGraphicFramePr>
        <xdr:cNvPr id="2936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andyandy@berkeley.edu"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oleObject" Target="../embeddings/Microsoft_Office_Word_97_-_2003_Document111111111111111111111111111111111111111111111111111111111111111111111111111111111111111111111.doc"/><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3.v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oleObject" Target="../embeddings/Microsoft_Office_Word_97_-_2003_Document22222222222222222222222222222222222222222222222222222222222222222222222222222222222222222222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sheetPr published="0" codeName="Sheet1"/>
  <dimension ref="A1:K36"/>
  <sheetViews>
    <sheetView tabSelected="1" zoomScale="90" zoomScaleNormal="90" workbookViewId="0">
      <selection activeCell="A3" sqref="A3"/>
    </sheetView>
  </sheetViews>
  <sheetFormatPr defaultRowHeight="12.75"/>
  <cols>
    <col min="1" max="1" width="18" style="198" customWidth="1"/>
    <col min="2" max="16384" width="9.140625" style="198"/>
  </cols>
  <sheetData>
    <row r="1" spans="1:11" ht="15.75">
      <c r="A1" s="209" t="s">
        <v>230</v>
      </c>
      <c r="B1" s="210"/>
      <c r="C1" s="210"/>
      <c r="D1" s="210"/>
      <c r="E1" s="210"/>
      <c r="F1" s="210"/>
      <c r="G1" s="210"/>
      <c r="H1" s="210"/>
      <c r="I1" s="210"/>
      <c r="J1" s="210"/>
      <c r="K1" s="210"/>
    </row>
    <row r="2" spans="1:11">
      <c r="A2" s="210" t="s">
        <v>244</v>
      </c>
      <c r="B2" s="210" t="s">
        <v>243</v>
      </c>
      <c r="C2" s="210"/>
      <c r="D2" s="210"/>
      <c r="E2" s="210"/>
      <c r="F2" s="210"/>
      <c r="G2" s="210"/>
      <c r="H2" s="210"/>
      <c r="I2" s="210"/>
      <c r="J2" s="210"/>
      <c r="K2" s="210"/>
    </row>
    <row r="3" spans="1:11">
      <c r="A3" s="211">
        <v>39840</v>
      </c>
      <c r="C3" s="210"/>
      <c r="D3" s="210"/>
      <c r="E3" s="210"/>
      <c r="F3" s="210"/>
      <c r="G3" s="210"/>
      <c r="H3" s="210"/>
      <c r="I3" s="210"/>
      <c r="J3" s="210"/>
      <c r="K3" s="210"/>
    </row>
    <row r="4" spans="1:11">
      <c r="A4" s="210"/>
      <c r="B4" s="210"/>
      <c r="C4" s="210"/>
      <c r="D4" s="210"/>
      <c r="E4" s="210"/>
      <c r="F4" s="210"/>
      <c r="G4" s="210"/>
      <c r="H4" s="210"/>
      <c r="I4" s="210"/>
      <c r="J4" s="210"/>
      <c r="K4" s="210"/>
    </row>
    <row r="5" spans="1:11">
      <c r="A5" s="212" t="s">
        <v>188</v>
      </c>
      <c r="B5" s="210"/>
      <c r="C5" s="210"/>
      <c r="D5" s="210"/>
      <c r="E5" s="210"/>
      <c r="F5" s="210"/>
      <c r="G5" s="210"/>
      <c r="H5" s="210"/>
      <c r="I5" s="210"/>
      <c r="J5" s="210"/>
      <c r="K5" s="210"/>
    </row>
    <row r="6" spans="1:11">
      <c r="A6" s="210" t="s">
        <v>189</v>
      </c>
      <c r="B6" s="210" t="s">
        <v>135</v>
      </c>
      <c r="C6" s="210"/>
      <c r="D6" s="210"/>
      <c r="E6" s="210" t="s">
        <v>190</v>
      </c>
      <c r="F6" s="210"/>
      <c r="G6" s="210"/>
      <c r="H6" s="210"/>
      <c r="I6" s="210"/>
      <c r="J6" s="210"/>
      <c r="K6" s="210"/>
    </row>
    <row r="7" spans="1:11">
      <c r="A7" s="210" t="s">
        <v>139</v>
      </c>
      <c r="B7" s="210" t="s">
        <v>131</v>
      </c>
      <c r="C7" s="210"/>
      <c r="D7" s="210"/>
      <c r="E7" s="213" t="s">
        <v>140</v>
      </c>
      <c r="F7" s="210"/>
      <c r="G7" s="210"/>
      <c r="H7" s="210"/>
      <c r="I7" s="210"/>
      <c r="J7" s="210"/>
      <c r="K7" s="210"/>
    </row>
    <row r="8" spans="1:11">
      <c r="A8" s="210" t="s">
        <v>136</v>
      </c>
      <c r="B8" s="210" t="s">
        <v>138</v>
      </c>
      <c r="C8" s="210"/>
      <c r="D8" s="210"/>
      <c r="E8" s="210" t="s">
        <v>137</v>
      </c>
      <c r="F8" s="210"/>
      <c r="G8" s="210"/>
      <c r="H8" s="210"/>
      <c r="I8" s="210"/>
      <c r="J8" s="210"/>
      <c r="K8" s="210"/>
    </row>
    <row r="9" spans="1:11">
      <c r="A9" s="210" t="s">
        <v>133</v>
      </c>
      <c r="B9" s="210" t="s">
        <v>135</v>
      </c>
      <c r="C9" s="210"/>
      <c r="D9" s="210"/>
      <c r="E9" s="210" t="s">
        <v>134</v>
      </c>
      <c r="F9" s="210"/>
      <c r="G9" s="210"/>
      <c r="H9" s="210"/>
      <c r="I9" s="210"/>
      <c r="J9" s="210"/>
      <c r="K9" s="210"/>
    </row>
    <row r="10" spans="1:11">
      <c r="A10" s="210" t="s">
        <v>141</v>
      </c>
      <c r="B10" s="210" t="s">
        <v>131</v>
      </c>
      <c r="C10" s="210"/>
      <c r="D10" s="210"/>
      <c r="E10" s="210" t="s">
        <v>142</v>
      </c>
      <c r="F10" s="210"/>
      <c r="G10" s="210"/>
      <c r="H10" s="210"/>
      <c r="I10" s="210"/>
      <c r="J10" s="210"/>
      <c r="K10" s="210"/>
    </row>
    <row r="11" spans="1:11">
      <c r="A11" s="210" t="s">
        <v>130</v>
      </c>
      <c r="B11" s="210" t="s">
        <v>131</v>
      </c>
      <c r="C11" s="210"/>
      <c r="D11" s="210"/>
      <c r="E11" s="210" t="s">
        <v>132</v>
      </c>
      <c r="F11" s="210"/>
      <c r="G11" s="210"/>
      <c r="H11" s="210"/>
      <c r="I11" s="210"/>
      <c r="J11" s="210"/>
      <c r="K11" s="210"/>
    </row>
    <row r="12" spans="1:11">
      <c r="A12" s="210"/>
      <c r="B12" s="210"/>
      <c r="C12" s="210"/>
      <c r="D12" s="210"/>
      <c r="E12" s="210"/>
      <c r="F12" s="210"/>
      <c r="G12" s="210"/>
      <c r="H12" s="210"/>
      <c r="I12" s="210"/>
      <c r="J12" s="210"/>
      <c r="K12" s="210"/>
    </row>
    <row r="13" spans="1:11" ht="12.75" customHeight="1">
      <c r="A13" s="218" t="s">
        <v>163</v>
      </c>
      <c r="B13" s="218"/>
      <c r="C13" s="218"/>
      <c r="D13" s="218"/>
      <c r="E13" s="218"/>
      <c r="F13" s="218"/>
      <c r="G13" s="218"/>
      <c r="H13" s="218"/>
      <c r="I13" s="218"/>
      <c r="J13" s="218"/>
      <c r="K13" s="210"/>
    </row>
    <row r="14" spans="1:11">
      <c r="A14" s="218"/>
      <c r="B14" s="218"/>
      <c r="C14" s="218"/>
      <c r="D14" s="218"/>
      <c r="E14" s="218"/>
      <c r="F14" s="218"/>
      <c r="G14" s="218"/>
      <c r="H14" s="218"/>
      <c r="I14" s="218"/>
      <c r="J14" s="218"/>
      <c r="K14" s="210"/>
    </row>
    <row r="15" spans="1:11">
      <c r="A15" s="218"/>
      <c r="B15" s="218"/>
      <c r="C15" s="218"/>
      <c r="D15" s="218"/>
      <c r="E15" s="218"/>
      <c r="F15" s="218"/>
      <c r="G15" s="218"/>
      <c r="H15" s="218"/>
      <c r="I15" s="218"/>
      <c r="J15" s="218"/>
      <c r="K15" s="210"/>
    </row>
    <row r="16" spans="1:11">
      <c r="A16" s="218"/>
      <c r="B16" s="218"/>
      <c r="C16" s="218"/>
      <c r="D16" s="218"/>
      <c r="E16" s="218"/>
      <c r="F16" s="218"/>
      <c r="G16" s="218"/>
      <c r="H16" s="218"/>
      <c r="I16" s="218"/>
      <c r="J16" s="218"/>
      <c r="K16" s="210"/>
    </row>
    <row r="17" spans="1:11" ht="6" customHeight="1">
      <c r="A17" s="218"/>
      <c r="B17" s="218"/>
      <c r="C17" s="218"/>
      <c r="D17" s="218"/>
      <c r="E17" s="218"/>
      <c r="F17" s="218"/>
      <c r="G17" s="218"/>
      <c r="H17" s="218"/>
      <c r="I17" s="218"/>
      <c r="J17" s="218"/>
      <c r="K17" s="210"/>
    </row>
    <row r="18" spans="1:11">
      <c r="A18" s="214"/>
      <c r="B18" s="214"/>
      <c r="C18" s="214"/>
      <c r="D18" s="214"/>
      <c r="E18" s="214"/>
      <c r="F18" s="214"/>
      <c r="G18" s="214"/>
      <c r="H18" s="214"/>
      <c r="I18" s="214"/>
      <c r="J18" s="214"/>
      <c r="K18" s="210"/>
    </row>
    <row r="19" spans="1:11">
      <c r="A19" s="219" t="s">
        <v>164</v>
      </c>
      <c r="B19" s="219"/>
      <c r="C19" s="219"/>
      <c r="D19" s="219"/>
      <c r="E19" s="219"/>
      <c r="F19" s="219"/>
      <c r="G19" s="219"/>
      <c r="H19" s="219"/>
      <c r="I19" s="219"/>
      <c r="J19" s="219"/>
      <c r="K19" s="219"/>
    </row>
    <row r="20" spans="1:11">
      <c r="A20" s="214"/>
      <c r="B20" s="214"/>
      <c r="C20" s="214"/>
      <c r="D20" s="214"/>
      <c r="E20" s="214"/>
      <c r="F20" s="214"/>
      <c r="G20" s="214"/>
      <c r="H20" s="214"/>
      <c r="I20" s="214"/>
      <c r="J20" s="214"/>
      <c r="K20" s="210"/>
    </row>
    <row r="21" spans="1:11">
      <c r="A21" s="214"/>
      <c r="B21" s="214"/>
      <c r="C21" s="214"/>
      <c r="D21" s="214"/>
      <c r="E21" s="214"/>
      <c r="F21" s="214"/>
      <c r="G21" s="214"/>
      <c r="H21" s="214"/>
      <c r="I21" s="214"/>
      <c r="J21" s="214"/>
      <c r="K21" s="210"/>
    </row>
    <row r="22" spans="1:11">
      <c r="A22" s="214"/>
      <c r="B22" s="214"/>
      <c r="C22" s="214"/>
      <c r="D22" s="214"/>
      <c r="E22" s="214"/>
      <c r="F22" s="214"/>
      <c r="G22" s="214"/>
      <c r="H22" s="214"/>
      <c r="I22" s="214"/>
      <c r="J22" s="214"/>
      <c r="K22" s="210"/>
    </row>
    <row r="23" spans="1:11">
      <c r="A23" s="202" t="s">
        <v>233</v>
      </c>
      <c r="B23" s="203"/>
      <c r="C23" s="203"/>
      <c r="D23" s="203"/>
      <c r="E23" s="203"/>
      <c r="F23" s="203"/>
      <c r="G23" s="203"/>
      <c r="H23" s="203"/>
      <c r="I23" s="203"/>
      <c r="J23" s="203"/>
      <c r="K23" s="203"/>
    </row>
    <row r="24" spans="1:11" ht="15.75">
      <c r="A24" s="204" t="s">
        <v>234</v>
      </c>
      <c r="B24" s="203"/>
      <c r="C24" s="203"/>
      <c r="D24" s="203"/>
      <c r="E24" s="203"/>
      <c r="F24" s="203"/>
      <c r="G24" s="203"/>
      <c r="H24" s="203"/>
      <c r="I24" s="203"/>
      <c r="J24" s="203"/>
      <c r="K24" s="203"/>
    </row>
    <row r="25" spans="1:11">
      <c r="A25" s="205" t="s">
        <v>233</v>
      </c>
      <c r="B25" s="203"/>
      <c r="C25" s="203"/>
      <c r="D25" s="203"/>
      <c r="E25" s="203"/>
      <c r="F25" s="203"/>
      <c r="G25" s="203"/>
      <c r="H25" s="203"/>
      <c r="I25" s="203"/>
      <c r="J25" s="203"/>
      <c r="K25" s="203"/>
    </row>
    <row r="26" spans="1:11" ht="15.75">
      <c r="A26" s="220" t="s">
        <v>241</v>
      </c>
      <c r="B26" s="221"/>
      <c r="C26" s="221"/>
      <c r="D26" s="221"/>
      <c r="E26" s="221"/>
      <c r="F26" s="221"/>
      <c r="G26" s="221"/>
      <c r="H26" s="221"/>
      <c r="I26" s="221"/>
      <c r="J26" s="203"/>
      <c r="K26" s="203"/>
    </row>
    <row r="27" spans="1:11" ht="32.25" customHeight="1">
      <c r="A27" s="220" t="s">
        <v>242</v>
      </c>
      <c r="B27" s="222"/>
      <c r="C27" s="222"/>
      <c r="D27" s="222"/>
      <c r="E27" s="222"/>
      <c r="F27" s="222"/>
      <c r="G27" s="222"/>
      <c r="H27" s="222"/>
      <c r="I27" s="222"/>
      <c r="J27" s="203"/>
      <c r="K27" s="203"/>
    </row>
    <row r="28" spans="1:11" ht="15">
      <c r="A28" s="206"/>
      <c r="B28" s="206"/>
      <c r="C28" s="207"/>
      <c r="D28" s="207"/>
      <c r="E28" s="207"/>
      <c r="F28" s="207"/>
      <c r="G28" s="207"/>
      <c r="H28" s="207"/>
      <c r="I28" s="207"/>
      <c r="J28" s="203"/>
      <c r="K28" s="203"/>
    </row>
    <row r="29" spans="1:11" ht="15.75">
      <c r="A29" s="223" t="s">
        <v>235</v>
      </c>
      <c r="B29" s="224"/>
      <c r="C29" s="224"/>
      <c r="D29" s="224"/>
      <c r="E29" s="224"/>
      <c r="F29" s="224"/>
      <c r="G29" s="224"/>
      <c r="H29" s="224"/>
      <c r="I29" s="224"/>
      <c r="J29" s="203"/>
      <c r="K29" s="203"/>
    </row>
    <row r="30" spans="1:11" ht="15">
      <c r="A30" s="206"/>
      <c r="B30" s="206"/>
      <c r="C30" s="207"/>
      <c r="D30" s="207"/>
      <c r="E30" s="207"/>
      <c r="F30" s="207"/>
      <c r="G30" s="207"/>
      <c r="H30" s="207"/>
      <c r="I30" s="207"/>
      <c r="J30" s="203"/>
      <c r="K30" s="203"/>
    </row>
    <row r="31" spans="1:11" ht="29.25" customHeight="1">
      <c r="A31" s="220" t="s">
        <v>236</v>
      </c>
      <c r="B31" s="222"/>
      <c r="C31" s="222"/>
      <c r="D31" s="222"/>
      <c r="E31" s="222"/>
      <c r="F31" s="222"/>
      <c r="G31" s="222"/>
      <c r="H31" s="222"/>
      <c r="I31" s="222"/>
      <c r="J31" s="203"/>
      <c r="K31" s="203"/>
    </row>
    <row r="32" spans="1:11" ht="43.5" customHeight="1">
      <c r="A32" s="220" t="s">
        <v>237</v>
      </c>
      <c r="B32" s="222"/>
      <c r="C32" s="222"/>
      <c r="D32" s="222"/>
      <c r="E32" s="222"/>
      <c r="F32" s="222"/>
      <c r="G32" s="222"/>
      <c r="H32" s="222"/>
      <c r="I32" s="222"/>
      <c r="J32" s="203"/>
      <c r="K32" s="203"/>
    </row>
    <row r="33" spans="1:11" ht="12" customHeight="1">
      <c r="A33" s="208"/>
      <c r="B33" s="206"/>
      <c r="C33" s="207"/>
      <c r="D33" s="207"/>
      <c r="E33" s="207"/>
      <c r="F33" s="207"/>
      <c r="G33" s="207"/>
      <c r="H33" s="207"/>
      <c r="I33" s="207"/>
      <c r="J33" s="203"/>
      <c r="K33" s="203"/>
    </row>
    <row r="34" spans="1:11" ht="48" customHeight="1">
      <c r="A34" s="220" t="s">
        <v>238</v>
      </c>
      <c r="B34" s="225"/>
      <c r="C34" s="225"/>
      <c r="D34" s="225"/>
      <c r="E34" s="225"/>
      <c r="F34" s="225"/>
      <c r="G34" s="225"/>
      <c r="H34" s="225"/>
      <c r="I34" s="225"/>
      <c r="J34" s="203"/>
      <c r="K34" s="203"/>
    </row>
    <row r="35" spans="1:11" ht="169.5" customHeight="1">
      <c r="A35" s="220" t="s">
        <v>239</v>
      </c>
      <c r="B35" s="222"/>
      <c r="C35" s="222"/>
      <c r="D35" s="222"/>
      <c r="E35" s="222"/>
      <c r="F35" s="222"/>
      <c r="G35" s="222"/>
      <c r="H35" s="222"/>
      <c r="I35" s="222"/>
      <c r="J35" s="203"/>
      <c r="K35" s="203"/>
    </row>
    <row r="36" spans="1:11" ht="123.75" customHeight="1">
      <c r="A36" s="223" t="s">
        <v>240</v>
      </c>
      <c r="B36" s="222"/>
      <c r="C36" s="222"/>
      <c r="D36" s="222"/>
      <c r="E36" s="222"/>
      <c r="F36" s="222"/>
      <c r="G36" s="222"/>
      <c r="H36" s="222"/>
      <c r="I36" s="222"/>
      <c r="J36" s="203"/>
      <c r="K36" s="203"/>
    </row>
  </sheetData>
  <mergeCells count="10">
    <mergeCell ref="A31:I31"/>
    <mergeCell ref="A32:I32"/>
    <mergeCell ref="A34:I34"/>
    <mergeCell ref="A35:I35"/>
    <mergeCell ref="A36:I36"/>
    <mergeCell ref="A13:J17"/>
    <mergeCell ref="A19:K19"/>
    <mergeCell ref="A26:I26"/>
    <mergeCell ref="A27:I27"/>
    <mergeCell ref="A29:I29"/>
  </mergeCells>
  <phoneticPr fontId="25" type="noConversion"/>
  <hyperlinks>
    <hyperlink ref="E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ublished="0" codeName="Sheet2"/>
  <dimension ref="A2:O141"/>
  <sheetViews>
    <sheetView zoomScale="80" zoomScaleNormal="80" workbookViewId="0">
      <selection activeCell="J9" sqref="J9"/>
    </sheetView>
  </sheetViews>
  <sheetFormatPr defaultColWidth="8.7109375" defaultRowHeight="12.75"/>
  <cols>
    <col min="1" max="1" width="22.7109375" style="4" customWidth="1"/>
    <col min="2" max="2" width="12" style="4" customWidth="1"/>
    <col min="3" max="3" width="11.140625" style="4" customWidth="1"/>
    <col min="4" max="4" width="10.28515625" style="4" customWidth="1"/>
    <col min="5" max="5" width="11" style="4" customWidth="1"/>
    <col min="6" max="6" width="10" style="4" customWidth="1"/>
    <col min="7" max="7" width="10.42578125" style="4" customWidth="1"/>
    <col min="8" max="8" width="10" style="4" customWidth="1"/>
    <col min="9" max="9" width="8.7109375" style="4"/>
    <col min="10" max="10" width="9.5703125" style="4" customWidth="1"/>
    <col min="11" max="12" width="8.7109375" style="4"/>
    <col min="13" max="13" width="9.5703125" style="4" customWidth="1"/>
    <col min="14" max="15" width="8.85546875" style="4" bestFit="1" customWidth="1"/>
    <col min="16" max="16" width="9.7109375" style="4" customWidth="1"/>
    <col min="17" max="17" width="8.7109375" style="4"/>
    <col min="18" max="18" width="10" style="4" customWidth="1"/>
    <col min="19" max="20" width="8.7109375" style="4"/>
    <col min="21" max="21" width="9.5703125" style="4" customWidth="1"/>
    <col min="22" max="16384" width="8.7109375" style="4"/>
  </cols>
  <sheetData>
    <row r="2" spans="1:12">
      <c r="A2" s="229" t="s">
        <v>187</v>
      </c>
      <c r="B2" s="230"/>
      <c r="C2" s="230"/>
      <c r="D2" s="230"/>
      <c r="E2" s="230"/>
      <c r="F2" s="230"/>
      <c r="G2" s="231"/>
      <c r="H2" s="232" t="s">
        <v>224</v>
      </c>
      <c r="I2" s="233"/>
      <c r="J2" s="232" t="s">
        <v>73</v>
      </c>
      <c r="K2" s="233"/>
      <c r="L2" s="234"/>
    </row>
    <row r="3" spans="1:12" ht="18">
      <c r="A3" s="185" t="s">
        <v>222</v>
      </c>
      <c r="B3" s="186" t="s">
        <v>184</v>
      </c>
      <c r="C3" s="187" t="s">
        <v>183</v>
      </c>
      <c r="D3" s="188" t="s">
        <v>109</v>
      </c>
      <c r="E3" s="189" t="s">
        <v>185</v>
      </c>
      <c r="F3" s="190" t="s">
        <v>186</v>
      </c>
      <c r="G3" s="191" t="s">
        <v>109</v>
      </c>
      <c r="H3" s="192">
        <v>0</v>
      </c>
      <c r="I3" s="193">
        <f>DiscountRate</f>
        <v>2.5000000000000001E-2</v>
      </c>
      <c r="J3" s="194" t="s">
        <v>75</v>
      </c>
      <c r="K3" s="194" t="s">
        <v>74</v>
      </c>
      <c r="L3" s="195" t="s">
        <v>109</v>
      </c>
    </row>
    <row r="4" spans="1:12">
      <c r="A4" s="150">
        <v>10</v>
      </c>
      <c r="B4" s="77">
        <f>Summary!F14/Summary!E14</f>
        <v>1.8893189007293292</v>
      </c>
      <c r="C4" s="78">
        <f t="shared" ref="C4:C9" si="0">B4*GasolineGWI</f>
        <v>177.59597666855694</v>
      </c>
      <c r="D4" s="79">
        <f t="shared" ref="D4:D9" si="1">1-C4/GasolineGWI</f>
        <v>-0.88931890072932918</v>
      </c>
      <c r="E4" s="100">
        <f>Summary!I14/Summary!H14</f>
        <v>1.9300908265682155</v>
      </c>
      <c r="F4" s="96">
        <f t="shared" ref="F4:F9" si="2">E4*GasolineGWI</f>
        <v>181.42853769741225</v>
      </c>
      <c r="G4" s="79">
        <f t="shared" ref="G4:G9" si="3">1-F4/GasolineGWI</f>
        <v>-0.93009082656821551</v>
      </c>
      <c r="H4" s="148">
        <f>Ethanol!V27</f>
        <v>-0.45055802031540509</v>
      </c>
      <c r="I4" s="148">
        <f>Ethanol!W27</f>
        <v>-0.51972981057941448</v>
      </c>
      <c r="J4" s="158">
        <f>(B$22+A4*B$25)/A4</f>
        <v>81.686733527849128</v>
      </c>
      <c r="K4" s="158">
        <f t="shared" ref="K4:K9" si="4">ProcessEmissions+J4</f>
        <v>141.68673352784913</v>
      </c>
      <c r="L4" s="148">
        <f t="shared" ref="L4:L9" si="5">(GasolineGWI-K4)/GasolineGWI</f>
        <v>-0.5073056758281822</v>
      </c>
    </row>
    <row r="5" spans="1:12">
      <c r="A5" s="151">
        <v>20</v>
      </c>
      <c r="B5" s="77">
        <f>Summary!F24/Summary!E24</f>
        <v>1.3448777870231685</v>
      </c>
      <c r="C5" s="78">
        <f t="shared" si="0"/>
        <v>126.41851198017784</v>
      </c>
      <c r="D5" s="79">
        <f t="shared" si="1"/>
        <v>-0.34487778702316851</v>
      </c>
      <c r="E5" s="100">
        <f>Summary!I24/Summary!H24</f>
        <v>1.3990767708735374</v>
      </c>
      <c r="F5" s="96">
        <f t="shared" si="2"/>
        <v>131.51321646211252</v>
      </c>
      <c r="G5" s="79">
        <f t="shared" si="3"/>
        <v>-0.39907677087353743</v>
      </c>
      <c r="H5" s="148">
        <f>Ethanol!V37</f>
        <v>-8.4746420349066362E-2</v>
      </c>
      <c r="I5" s="148">
        <f>Ethanol!W37</f>
        <v>-0.1685169609353078</v>
      </c>
      <c r="J5" s="158">
        <f>(B$22+A5*B$25)/A5</f>
        <v>42.890307948852829</v>
      </c>
      <c r="K5" s="158">
        <f t="shared" si="4"/>
        <v>102.89030794885284</v>
      </c>
      <c r="L5" s="148">
        <f t="shared" si="5"/>
        <v>-9.4577744136732297E-2</v>
      </c>
    </row>
    <row r="6" spans="1:12">
      <c r="A6" s="151">
        <v>30</v>
      </c>
      <c r="B6" s="77">
        <f>Summary!F34/Summary!E34</f>
        <v>1.1544810109790704</v>
      </c>
      <c r="C6" s="182">
        <f t="shared" si="0"/>
        <v>108.52121503203261</v>
      </c>
      <c r="D6" s="79">
        <f t="shared" si="1"/>
        <v>-0.15448101097907041</v>
      </c>
      <c r="E6" s="100">
        <f>Summary!I34/Summary!H34</f>
        <v>1.2155113911917494</v>
      </c>
      <c r="F6" s="96">
        <f t="shared" si="2"/>
        <v>114.25807077202445</v>
      </c>
      <c r="G6" s="79">
        <f t="shared" si="3"/>
        <v>-0.21551139119174945</v>
      </c>
      <c r="H6" s="148">
        <f>Ethanol!V47</f>
        <v>5.0630270980097217E-2</v>
      </c>
      <c r="I6" s="148">
        <f>Ethanol!W47</f>
        <v>-4.4135220118133499E-2</v>
      </c>
      <c r="J6" s="158">
        <f t="shared" ref="J6:J9" si="6">(B$22+A6*B$25)/A6</f>
        <v>29.958166089187397</v>
      </c>
      <c r="K6" s="158">
        <f t="shared" si="4"/>
        <v>89.958166089187401</v>
      </c>
      <c r="L6" s="148">
        <f t="shared" si="5"/>
        <v>4.2998233093751052E-2</v>
      </c>
    </row>
    <row r="7" spans="1:12">
      <c r="A7" s="152">
        <v>40</v>
      </c>
      <c r="B7" s="82">
        <f>Summary!F44/Summary!E44</f>
        <v>1.0759297370063969</v>
      </c>
      <c r="C7" s="78">
        <f t="shared" si="0"/>
        <v>101.13739527860132</v>
      </c>
      <c r="D7" s="79">
        <f t="shared" si="1"/>
        <v>-7.5929737006396936E-2</v>
      </c>
      <c r="E7" s="100">
        <f>Summary!I44/Summary!H44</f>
        <v>1.1436887955550885</v>
      </c>
      <c r="F7" s="96">
        <f t="shared" si="2"/>
        <v>107.50674678217833</v>
      </c>
      <c r="G7" s="79">
        <f t="shared" si="3"/>
        <v>-0.14368879555508851</v>
      </c>
      <c r="H7" s="148">
        <f>Ethanol!V57</f>
        <v>0.12839823514996654</v>
      </c>
      <c r="I7" s="148">
        <f>Ethanol!W57</f>
        <v>2.3321434033785091E-2</v>
      </c>
      <c r="J7" s="158">
        <f t="shared" si="6"/>
        <v>23.492095159354683</v>
      </c>
      <c r="K7" s="158">
        <f t="shared" si="4"/>
        <v>83.492095159354676</v>
      </c>
      <c r="L7" s="148">
        <f t="shared" si="5"/>
        <v>0.11178622170899281</v>
      </c>
    </row>
    <row r="8" spans="1:12">
      <c r="A8" s="151">
        <v>50</v>
      </c>
      <c r="B8" s="77">
        <f>Summary!F54/Summary!E54</f>
        <v>1.0233568866373437</v>
      </c>
      <c r="C8" s="78">
        <f t="shared" si="0"/>
        <v>96.195547343910306</v>
      </c>
      <c r="D8" s="79">
        <f t="shared" si="1"/>
        <v>-2.3356886637343699E-2</v>
      </c>
      <c r="E8" s="100">
        <f>Summary!I54/Summary!H54</f>
        <v>1.1011177257005629</v>
      </c>
      <c r="F8" s="96">
        <f t="shared" si="2"/>
        <v>103.50506621585291</v>
      </c>
      <c r="G8" s="79">
        <f t="shared" si="3"/>
        <v>-0.10111772570056288</v>
      </c>
      <c r="H8" s="148">
        <f>Ethanol!V67</f>
        <v>0.17505901365188811</v>
      </c>
      <c r="I8" s="148">
        <f>Ethanol!W67</f>
        <v>6.2209810893129207E-2</v>
      </c>
      <c r="J8" s="158">
        <f t="shared" si="6"/>
        <v>19.61245260145505</v>
      </c>
      <c r="K8" s="158">
        <f t="shared" si="4"/>
        <v>79.612452601455047</v>
      </c>
      <c r="L8" s="148">
        <f t="shared" si="5"/>
        <v>0.15305901487813781</v>
      </c>
    </row>
    <row r="9" spans="1:12">
      <c r="A9" s="153">
        <v>100</v>
      </c>
      <c r="B9" s="99">
        <f>Summary!F104/Summary!E104</f>
        <v>0.91689069731089179</v>
      </c>
      <c r="C9" s="80">
        <f t="shared" si="0"/>
        <v>86.187725547223835</v>
      </c>
      <c r="D9" s="184">
        <f t="shared" si="1"/>
        <v>8.31093026891081E-2</v>
      </c>
      <c r="E9" s="102">
        <f>Summary!I104/Summary!H104</f>
        <v>1.0306761774252438</v>
      </c>
      <c r="F9" s="97">
        <f t="shared" si="2"/>
        <v>96.883560677972909</v>
      </c>
      <c r="G9" s="81">
        <f t="shared" si="3"/>
        <v>-3.0676177425243756E-2</v>
      </c>
      <c r="H9" s="149">
        <f>Ethanol!V117</f>
        <v>0.26838057065573129</v>
      </c>
      <c r="I9" s="149">
        <f>Ethanol!W117</f>
        <v>0.12970698882715376</v>
      </c>
      <c r="J9" s="159">
        <f t="shared" si="6"/>
        <v>11.85316748565579</v>
      </c>
      <c r="K9" s="159">
        <f t="shared" si="4"/>
        <v>71.853167485655788</v>
      </c>
      <c r="L9" s="149">
        <f t="shared" si="5"/>
        <v>0.23560460121642779</v>
      </c>
    </row>
    <row r="11" spans="1:12">
      <c r="A11" s="4" t="s">
        <v>108</v>
      </c>
      <c r="B11" s="53" t="s">
        <v>5</v>
      </c>
    </row>
    <row r="12" spans="1:12" ht="14.25">
      <c r="A12" s="4" t="s">
        <v>166</v>
      </c>
      <c r="B12" s="172">
        <v>2.5000000000000001E-2</v>
      </c>
      <c r="C12" s="67" t="s">
        <v>10</v>
      </c>
      <c r="D12" s="11" t="s">
        <v>167</v>
      </c>
    </row>
    <row r="13" spans="1:12" ht="14.25">
      <c r="A13" s="4" t="s">
        <v>111</v>
      </c>
      <c r="B13" s="59">
        <v>94</v>
      </c>
      <c r="C13" s="67" t="s">
        <v>112</v>
      </c>
      <c r="D13" s="11" t="s">
        <v>162</v>
      </c>
    </row>
    <row r="14" spans="1:12" ht="14.25">
      <c r="A14" s="4" t="s">
        <v>110</v>
      </c>
      <c r="B14" s="59">
        <v>60</v>
      </c>
      <c r="C14" s="67" t="s">
        <v>112</v>
      </c>
      <c r="D14" s="11" t="s">
        <v>52</v>
      </c>
    </row>
    <row r="15" spans="1:12" ht="13.5" customHeight="1">
      <c r="A15" s="90" t="s">
        <v>154</v>
      </c>
      <c r="B15" s="91">
        <v>5</v>
      </c>
      <c r="C15" s="67" t="s">
        <v>15</v>
      </c>
      <c r="D15" s="11" t="s">
        <v>158</v>
      </c>
    </row>
    <row r="16" spans="1:12" ht="13.5" customHeight="1">
      <c r="A16" s="90" t="s">
        <v>153</v>
      </c>
      <c r="B16" s="91">
        <v>20</v>
      </c>
      <c r="C16" s="67" t="s">
        <v>15</v>
      </c>
      <c r="D16" s="11" t="s">
        <v>159</v>
      </c>
    </row>
    <row r="17" spans="1:15" ht="13.5" customHeight="1">
      <c r="A17" s="90" t="s">
        <v>155</v>
      </c>
      <c r="B17" s="92">
        <v>0.8</v>
      </c>
      <c r="C17" s="21" t="s">
        <v>10</v>
      </c>
      <c r="D17" s="11" t="s">
        <v>85</v>
      </c>
      <c r="J17" s="88"/>
      <c r="K17" s="77"/>
      <c r="L17" s="78"/>
      <c r="M17" s="78"/>
      <c r="N17" s="67"/>
      <c r="O17" s="67"/>
    </row>
    <row r="18" spans="1:15" ht="13.5" customHeight="1">
      <c r="A18" s="90" t="s">
        <v>156</v>
      </c>
      <c r="B18" s="91">
        <v>30</v>
      </c>
      <c r="C18" s="67" t="s">
        <v>15</v>
      </c>
      <c r="D18" s="11" t="s">
        <v>157</v>
      </c>
      <c r="J18" s="88"/>
      <c r="K18" s="77"/>
      <c r="L18" s="173"/>
      <c r="M18" s="78"/>
      <c r="N18" s="78"/>
      <c r="O18" s="78"/>
    </row>
    <row r="19" spans="1:15" ht="13.5" customHeight="1">
      <c r="A19" s="90" t="s">
        <v>160</v>
      </c>
      <c r="B19" s="93">
        <v>0.5</v>
      </c>
      <c r="C19" s="67" t="s">
        <v>10</v>
      </c>
      <c r="D19" s="11" t="s">
        <v>161</v>
      </c>
      <c r="J19" s="88"/>
      <c r="K19" s="77"/>
      <c r="L19" s="173"/>
      <c r="M19" s="78"/>
      <c r="N19" s="78"/>
      <c r="O19" s="78"/>
    </row>
    <row r="20" spans="1:15" ht="13.5" customHeight="1">
      <c r="A20" s="5" t="s">
        <v>165</v>
      </c>
      <c r="B20" s="95">
        <v>25</v>
      </c>
      <c r="C20" s="67" t="s">
        <v>15</v>
      </c>
      <c r="D20" s="11" t="s">
        <v>87</v>
      </c>
      <c r="J20" s="88"/>
      <c r="K20" s="77"/>
      <c r="L20" s="78"/>
      <c r="M20" s="89"/>
    </row>
    <row r="21" spans="1:15" ht="13.5" customHeight="1">
      <c r="J21" s="88"/>
      <c r="K21" s="77"/>
      <c r="L21" s="78"/>
      <c r="M21" s="89"/>
    </row>
    <row r="22" spans="1:15" ht="12.75" customHeight="1">
      <c r="A22" s="4" t="s">
        <v>82</v>
      </c>
      <c r="B22" s="52">
        <f>HLOOKUP(B11,C47:E52, 6,FALSE)</f>
        <v>775.92851157992595</v>
      </c>
      <c r="C22" s="67" t="s">
        <v>83</v>
      </c>
      <c r="D22" s="165" t="s">
        <v>84</v>
      </c>
      <c r="E22" s="166"/>
      <c r="F22" s="166"/>
    </row>
    <row r="23" spans="1:15" ht="12.75" customHeight="1">
      <c r="B23" s="123"/>
      <c r="C23" s="67"/>
    </row>
    <row r="24" spans="1:15" ht="12.75" customHeight="1">
      <c r="A24" s="4" t="s">
        <v>124</v>
      </c>
      <c r="B24" s="52"/>
      <c r="E24" s="226" t="s">
        <v>145</v>
      </c>
      <c r="F24" s="227"/>
      <c r="G24" s="228"/>
      <c r="J24" s="58"/>
      <c r="K24" s="55"/>
      <c r="L24" s="56"/>
      <c r="M24" s="57"/>
    </row>
    <row r="25" spans="1:15" ht="12.75" customHeight="1">
      <c r="A25" s="60" t="s">
        <v>88</v>
      </c>
      <c r="B25" s="66">
        <f>HLOOKUP($B$11,$C$47:$E$53, 7,FALSE)</f>
        <v>4.0938823698565319</v>
      </c>
      <c r="C25" s="67" t="s">
        <v>83</v>
      </c>
      <c r="E25" s="69" t="s">
        <v>125</v>
      </c>
      <c r="F25" s="70" t="s">
        <v>126</v>
      </c>
      <c r="G25" s="71" t="s">
        <v>127</v>
      </c>
      <c r="M25" s="57"/>
    </row>
    <row r="26" spans="1:15" ht="12.75" customHeight="1">
      <c r="A26" s="64" t="s">
        <v>12</v>
      </c>
      <c r="B26" s="65">
        <f>HLOOKUP($B$11,$C$56:$E$63, 2,FALSE)</f>
        <v>0.64300000000000002</v>
      </c>
      <c r="C26" s="21" t="s">
        <v>10</v>
      </c>
      <c r="D26" s="11"/>
      <c r="E26" s="72">
        <f>B28+B30</f>
        <v>426.2765019777334</v>
      </c>
      <c r="F26" s="73">
        <f>B29+B31</f>
        <v>348.59907461197861</v>
      </c>
      <c r="G26" s="74">
        <f>B25</f>
        <v>4.0938823698565319</v>
      </c>
      <c r="H26" s="7"/>
      <c r="J26" s="58"/>
      <c r="K26" s="55"/>
      <c r="L26" s="56"/>
      <c r="M26" s="57"/>
    </row>
    <row r="27" spans="1:15" ht="12.75" customHeight="1">
      <c r="A27" s="64" t="s">
        <v>14</v>
      </c>
      <c r="B27" s="65">
        <f>HLOOKUP($B$11,$C$56:$E$63, 3,FALSE)</f>
        <v>0.35699999999999998</v>
      </c>
      <c r="C27" s="21" t="s">
        <v>10</v>
      </c>
      <c r="D27" s="11"/>
      <c r="J27" s="58"/>
      <c r="K27" s="55"/>
      <c r="L27" s="56"/>
      <c r="M27" s="57"/>
    </row>
    <row r="28" spans="1:15" ht="12.75" customHeight="1">
      <c r="A28" s="60" t="s">
        <v>118</v>
      </c>
      <c r="B28" s="66">
        <f>$B$22*$B$26*D28</f>
        <v>386.66457553306662</v>
      </c>
      <c r="C28" s="67" t="s">
        <v>112</v>
      </c>
      <c r="D28" s="65">
        <f>HLOOKUP($B$11,$C$56:$E$63, 4,FALSE)</f>
        <v>0.77500000000000002</v>
      </c>
      <c r="J28" s="58"/>
      <c r="K28" s="55"/>
      <c r="L28" s="56"/>
      <c r="M28" s="57"/>
    </row>
    <row r="29" spans="1:15" ht="12.75" customHeight="1">
      <c r="A29" s="60" t="s">
        <v>119</v>
      </c>
      <c r="B29" s="66">
        <f>$B$22*$B$26*D29</f>
        <v>111.7585353798799</v>
      </c>
      <c r="C29" s="67" t="s">
        <v>112</v>
      </c>
      <c r="D29" s="65">
        <f>HLOOKUP($B$11,$C$56:$E$63, 5,FALSE)</f>
        <v>0.224</v>
      </c>
      <c r="J29" s="58"/>
      <c r="K29" s="55"/>
      <c r="L29" s="56"/>
      <c r="M29" s="57"/>
    </row>
    <row r="30" spans="1:15" ht="12.75" customHeight="1">
      <c r="A30" s="60" t="s">
        <v>121</v>
      </c>
      <c r="B30" s="66">
        <f>$B$22*$B$27*D30</f>
        <v>39.611926444666793</v>
      </c>
      <c r="C30" s="67" t="s">
        <v>112</v>
      </c>
      <c r="D30" s="65">
        <f>HLOOKUP($B$11,$C$56:$E$63, 6,FALSE)</f>
        <v>0.14299999999999999</v>
      </c>
      <c r="F30" s="177"/>
      <c r="G30" s="178"/>
      <c r="H30" s="179"/>
      <c r="I30" s="10"/>
      <c r="J30" s="58"/>
      <c r="K30" s="55"/>
      <c r="L30" s="56"/>
      <c r="M30" s="57"/>
    </row>
    <row r="31" spans="1:15" ht="12.75" customHeight="1">
      <c r="A31" s="60" t="s">
        <v>122</v>
      </c>
      <c r="B31" s="66">
        <f>$B$22*$B$27*D31</f>
        <v>236.84053923209868</v>
      </c>
      <c r="C31" s="67" t="s">
        <v>112</v>
      </c>
      <c r="D31" s="65">
        <f>HLOOKUP($B$11,$C$56:$E$63, 7,FALSE)</f>
        <v>0.85499999999999998</v>
      </c>
      <c r="F31" s="143"/>
      <c r="J31" s="58"/>
      <c r="K31" s="55"/>
      <c r="L31" s="56"/>
      <c r="M31" s="57"/>
    </row>
    <row r="32" spans="1:15" ht="12.75" customHeight="1">
      <c r="A32" s="64" t="s">
        <v>89</v>
      </c>
      <c r="B32" s="169">
        <f>B25*ProductionYears</f>
        <v>102.34705924641329</v>
      </c>
      <c r="C32" s="67" t="s">
        <v>112</v>
      </c>
      <c r="D32" s="65"/>
      <c r="F32" s="143"/>
    </row>
    <row r="33" spans="1:13" ht="12.75" customHeight="1">
      <c r="A33" s="145" t="s">
        <v>219</v>
      </c>
      <c r="B33" s="144">
        <f>SUM(B28:B32)</f>
        <v>877.22263583612528</v>
      </c>
      <c r="C33" s="67" t="s">
        <v>112</v>
      </c>
      <c r="D33" s="65"/>
      <c r="F33" s="143"/>
      <c r="J33" s="58"/>
      <c r="K33" s="55"/>
      <c r="L33" s="56"/>
      <c r="M33" s="57"/>
    </row>
    <row r="34" spans="1:13" ht="13.5" customHeight="1">
      <c r="A34" s="60"/>
      <c r="I34" s="183"/>
      <c r="J34" s="183"/>
    </row>
    <row r="35" spans="1:13">
      <c r="A35" s="1" t="s">
        <v>3</v>
      </c>
      <c r="B35" s="2" t="s">
        <v>4</v>
      </c>
      <c r="C35" s="3" t="s">
        <v>116</v>
      </c>
      <c r="D35" s="2" t="s">
        <v>5</v>
      </c>
      <c r="E35" s="83" t="s">
        <v>152</v>
      </c>
      <c r="F35" s="217"/>
      <c r="G35" s="217"/>
    </row>
    <row r="36" spans="1:13">
      <c r="A36" s="5" t="s">
        <v>218</v>
      </c>
      <c r="B36" s="21" t="s">
        <v>6</v>
      </c>
      <c r="C36" s="26">
        <v>56800000000</v>
      </c>
      <c r="D36" s="6">
        <f>(15-1.75)*10^9*LiterPerGal</f>
        <v>50151250000</v>
      </c>
      <c r="E36" s="84">
        <f>D36</f>
        <v>50151250000</v>
      </c>
      <c r="F36" s="21"/>
      <c r="G36" s="67"/>
    </row>
    <row r="37" spans="1:13">
      <c r="A37" s="20" t="s">
        <v>7</v>
      </c>
      <c r="B37" s="21" t="s">
        <v>8</v>
      </c>
      <c r="C37" s="13">
        <v>4375</v>
      </c>
      <c r="D37" s="155">
        <f>F97</f>
        <v>3291.91291</v>
      </c>
      <c r="E37" s="85">
        <v>3292</v>
      </c>
      <c r="F37" s="21"/>
      <c r="G37" s="67"/>
    </row>
    <row r="38" spans="1:13">
      <c r="A38" s="20" t="s">
        <v>9</v>
      </c>
      <c r="B38" s="21" t="s">
        <v>8</v>
      </c>
      <c r="C38" s="13">
        <v>4375</v>
      </c>
      <c r="D38" s="14">
        <v>3350</v>
      </c>
      <c r="E38" s="86">
        <v>3350</v>
      </c>
      <c r="F38" s="33"/>
      <c r="G38" s="33"/>
    </row>
    <row r="39" spans="1:13">
      <c r="A39" s="20" t="s">
        <v>22</v>
      </c>
      <c r="B39" s="21" t="s">
        <v>10</v>
      </c>
      <c r="C39" s="30">
        <v>0.72</v>
      </c>
      <c r="D39" s="30">
        <v>0.27500000000000002</v>
      </c>
      <c r="E39" s="175">
        <v>0.27500000000000002</v>
      </c>
      <c r="F39" s="33"/>
      <c r="G39" s="33"/>
    </row>
    <row r="40" spans="1:13" ht="14.25">
      <c r="A40" s="20" t="s">
        <v>101</v>
      </c>
      <c r="B40" s="21" t="s">
        <v>102</v>
      </c>
      <c r="C40" s="13">
        <v>456</v>
      </c>
      <c r="D40" s="14">
        <v>658</v>
      </c>
      <c r="E40" s="85">
        <v>700</v>
      </c>
      <c r="F40" s="33"/>
      <c r="G40" s="33"/>
    </row>
    <row r="41" spans="1:13" ht="14.25">
      <c r="A41" s="20" t="s">
        <v>103</v>
      </c>
      <c r="B41" s="21" t="s">
        <v>102</v>
      </c>
      <c r="C41" s="13">
        <v>122</v>
      </c>
      <c r="D41" s="14">
        <v>61</v>
      </c>
      <c r="E41" s="85">
        <v>60</v>
      </c>
      <c r="F41" s="33"/>
      <c r="G41" s="33"/>
    </row>
    <row r="42" spans="1:13" ht="14.25">
      <c r="A42" s="20" t="s">
        <v>104</v>
      </c>
      <c r="B42" s="21" t="s">
        <v>102</v>
      </c>
      <c r="C42" s="29">
        <v>0</v>
      </c>
      <c r="D42" s="28">
        <v>1200</v>
      </c>
      <c r="E42" s="85">
        <v>1200</v>
      </c>
      <c r="F42" s="33"/>
      <c r="G42" s="156"/>
    </row>
    <row r="43" spans="1:13">
      <c r="A43" s="20" t="s">
        <v>215</v>
      </c>
      <c r="B43" s="21" t="s">
        <v>10</v>
      </c>
      <c r="C43" s="30">
        <v>0.52</v>
      </c>
      <c r="D43" s="31">
        <v>0.26</v>
      </c>
      <c r="E43" s="87">
        <v>0.3</v>
      </c>
      <c r="F43" s="33"/>
      <c r="G43" s="156"/>
    </row>
    <row r="44" spans="1:13">
      <c r="A44" s="20" t="s">
        <v>214</v>
      </c>
      <c r="B44" s="21" t="s">
        <v>10</v>
      </c>
      <c r="C44" s="33">
        <f>1-C43</f>
        <v>0.48</v>
      </c>
      <c r="D44" s="32">
        <f>1-D43-D45</f>
        <v>0.74</v>
      </c>
      <c r="E44" s="32">
        <f>1-E43-E45</f>
        <v>0.67999999999999994</v>
      </c>
      <c r="F44" s="21"/>
      <c r="G44" s="67"/>
      <c r="H44" s="7"/>
    </row>
    <row r="45" spans="1:13">
      <c r="A45" s="20" t="s">
        <v>216</v>
      </c>
      <c r="B45" s="21" t="s">
        <v>10</v>
      </c>
      <c r="C45" s="35">
        <v>0</v>
      </c>
      <c r="D45" s="31">
        <v>0</v>
      </c>
      <c r="E45" s="87">
        <v>0.02</v>
      </c>
      <c r="F45" s="21"/>
      <c r="G45" s="67"/>
    </row>
    <row r="46" spans="1:13">
      <c r="A46" s="20"/>
      <c r="B46" s="21"/>
      <c r="C46" s="36"/>
      <c r="D46" s="20"/>
      <c r="E46" s="20"/>
      <c r="F46" s="20"/>
    </row>
    <row r="47" spans="1:13">
      <c r="A47" s="8" t="s">
        <v>16</v>
      </c>
      <c r="B47" s="94" t="str">
        <f>B35</f>
        <v>Units</v>
      </c>
      <c r="C47" s="94" t="str">
        <f t="shared" ref="C47:E47" si="7">C35</f>
        <v>FAPRI-WH</v>
      </c>
      <c r="D47" s="94" t="str">
        <f t="shared" si="7"/>
        <v>GTAP-WH</v>
      </c>
      <c r="E47" s="94" t="str">
        <f t="shared" si="7"/>
        <v>What-if</v>
      </c>
      <c r="F47" s="215"/>
      <c r="G47" s="216"/>
    </row>
    <row r="48" spans="1:13" s="10" customFormat="1">
      <c r="A48" s="9" t="s">
        <v>17</v>
      </c>
      <c r="B48" s="28" t="s">
        <v>18</v>
      </c>
      <c r="C48" s="39">
        <f t="shared" ref="C48:E48" si="8">C36/C37</f>
        <v>12982857.142857144</v>
      </c>
      <c r="D48" s="40">
        <f>D36/D37*E89</f>
        <v>13939735.04299055</v>
      </c>
      <c r="E48" s="39">
        <f t="shared" si="8"/>
        <v>15234280.072904009</v>
      </c>
      <c r="F48" s="9"/>
    </row>
    <row r="49" spans="1:7">
      <c r="A49" s="20" t="s">
        <v>19</v>
      </c>
      <c r="B49" s="21" t="s">
        <v>18</v>
      </c>
      <c r="C49" s="42">
        <f t="shared" ref="C49:E49" si="9">C48*C39</f>
        <v>9347657.1428571437</v>
      </c>
      <c r="D49" s="6">
        <f t="shared" si="9"/>
        <v>3833427.1368224015</v>
      </c>
      <c r="E49" s="42">
        <f t="shared" si="9"/>
        <v>4189427.0200486029</v>
      </c>
      <c r="F49" s="20"/>
    </row>
    <row r="50" spans="1:7" ht="14.25">
      <c r="A50" s="20" t="s">
        <v>105</v>
      </c>
      <c r="B50" s="21" t="s">
        <v>102</v>
      </c>
      <c r="C50" s="27">
        <f t="shared" ref="C50:E50" si="10">SUMPRODUCT(C40:C42,C43:C45)</f>
        <v>295.68</v>
      </c>
      <c r="D50" s="34">
        <f>SUMPRODUCT(D40:D42,D43:D45)</f>
        <v>216.22000000000003</v>
      </c>
      <c r="E50" s="27">
        <f t="shared" si="10"/>
        <v>274.8</v>
      </c>
      <c r="F50" s="20"/>
    </row>
    <row r="51" spans="1:7">
      <c r="A51" s="20" t="s">
        <v>20</v>
      </c>
      <c r="B51" s="21" t="s">
        <v>21</v>
      </c>
      <c r="C51" s="41">
        <f t="shared" ref="C51:E51" si="11">C38*C48*$B$20*EthanolLHV</f>
        <v>30246000000000</v>
      </c>
      <c r="D51" s="41">
        <f t="shared" si="11"/>
        <v>24866744849814.766</v>
      </c>
      <c r="E51" s="41">
        <f t="shared" si="11"/>
        <v>27176051365051.641</v>
      </c>
      <c r="F51" s="20"/>
    </row>
    <row r="52" spans="1:7" ht="14.25">
      <c r="A52" s="20" t="s">
        <v>106</v>
      </c>
      <c r="B52" s="21" t="s">
        <v>107</v>
      </c>
      <c r="C52" s="43">
        <f t="shared" ref="C52:D52" si="12">C49*C50*1000000/(C36*EthanolLHV)</f>
        <v>2284.5295774647893</v>
      </c>
      <c r="D52" s="43">
        <f t="shared" si="12"/>
        <v>775.92851157992595</v>
      </c>
      <c r="E52" s="43">
        <f>E49*E50*1000000/(E36*EthanolLHV)</f>
        <v>1077.7300498006266</v>
      </c>
      <c r="F52" s="20"/>
    </row>
    <row r="53" spans="1:7" ht="14.25">
      <c r="A53" s="20" t="s">
        <v>220</v>
      </c>
      <c r="B53" s="21" t="s">
        <v>221</v>
      </c>
      <c r="C53" s="43">
        <f t="shared" ref="C53:E53" si="13">C49*C65*1000000/(C36*EthanolLHV)</f>
        <v>4.6821730382293776</v>
      </c>
      <c r="D53" s="43">
        <f t="shared" si="13"/>
        <v>4.0938823698565319</v>
      </c>
      <c r="E53" s="43">
        <f t="shared" si="13"/>
        <v>4.4740700175129353</v>
      </c>
      <c r="F53" s="20"/>
    </row>
    <row r="54" spans="1:7" ht="14.25">
      <c r="A54" s="20" t="s">
        <v>91</v>
      </c>
      <c r="B54" s="21" t="s">
        <v>107</v>
      </c>
      <c r="C54" s="43">
        <f t="shared" ref="C54:E54" si="14">C52+C53*ProductionYears</f>
        <v>2401.5839034205237</v>
      </c>
      <c r="D54" s="43">
        <f t="shared" si="14"/>
        <v>878.27557082633928</v>
      </c>
      <c r="E54" s="43">
        <f t="shared" si="14"/>
        <v>1189.5818002384499</v>
      </c>
      <c r="F54" s="20"/>
    </row>
    <row r="55" spans="1:7">
      <c r="A55" s="20"/>
      <c r="B55" s="21"/>
      <c r="C55" s="43"/>
      <c r="D55" s="43"/>
      <c r="E55" s="11"/>
      <c r="F55" s="20"/>
    </row>
    <row r="56" spans="1:7">
      <c r="A56" s="1" t="s">
        <v>117</v>
      </c>
      <c r="B56" s="2" t="str">
        <f>B35</f>
        <v>Units</v>
      </c>
      <c r="C56" s="2" t="str">
        <f t="shared" ref="C56:E56" si="15">C35</f>
        <v>FAPRI-WH</v>
      </c>
      <c r="D56" s="2" t="str">
        <f t="shared" si="15"/>
        <v>GTAP-WH</v>
      </c>
      <c r="E56" s="2" t="str">
        <f t="shared" si="15"/>
        <v>What-if</v>
      </c>
      <c r="F56" s="215"/>
      <c r="G56" s="216"/>
    </row>
    <row r="57" spans="1:7">
      <c r="A57" s="68" t="s">
        <v>12</v>
      </c>
      <c r="B57" s="67" t="s">
        <v>10</v>
      </c>
      <c r="C57" s="61">
        <v>0.8</v>
      </c>
      <c r="D57" s="65">
        <v>0.64300000000000002</v>
      </c>
      <c r="E57" s="62">
        <f t="shared" ref="E57:E65" si="16">$D57</f>
        <v>0.64300000000000002</v>
      </c>
      <c r="F57" s="20"/>
    </row>
    <row r="58" spans="1:7">
      <c r="A58" s="68" t="s">
        <v>14</v>
      </c>
      <c r="B58" s="67" t="s">
        <v>10</v>
      </c>
      <c r="C58" s="61">
        <v>0.2</v>
      </c>
      <c r="D58" s="65">
        <v>0.35699999999999998</v>
      </c>
      <c r="E58" s="62">
        <f t="shared" si="16"/>
        <v>0.35699999999999998</v>
      </c>
      <c r="F58" s="20"/>
    </row>
    <row r="59" spans="1:7">
      <c r="A59" s="5" t="s">
        <v>118</v>
      </c>
      <c r="B59" s="21" t="s">
        <v>10</v>
      </c>
      <c r="C59" s="63">
        <f>D59</f>
        <v>0.77500000000000002</v>
      </c>
      <c r="D59" s="61">
        <v>0.77500000000000002</v>
      </c>
      <c r="E59" s="62">
        <f t="shared" si="16"/>
        <v>0.77500000000000002</v>
      </c>
      <c r="F59" s="20"/>
    </row>
    <row r="60" spans="1:7">
      <c r="A60" s="5" t="s">
        <v>119</v>
      </c>
      <c r="B60" s="21" t="s">
        <v>10</v>
      </c>
      <c r="C60" s="63">
        <f>D60</f>
        <v>0.224</v>
      </c>
      <c r="D60" s="61">
        <v>0.224</v>
      </c>
      <c r="E60" s="62">
        <f t="shared" si="16"/>
        <v>0.224</v>
      </c>
      <c r="F60" s="20"/>
    </row>
    <row r="61" spans="1:7">
      <c r="A61" s="5" t="s">
        <v>121</v>
      </c>
      <c r="B61" s="21" t="s">
        <v>10</v>
      </c>
      <c r="C61" s="63">
        <f>D61</f>
        <v>0.14299999999999999</v>
      </c>
      <c r="D61" s="61">
        <v>0.14299999999999999</v>
      </c>
      <c r="E61" s="62">
        <f t="shared" si="16"/>
        <v>0.14299999999999999</v>
      </c>
      <c r="F61" s="20"/>
    </row>
    <row r="62" spans="1:7">
      <c r="A62" s="5" t="s">
        <v>122</v>
      </c>
      <c r="B62" s="21" t="s">
        <v>10</v>
      </c>
      <c r="C62" s="63">
        <f>D62</f>
        <v>0.85499999999999998</v>
      </c>
      <c r="D62" s="61">
        <v>0.85499999999999998</v>
      </c>
      <c r="E62" s="62">
        <f t="shared" si="16"/>
        <v>0.85499999999999998</v>
      </c>
      <c r="F62" s="20"/>
    </row>
    <row r="63" spans="1:7" ht="14.25">
      <c r="A63" s="5" t="s">
        <v>120</v>
      </c>
      <c r="B63" s="21" t="s">
        <v>201</v>
      </c>
      <c r="C63" s="124">
        <v>1.23</v>
      </c>
      <c r="D63" s="170">
        <v>1.57</v>
      </c>
      <c r="E63" s="125">
        <f t="shared" si="16"/>
        <v>1.57</v>
      </c>
      <c r="F63" s="20"/>
    </row>
    <row r="64" spans="1:7" ht="14.25">
      <c r="A64" s="5" t="s">
        <v>123</v>
      </c>
      <c r="B64" s="21" t="s">
        <v>201</v>
      </c>
      <c r="C64" s="124">
        <v>-7.0000000000000007E-2</v>
      </c>
      <c r="D64" s="170">
        <v>0.99</v>
      </c>
      <c r="E64" s="125">
        <f t="shared" si="16"/>
        <v>0.99</v>
      </c>
      <c r="F64" s="20"/>
    </row>
    <row r="65" spans="1:9" ht="14.25">
      <c r="A65" s="5" t="s">
        <v>217</v>
      </c>
      <c r="B65" s="21" t="s">
        <v>201</v>
      </c>
      <c r="C65" s="126">
        <f>SUMPRODUCT(C63:C64,C43:C44)</f>
        <v>0.60600000000000009</v>
      </c>
      <c r="D65" s="126">
        <f>SUMPRODUCT(D63:D64,D43:D44)</f>
        <v>1.1408</v>
      </c>
      <c r="E65" s="171">
        <f t="shared" si="16"/>
        <v>1.1408</v>
      </c>
      <c r="F65" s="20"/>
    </row>
    <row r="66" spans="1:9">
      <c r="B66" s="20"/>
      <c r="C66" s="36"/>
      <c r="D66" s="20"/>
      <c r="E66" s="20"/>
      <c r="F66" s="20"/>
    </row>
    <row r="67" spans="1:9">
      <c r="A67" s="8" t="s">
        <v>92</v>
      </c>
      <c r="B67" s="37"/>
      <c r="C67" s="38"/>
      <c r="D67" s="37"/>
      <c r="E67" s="38"/>
      <c r="F67" s="215"/>
      <c r="G67" s="216"/>
    </row>
    <row r="68" spans="1:9" ht="14.25">
      <c r="A68" s="20" t="s">
        <v>90</v>
      </c>
      <c r="B68" s="21" t="s">
        <v>107</v>
      </c>
      <c r="C68" s="12">
        <f t="shared" ref="C68:E68" si="17">C49*(C50+C65*ProductionYears)*1000000/C51</f>
        <v>96.063356136820929</v>
      </c>
      <c r="D68" s="12">
        <f t="shared" si="17"/>
        <v>37.728820685305877</v>
      </c>
      <c r="E68" s="12">
        <f t="shared" si="17"/>
        <v>46.759442225492258</v>
      </c>
      <c r="F68" s="20"/>
    </row>
    <row r="69" spans="1:9" ht="14.25">
      <c r="A69" s="20" t="s">
        <v>24</v>
      </c>
      <c r="B69" s="21" t="s">
        <v>107</v>
      </c>
      <c r="C69" s="44" t="s">
        <v>23</v>
      </c>
      <c r="D69" s="15" t="s">
        <v>23</v>
      </c>
      <c r="F69" s="11"/>
    </row>
    <row r="70" spans="1:9" ht="14.25">
      <c r="A70" s="20" t="s">
        <v>25</v>
      </c>
      <c r="B70" s="21" t="s">
        <v>107</v>
      </c>
      <c r="C70" s="44" t="s">
        <v>23</v>
      </c>
      <c r="D70" s="44" t="s">
        <v>23</v>
      </c>
      <c r="F70" s="11"/>
    </row>
    <row r="71" spans="1:9" ht="14.25">
      <c r="A71" s="20" t="s">
        <v>26</v>
      </c>
      <c r="B71" s="21" t="s">
        <v>107</v>
      </c>
      <c r="C71" s="15">
        <f>ProcessEmissions</f>
        <v>60</v>
      </c>
      <c r="D71" s="15">
        <f>ProcessEmissions</f>
        <v>60</v>
      </c>
      <c r="E71" s="15">
        <f>ProcessEmissions</f>
        <v>60</v>
      </c>
      <c r="F71" s="20"/>
    </row>
    <row r="72" spans="1:9" ht="14.25">
      <c r="A72" s="20" t="s">
        <v>27</v>
      </c>
      <c r="B72" s="21" t="s">
        <v>107</v>
      </c>
      <c r="C72" s="27">
        <f t="shared" ref="C72:E72" si="18">SUM(C68:C71)</f>
        <v>156.06335613682091</v>
      </c>
      <c r="D72" s="34">
        <f t="shared" si="18"/>
        <v>97.728820685305877</v>
      </c>
      <c r="E72" s="34">
        <f t="shared" si="18"/>
        <v>106.75944222549225</v>
      </c>
      <c r="F72" s="20"/>
    </row>
    <row r="73" spans="1:9" ht="14.25">
      <c r="A73" s="20" t="s">
        <v>28</v>
      </c>
      <c r="B73" s="21" t="s">
        <v>107</v>
      </c>
      <c r="C73" s="27">
        <f t="shared" ref="C73:E73" si="19">C72-GasolineGWI</f>
        <v>62.063356136820914</v>
      </c>
      <c r="D73" s="34">
        <f t="shared" si="19"/>
        <v>3.7288206853058767</v>
      </c>
      <c r="E73" s="27">
        <f t="shared" si="19"/>
        <v>12.759442225492251</v>
      </c>
      <c r="F73" s="20"/>
    </row>
    <row r="74" spans="1:9">
      <c r="A74" s="20" t="s">
        <v>29</v>
      </c>
      <c r="B74" s="21" t="s">
        <v>10</v>
      </c>
      <c r="C74" s="16">
        <f t="shared" ref="C74:E74" si="20">(GasolineGWI-C72)/GasolineGWI</f>
        <v>-0.66024846954064798</v>
      </c>
      <c r="D74" s="16">
        <f t="shared" si="20"/>
        <v>-3.9668305162828474E-2</v>
      </c>
      <c r="E74" s="16">
        <f t="shared" si="20"/>
        <v>-0.13573874707970479</v>
      </c>
      <c r="F74" s="20"/>
    </row>
    <row r="75" spans="1:9" ht="13.5" thickBot="1">
      <c r="A75" s="45"/>
      <c r="B75" s="46"/>
      <c r="C75" s="17"/>
      <c r="D75" s="17"/>
      <c r="E75" s="17"/>
      <c r="F75" s="17"/>
      <c r="G75" s="17"/>
      <c r="H75"/>
      <c r="I75" s="20"/>
    </row>
    <row r="76" spans="1:9" ht="13.5" thickTop="1">
      <c r="A76" s="20"/>
      <c r="B76" s="20"/>
      <c r="C76" s="20"/>
      <c r="D76" s="20"/>
      <c r="E76" s="21"/>
      <c r="F76" s="36"/>
      <c r="G76" s="20"/>
      <c r="H76"/>
      <c r="I76" s="20"/>
    </row>
    <row r="77" spans="1:9">
      <c r="A77" s="18" t="s">
        <v>115</v>
      </c>
      <c r="B77" s="19"/>
      <c r="C77" s="19"/>
      <c r="D77" s="19"/>
      <c r="E77" s="19"/>
      <c r="F77" s="19"/>
      <c r="G77" s="19"/>
      <c r="H77"/>
      <c r="I77" s="20"/>
    </row>
    <row r="78" spans="1:9">
      <c r="A78" s="20" t="s">
        <v>30</v>
      </c>
      <c r="B78" s="21" t="s">
        <v>31</v>
      </c>
      <c r="C78" s="34">
        <v>404.7</v>
      </c>
      <c r="D78" s="14"/>
      <c r="E78" s="21" t="s">
        <v>32</v>
      </c>
      <c r="F78" s="47">
        <f>C78/LiterPerGal*KgPerBu/1000</f>
        <v>2.7159272655217963</v>
      </c>
      <c r="G78" s="20"/>
      <c r="H78"/>
      <c r="I78" s="20"/>
    </row>
    <row r="79" spans="1:9">
      <c r="A79" s="20" t="s">
        <v>33</v>
      </c>
      <c r="B79" s="21" t="s">
        <v>34</v>
      </c>
      <c r="C79" s="6">
        <f>C36/C78</f>
        <v>140350877.19298247</v>
      </c>
      <c r="D79" s="40"/>
      <c r="E79" s="21"/>
      <c r="F79" s="20"/>
      <c r="G79" s="20"/>
      <c r="H79"/>
      <c r="I79" s="20"/>
    </row>
    <row r="80" spans="1:9">
      <c r="A80" s="20" t="s">
        <v>35</v>
      </c>
      <c r="B80" s="21" t="s">
        <v>36</v>
      </c>
      <c r="C80" s="22">
        <v>10.795999999999999</v>
      </c>
      <c r="D80" s="48"/>
      <c r="E80" s="21"/>
      <c r="F80" s="20"/>
      <c r="G80" s="20"/>
      <c r="H80"/>
      <c r="I80" s="20"/>
    </row>
    <row r="81" spans="1:9">
      <c r="A81" s="20" t="s">
        <v>37</v>
      </c>
      <c r="B81" s="21" t="s">
        <v>18</v>
      </c>
      <c r="C81" s="6">
        <f>C79/C80</f>
        <v>13000266.505463364</v>
      </c>
      <c r="D81" s="6"/>
      <c r="E81" s="21"/>
      <c r="F81" s="20"/>
      <c r="G81" s="20"/>
      <c r="H81"/>
      <c r="I81" s="20"/>
    </row>
    <row r="82" spans="1:9">
      <c r="A82" s="20" t="s">
        <v>38</v>
      </c>
      <c r="B82" s="21" t="s">
        <v>18</v>
      </c>
      <c r="C82" s="6">
        <v>10816501</v>
      </c>
      <c r="D82" s="6"/>
      <c r="E82" s="21"/>
      <c r="F82" s="20"/>
      <c r="G82" s="20"/>
      <c r="H82"/>
      <c r="I82" s="20"/>
    </row>
    <row r="83" spans="1:9">
      <c r="A83" s="20"/>
      <c r="B83" s="20"/>
      <c r="C83" s="20"/>
      <c r="D83" s="20"/>
      <c r="E83" s="20"/>
      <c r="F83" s="20"/>
      <c r="G83" s="20"/>
      <c r="H83"/>
      <c r="I83" s="20"/>
    </row>
    <row r="84" spans="1:9">
      <c r="A84" s="8" t="s">
        <v>94</v>
      </c>
      <c r="B84" s="37"/>
      <c r="C84" s="37"/>
      <c r="D84" s="37"/>
      <c r="E84" s="37"/>
      <c r="F84" s="37"/>
      <c r="G84" s="37"/>
      <c r="H84"/>
      <c r="I84" s="20"/>
    </row>
    <row r="85" spans="1:9">
      <c r="A85" s="20" t="s">
        <v>39</v>
      </c>
      <c r="B85" s="20"/>
      <c r="C85" s="20"/>
      <c r="D85" s="20"/>
      <c r="E85" s="49">
        <v>3.5000000000000003E-2</v>
      </c>
      <c r="F85" s="20"/>
      <c r="G85" s="20"/>
      <c r="H85"/>
      <c r="I85" s="20"/>
    </row>
    <row r="86" spans="1:9">
      <c r="A86" s="20" t="s">
        <v>40</v>
      </c>
      <c r="B86" s="20"/>
      <c r="C86" s="20"/>
      <c r="D86" s="21" t="s">
        <v>41</v>
      </c>
      <c r="E86" s="22">
        <f>(15-1.75)*1000000000/E97/1000000</f>
        <v>15.234683107093499</v>
      </c>
      <c r="F86" s="20"/>
      <c r="G86" s="20"/>
      <c r="H86"/>
      <c r="I86" s="20"/>
    </row>
    <row r="87" spans="1:9">
      <c r="A87" s="20" t="s">
        <v>42</v>
      </c>
      <c r="B87" s="20"/>
      <c r="C87" s="20"/>
      <c r="D87" s="21" t="s">
        <v>41</v>
      </c>
      <c r="E87" s="22">
        <v>4.1900000000000004</v>
      </c>
      <c r="F87" s="20"/>
      <c r="G87" s="20"/>
      <c r="H87"/>
      <c r="I87" s="20"/>
    </row>
    <row r="88" spans="1:9">
      <c r="A88" s="20" t="s">
        <v>43</v>
      </c>
      <c r="B88" s="20"/>
      <c r="C88" s="20"/>
      <c r="D88" s="21" t="s">
        <v>10</v>
      </c>
      <c r="E88" s="180">
        <f>E87/E86</f>
        <v>0.27503033509433966</v>
      </c>
      <c r="F88" s="20"/>
      <c r="G88" s="20"/>
      <c r="H88"/>
      <c r="I88" s="20"/>
    </row>
    <row r="89" spans="1:9">
      <c r="A89" s="20" t="s">
        <v>96</v>
      </c>
      <c r="B89" s="20"/>
      <c r="C89" s="20"/>
      <c r="D89" s="21" t="s">
        <v>10</v>
      </c>
      <c r="E89" s="180">
        <v>0.91500000000000004</v>
      </c>
      <c r="F89" s="20"/>
      <c r="G89" s="20"/>
      <c r="H89"/>
      <c r="I89" s="20"/>
    </row>
    <row r="90" spans="1:9">
      <c r="A90" s="20"/>
      <c r="B90" s="20"/>
      <c r="C90" s="20"/>
      <c r="D90" s="20"/>
      <c r="E90" s="20"/>
      <c r="F90" s="20"/>
      <c r="G90" s="20"/>
      <c r="H90"/>
      <c r="I90" s="20"/>
    </row>
    <row r="91" spans="1:9">
      <c r="A91" s="20" t="s">
        <v>42</v>
      </c>
      <c r="B91" s="20"/>
      <c r="C91" s="20"/>
      <c r="D91" s="21" t="s">
        <v>41</v>
      </c>
      <c r="E91" s="22">
        <v>4.1900000000000004</v>
      </c>
      <c r="F91" s="20"/>
      <c r="G91" s="20"/>
      <c r="H91"/>
      <c r="I91" s="20"/>
    </row>
    <row r="92" spans="1:9">
      <c r="A92" s="20" t="s">
        <v>44</v>
      </c>
      <c r="B92" s="20"/>
      <c r="C92" s="20"/>
      <c r="D92" s="21" t="s">
        <v>41</v>
      </c>
      <c r="E92" s="22">
        <v>0.78651099999999996</v>
      </c>
      <c r="F92" s="50">
        <f>E92/E91</f>
        <v>0.18771145584725535</v>
      </c>
      <c r="G92" s="20"/>
      <c r="H92"/>
      <c r="I92" s="20"/>
    </row>
    <row r="93" spans="1:9">
      <c r="A93" s="20" t="s">
        <v>45</v>
      </c>
      <c r="B93" s="20"/>
      <c r="C93" s="20"/>
      <c r="D93" s="21" t="s">
        <v>41</v>
      </c>
      <c r="E93" s="22">
        <v>3.4044919999999999</v>
      </c>
      <c r="F93" s="50">
        <f>E93/E91</f>
        <v>0.81252792362768489</v>
      </c>
      <c r="G93" s="20"/>
      <c r="H93"/>
      <c r="I93" s="20"/>
    </row>
    <row r="94" spans="1:9">
      <c r="A94" s="20"/>
      <c r="B94" s="20"/>
      <c r="C94" s="20"/>
      <c r="D94" s="20"/>
      <c r="E94" s="20"/>
      <c r="F94" s="20"/>
      <c r="G94" s="20"/>
      <c r="H94"/>
      <c r="I94" s="20"/>
    </row>
    <row r="95" spans="1:9">
      <c r="A95" s="20" t="s">
        <v>46</v>
      </c>
      <c r="B95" s="20"/>
      <c r="C95" s="20"/>
      <c r="D95" s="21" t="s">
        <v>11</v>
      </c>
      <c r="E95" s="34">
        <v>334.51</v>
      </c>
      <c r="F95" s="20"/>
      <c r="G95" s="20"/>
      <c r="H95"/>
      <c r="I95" s="20"/>
    </row>
    <row r="96" spans="1:9">
      <c r="A96" s="20" t="s">
        <v>47</v>
      </c>
      <c r="B96" s="20"/>
      <c r="C96" s="20"/>
      <c r="D96" s="21" t="s">
        <v>32</v>
      </c>
      <c r="E96" s="22">
        <v>2.6</v>
      </c>
      <c r="F96" s="20"/>
      <c r="G96" s="21"/>
      <c r="H96"/>
      <c r="I96" s="20"/>
    </row>
    <row r="97" spans="1:9">
      <c r="A97" s="20" t="s">
        <v>48</v>
      </c>
      <c r="B97" s="20"/>
      <c r="C97" s="20"/>
      <c r="D97" s="21" t="s">
        <v>13</v>
      </c>
      <c r="E97" s="34">
        <f>E96*E95</f>
        <v>869.726</v>
      </c>
      <c r="F97" s="51">
        <f>E97*LiterPerGal</f>
        <v>3291.91291</v>
      </c>
      <c r="G97" s="20" t="s">
        <v>8</v>
      </c>
      <c r="H97"/>
      <c r="I97" s="20"/>
    </row>
    <row r="98" spans="1:9">
      <c r="A98" s="20" t="s">
        <v>95</v>
      </c>
      <c r="B98" s="20"/>
      <c r="C98" s="20"/>
      <c r="D98" s="21" t="s">
        <v>13</v>
      </c>
      <c r="E98" s="34">
        <f>E97*(1+E85)</f>
        <v>900.16640999999993</v>
      </c>
      <c r="F98" s="51">
        <f>E98*LiterPerGal</f>
        <v>3407.12986185</v>
      </c>
      <c r="G98" s="20" t="s">
        <v>8</v>
      </c>
      <c r="H98"/>
      <c r="I98" s="20"/>
    </row>
    <row r="99" spans="1:9">
      <c r="A99" s="20" t="s">
        <v>93</v>
      </c>
      <c r="B99" s="20"/>
      <c r="C99" s="20"/>
      <c r="D99" s="21"/>
      <c r="E99" s="34"/>
      <c r="F99" s="181">
        <f>AVERAGE(F97,F98)</f>
        <v>3349.5213859249998</v>
      </c>
      <c r="G99" s="20" t="s">
        <v>8</v>
      </c>
      <c r="H99"/>
      <c r="I99" s="20"/>
    </row>
    <row r="100" spans="1:9">
      <c r="A100" s="20"/>
      <c r="B100" s="20"/>
      <c r="C100" s="20"/>
      <c r="D100" s="20"/>
      <c r="E100" s="20"/>
      <c r="F100" s="20"/>
      <c r="G100" s="20"/>
      <c r="H100"/>
      <c r="I100" s="20"/>
    </row>
    <row r="101" spans="1:9">
      <c r="A101" s="8" t="s">
        <v>49</v>
      </c>
      <c r="B101" s="37"/>
      <c r="C101" s="37"/>
      <c r="D101" s="37"/>
      <c r="E101" s="37"/>
      <c r="F101" s="37"/>
      <c r="G101" s="37"/>
      <c r="H101"/>
      <c r="I101" s="20"/>
    </row>
    <row r="102" spans="1:9">
      <c r="A102" s="20" t="s">
        <v>50</v>
      </c>
      <c r="B102" s="21" t="s">
        <v>51</v>
      </c>
      <c r="C102" s="21">
        <v>21.3</v>
      </c>
      <c r="D102" s="20"/>
      <c r="E102" s="21"/>
      <c r="F102" s="20"/>
      <c r="G102" s="20"/>
      <c r="H102"/>
      <c r="I102" s="20"/>
    </row>
    <row r="103" spans="1:9">
      <c r="A103" s="20" t="s">
        <v>53</v>
      </c>
      <c r="B103" s="21" t="s">
        <v>54</v>
      </c>
      <c r="C103" s="21">
        <v>2.4710000000000001</v>
      </c>
      <c r="D103" s="20"/>
      <c r="E103" s="20"/>
      <c r="F103" s="20"/>
      <c r="G103" s="20"/>
      <c r="H103"/>
      <c r="I103" s="20"/>
    </row>
    <row r="104" spans="1:9">
      <c r="A104" s="20" t="s">
        <v>55</v>
      </c>
      <c r="B104" s="21" t="s">
        <v>56</v>
      </c>
      <c r="C104" s="22">
        <v>25.401</v>
      </c>
      <c r="D104" s="20"/>
      <c r="E104" s="20"/>
      <c r="F104" s="20"/>
      <c r="G104" s="20"/>
      <c r="H104"/>
      <c r="I104" s="20"/>
    </row>
    <row r="105" spans="1:9">
      <c r="A105" s="20" t="s">
        <v>57</v>
      </c>
      <c r="B105" s="21" t="s">
        <v>58</v>
      </c>
      <c r="C105" s="23">
        <v>3.7850000000000001</v>
      </c>
      <c r="D105" s="20"/>
      <c r="E105" s="20"/>
      <c r="F105" s="20"/>
      <c r="G105" s="20"/>
      <c r="H105"/>
      <c r="I105" s="20"/>
    </row>
    <row r="106" spans="1:9">
      <c r="H106"/>
    </row>
    <row r="107" spans="1:9">
      <c r="A107" s="8" t="s">
        <v>169</v>
      </c>
      <c r="B107" s="37"/>
      <c r="C107" s="37"/>
      <c r="D107" s="37"/>
      <c r="E107" s="37"/>
      <c r="F107" s="37"/>
      <c r="G107" s="37"/>
      <c r="H107"/>
    </row>
    <row r="108" spans="1:9">
      <c r="A108" s="98" t="s">
        <v>170</v>
      </c>
      <c r="B108" s="98">
        <v>0.217</v>
      </c>
      <c r="C108"/>
      <c r="D108"/>
    </row>
    <row r="109" spans="1:9">
      <c r="A109" s="98" t="s">
        <v>171</v>
      </c>
      <c r="B109" s="98">
        <v>0.25900000000000001</v>
      </c>
    </row>
    <row r="110" spans="1:9">
      <c r="A110" s="98" t="s">
        <v>172</v>
      </c>
      <c r="B110" s="98">
        <v>0.33800000000000002</v>
      </c>
    </row>
    <row r="111" spans="1:9">
      <c r="A111" s="98" t="s">
        <v>173</v>
      </c>
      <c r="B111" s="98">
        <v>0.186</v>
      </c>
    </row>
    <row r="112" spans="1:9">
      <c r="A112" s="98" t="s">
        <v>174</v>
      </c>
      <c r="B112" s="98">
        <v>172.9</v>
      </c>
    </row>
    <row r="113" spans="1:2">
      <c r="A113" s="98" t="s">
        <v>175</v>
      </c>
      <c r="B113" s="98">
        <v>18.510000000000002</v>
      </c>
    </row>
    <row r="114" spans="1:2">
      <c r="A114" s="98" t="s">
        <v>176</v>
      </c>
      <c r="B114" s="98">
        <v>1.1859999999999999</v>
      </c>
    </row>
    <row r="140" spans="11:15" ht="38.25">
      <c r="K140" s="146" t="str">
        <f>CONCATENATE("FWPp ",Summary!E4)</f>
        <v xml:space="preserve">FWPp Gasoline </v>
      </c>
      <c r="L140" s="146" t="str">
        <f>CONCATENATE("FWPp ",Summary!F4)</f>
        <v>FWPp Corn ethanol</v>
      </c>
      <c r="M140" s="147"/>
      <c r="N140" s="146" t="str">
        <f>CONCATENATE("FWPe ",Summary!H4)</f>
        <v>FWPe Gasoline</v>
      </c>
      <c r="O140" s="146" t="str">
        <f>CONCATENATE("FWPe ",Summary!I4)</f>
        <v>FWPe Corn ethanol</v>
      </c>
    </row>
    <row r="141" spans="11:15">
      <c r="K141" s="4" t="s">
        <v>168</v>
      </c>
      <c r="L141" s="4" t="str">
        <f>CONCATENATE("Physical versus Economic GWP (", 100*DiscountRate,"% Discount Rate)")</f>
        <v>Physical versus Economic GWP (2.5% Discount Rate)</v>
      </c>
    </row>
  </sheetData>
  <mergeCells count="4">
    <mergeCell ref="E24:G24"/>
    <mergeCell ref="A2:G2"/>
    <mergeCell ref="H2:I2"/>
    <mergeCell ref="J2:L2"/>
  </mergeCells>
  <phoneticPr fontId="25" type="noConversion"/>
  <conditionalFormatting sqref="C74:D75 E74 E75:G75">
    <cfRule type="cellIs" dxfId="2" priority="15" stopIfTrue="1" operator="lessThan">
      <formula>0</formula>
    </cfRule>
  </conditionalFormatting>
  <conditionalFormatting sqref="M24:M31 M33 M20:M21 L4:L9 G4:I9 D4:D9">
    <cfRule type="cellIs" dxfId="1" priority="13" operator="lessThan">
      <formula>0</formula>
    </cfRule>
    <cfRule type="cellIs" dxfId="0" priority="14" operator="greaterThan">
      <formula>0</formula>
    </cfRule>
  </conditionalFormatting>
  <dataValidations count="2">
    <dataValidation allowBlank="1" showInputMessage="1" showErrorMessage="1" sqref="B18:B19"/>
    <dataValidation type="list" allowBlank="1" showInputMessage="1" showErrorMessage="1" sqref="B11">
      <formula1>$C$35:$E$35</formula1>
    </dataValidation>
  </dataValidations>
  <pageMargins left="0.7" right="0.7" top="0.75" bottom="0.75" header="0.3" footer="0.3"/>
  <pageSetup paperSize="0" orientation="portrait" horizontalDpi="4294967292" verticalDpi="4294967292" r:id="rId1"/>
  <drawing r:id="rId2"/>
  <legacyDrawing r:id="rId3"/>
</worksheet>
</file>

<file path=xl/worksheets/sheet3.xml><?xml version="1.0" encoding="utf-8"?>
<worksheet xmlns="http://schemas.openxmlformats.org/spreadsheetml/2006/main" xmlns:r="http://schemas.openxmlformats.org/officeDocument/2006/relationships">
  <sheetPr codeName="Sheet3"/>
  <dimension ref="A1:K1111"/>
  <sheetViews>
    <sheetView zoomScale="80" zoomScaleNormal="80" workbookViewId="0">
      <selection activeCell="M19" sqref="M19"/>
    </sheetView>
  </sheetViews>
  <sheetFormatPr defaultRowHeight="12.75"/>
  <cols>
    <col min="1" max="1" width="11.85546875" style="98" customWidth="1"/>
    <col min="2" max="2" width="9.5703125" style="98" bestFit="1" customWidth="1"/>
    <col min="3" max="3" width="11" style="98" customWidth="1"/>
    <col min="4" max="4" width="11.140625" style="98" customWidth="1"/>
    <col min="5" max="5" width="10.5703125" style="98" customWidth="1"/>
    <col min="6" max="6" width="9.5703125" style="98" bestFit="1" customWidth="1"/>
    <col min="7" max="7" width="10.85546875" style="98" customWidth="1"/>
    <col min="8" max="9" width="9.5703125" style="98" bestFit="1" customWidth="1"/>
    <col min="10" max="10" width="10.85546875" style="98" customWidth="1"/>
    <col min="11" max="103" width="9.5703125" style="98" bestFit="1" customWidth="1"/>
    <col min="104" max="16384" width="9.140625" style="98"/>
  </cols>
  <sheetData>
    <row r="1" spans="1:11" ht="15.75">
      <c r="A1" s="118" t="s">
        <v>200</v>
      </c>
    </row>
    <row r="2" spans="1:11">
      <c r="A2" s="107"/>
      <c r="B2" s="116"/>
      <c r="D2" s="116"/>
      <c r="J2" s="116"/>
      <c r="K2" s="121"/>
    </row>
    <row r="3" spans="1:11" ht="14.25">
      <c r="A3" s="111"/>
      <c r="B3" s="235" t="s">
        <v>199</v>
      </c>
      <c r="C3" s="235"/>
      <c r="D3" s="235"/>
      <c r="E3" s="235" t="s">
        <v>181</v>
      </c>
      <c r="F3" s="235"/>
      <c r="G3" s="235"/>
      <c r="H3" s="235" t="s">
        <v>197</v>
      </c>
      <c r="I3" s="235"/>
      <c r="J3" s="235"/>
      <c r="K3" s="120"/>
    </row>
    <row r="4" spans="1:11" ht="25.5">
      <c r="A4" s="112" t="s">
        <v>192</v>
      </c>
      <c r="B4" s="104" t="s">
        <v>2</v>
      </c>
      <c r="C4" s="105" t="s">
        <v>147</v>
      </c>
      <c r="D4" s="106" t="s">
        <v>198</v>
      </c>
      <c r="E4" s="104" t="s">
        <v>151</v>
      </c>
      <c r="F4" s="105" t="s">
        <v>147</v>
      </c>
      <c r="G4" s="106" t="s">
        <v>198</v>
      </c>
      <c r="H4" s="104" t="s">
        <v>2</v>
      </c>
      <c r="I4" s="105" t="s">
        <v>147</v>
      </c>
      <c r="J4" s="106" t="s">
        <v>198</v>
      </c>
      <c r="K4" s="122"/>
    </row>
    <row r="5" spans="1:11">
      <c r="A5" s="113">
        <v>2010</v>
      </c>
      <c r="B5" s="108">
        <f>Gasoline!H4</f>
        <v>94</v>
      </c>
      <c r="C5" s="108">
        <f>Ethanol!M18</f>
        <v>546.14623628550646</v>
      </c>
      <c r="D5" s="109">
        <f t="shared" ref="D5:D11" si="0">(B5-C5)/B5</f>
        <v>-4.810066343462835</v>
      </c>
      <c r="E5" s="110">
        <f>B5</f>
        <v>94</v>
      </c>
      <c r="F5" s="110">
        <f>C5</f>
        <v>546.14623628550646</v>
      </c>
      <c r="G5" s="109">
        <f t="shared" ref="G5:G11" si="1">(E5-F5)/E5</f>
        <v>-4.810066343462835</v>
      </c>
      <c r="H5" s="110">
        <f>NPV(DiscountRate,B$5:B5)</f>
        <v>91.707317073170742</v>
      </c>
      <c r="I5" s="110">
        <f>NPV(DiscountRate,C$5:C5)</f>
        <v>532.82559637610393</v>
      </c>
      <c r="J5" s="109">
        <f t="shared" ref="J5:J11" si="2">(H5-I5)/H5</f>
        <v>-4.8100663434628341</v>
      </c>
      <c r="K5" s="107"/>
    </row>
    <row r="6" spans="1:11">
      <c r="A6" s="114">
        <f t="shared" ref="A6:A11" si="3">A5+1</f>
        <v>2011</v>
      </c>
      <c r="B6" s="108">
        <f>Gasoline!H5</f>
        <v>176.22879654387143</v>
      </c>
      <c r="C6" s="108">
        <f>Ethanol!M19</f>
        <v>597.62449757077354</v>
      </c>
      <c r="D6" s="109">
        <f t="shared" si="0"/>
        <v>-2.3911852619500662</v>
      </c>
      <c r="E6" s="110">
        <f>E5+B6</f>
        <v>270.22879654387145</v>
      </c>
      <c r="F6" s="110">
        <f>F5+C6</f>
        <v>1143.77073385628</v>
      </c>
      <c r="G6" s="109">
        <f t="shared" si="1"/>
        <v>-3.232601219724522</v>
      </c>
      <c r="H6" s="110">
        <f>NPV(DiscountRate,B$5:B6)</f>
        <v>259.44442264734943</v>
      </c>
      <c r="I6" s="110">
        <f>NPV(DiscountRate,C$5:C6)</f>
        <v>1101.6531966814209</v>
      </c>
      <c r="J6" s="109">
        <f t="shared" si="2"/>
        <v>-3.2462011148293062</v>
      </c>
    </row>
    <row r="7" spans="1:11">
      <c r="A7" s="114">
        <f t="shared" si="3"/>
        <v>2012</v>
      </c>
      <c r="B7" s="108">
        <f>Gasoline!H6</f>
        <v>252.4487727670016</v>
      </c>
      <c r="C7" s="108">
        <f>Ethanol!M20</f>
        <v>667.5718315226153</v>
      </c>
      <c r="D7" s="109">
        <f t="shared" si="0"/>
        <v>-1.6443853309548579</v>
      </c>
      <c r="E7" s="110">
        <f t="shared" ref="E7:E70" si="4">E6+B7</f>
        <v>522.67756931087308</v>
      </c>
      <c r="F7" s="110">
        <f t="shared" ref="F7:F70" si="5">F6+C7</f>
        <v>1811.3425653788954</v>
      </c>
      <c r="G7" s="109">
        <f t="shared" si="1"/>
        <v>-2.4655065985844189</v>
      </c>
      <c r="H7" s="110">
        <f>NPV(DiscountRate,B$5:B7)</f>
        <v>493.86820432620061</v>
      </c>
      <c r="I7" s="110">
        <f>NPV(DiscountRate,C$5:C7)</f>
        <v>1721.5600061799394</v>
      </c>
      <c r="J7" s="109">
        <f t="shared" si="2"/>
        <v>-2.4858692888089768</v>
      </c>
      <c r="K7" s="121"/>
    </row>
    <row r="8" spans="1:11">
      <c r="A8" s="114">
        <f t="shared" si="3"/>
        <v>2013</v>
      </c>
      <c r="B8" s="108">
        <f>Gasoline!H7</f>
        <v>325.18563045416852</v>
      </c>
      <c r="C8" s="108">
        <f>Ethanol!M21</f>
        <v>744.53115301047421</v>
      </c>
      <c r="D8" s="109">
        <f t="shared" si="0"/>
        <v>-1.2895573582714259</v>
      </c>
      <c r="E8" s="110">
        <f t="shared" si="4"/>
        <v>847.8631997650416</v>
      </c>
      <c r="F8" s="110">
        <f t="shared" si="5"/>
        <v>2555.8737183893695</v>
      </c>
      <c r="G8" s="109">
        <f t="shared" si="1"/>
        <v>-2.0144883267697535</v>
      </c>
      <c r="H8" s="110">
        <f>NPV(DiscountRate,B$5:B8)</f>
        <v>788.4703359157694</v>
      </c>
      <c r="I8" s="110">
        <f>NPV(DiscountRate,C$5:C8)</f>
        <v>2396.0684843232834</v>
      </c>
      <c r="J8" s="109">
        <f t="shared" si="2"/>
        <v>-2.03888221938035</v>
      </c>
      <c r="K8" s="121"/>
    </row>
    <row r="9" spans="1:11">
      <c r="A9" s="114">
        <f t="shared" si="3"/>
        <v>2014</v>
      </c>
      <c r="B9" s="108">
        <f>Gasoline!H8</f>
        <v>395.56979260995399</v>
      </c>
      <c r="C9" s="108">
        <f>Ethanol!M22</f>
        <v>823.61659977380737</v>
      </c>
      <c r="D9" s="109">
        <f t="shared" si="0"/>
        <v>-1.0821018570190037</v>
      </c>
      <c r="E9" s="110">
        <f t="shared" si="4"/>
        <v>1243.4329923749956</v>
      </c>
      <c r="F9" s="110">
        <f t="shared" si="5"/>
        <v>3379.4903181631771</v>
      </c>
      <c r="G9" s="109">
        <f t="shared" si="1"/>
        <v>-1.7178708775518701</v>
      </c>
      <c r="H9" s="110">
        <f>NPV(DiscountRate,B$5:B9)</f>
        <v>1138.0963931628849</v>
      </c>
      <c r="I9" s="110">
        <f>NPV(DiscountRate,C$5:C9)</f>
        <v>3124.0255473797351</v>
      </c>
      <c r="J9" s="109">
        <f t="shared" si="2"/>
        <v>-1.7449569000897653</v>
      </c>
      <c r="K9" s="121"/>
    </row>
    <row r="10" spans="1:11">
      <c r="A10" s="114">
        <f t="shared" si="3"/>
        <v>2015</v>
      </c>
      <c r="B10" s="108">
        <f>Gasoline!H9</f>
        <v>464.12896575211323</v>
      </c>
      <c r="C10" s="108">
        <f>Ethanol!M23</f>
        <v>850.47801449727467</v>
      </c>
      <c r="D10" s="109">
        <f t="shared" si="0"/>
        <v>-0.83241744698930664</v>
      </c>
      <c r="E10" s="110">
        <f t="shared" si="4"/>
        <v>1707.5619581271089</v>
      </c>
      <c r="F10" s="110">
        <f t="shared" si="5"/>
        <v>4229.9683326604518</v>
      </c>
      <c r="G10" s="109">
        <f t="shared" si="1"/>
        <v>-1.4771975696272672</v>
      </c>
      <c r="H10" s="110">
        <f>NPV(DiscountRate,B$5:B10)</f>
        <v>1538.3133457324225</v>
      </c>
      <c r="I10" s="110">
        <f>NPV(DiscountRate,C$5:C10)</f>
        <v>3857.3900738490474</v>
      </c>
      <c r="J10" s="109">
        <f t="shared" si="2"/>
        <v>-1.5075450879693597</v>
      </c>
      <c r="K10" s="121"/>
    </row>
    <row r="11" spans="1:11">
      <c r="A11" s="114">
        <f t="shared" si="3"/>
        <v>2016</v>
      </c>
      <c r="B11" s="108">
        <f>Gasoline!H10</f>
        <v>531.12933344376427</v>
      </c>
      <c r="C11" s="108">
        <f>Ethanol!M24</f>
        <v>883.10675685650222</v>
      </c>
      <c r="D11" s="109">
        <f t="shared" si="0"/>
        <v>-0.66269626106049961</v>
      </c>
      <c r="E11" s="110">
        <f t="shared" si="4"/>
        <v>2238.6912915708731</v>
      </c>
      <c r="F11" s="110">
        <f t="shared" si="5"/>
        <v>5113.075089516954</v>
      </c>
      <c r="G11" s="109">
        <f t="shared" si="1"/>
        <v>-1.2839571980150721</v>
      </c>
      <c r="H11" s="110">
        <f>NPV(DiscountRate,B$5:B11)</f>
        <v>1985.1339892916906</v>
      </c>
      <c r="I11" s="110">
        <f>NPV(DiscountRate,C$5:C11)</f>
        <v>4600.3170872596884</v>
      </c>
      <c r="J11" s="109">
        <f t="shared" si="2"/>
        <v>-1.3173836688480223</v>
      </c>
      <c r="K11" s="121"/>
    </row>
    <row r="12" spans="1:11">
      <c r="A12" s="114">
        <f t="shared" ref="A12:A75" si="6">A11+1</f>
        <v>2017</v>
      </c>
      <c r="B12" s="108">
        <f>Gasoline!H11</f>
        <v>596.72249971195004</v>
      </c>
      <c r="C12" s="108">
        <f>Ethanol!M25</f>
        <v>917.97108170597676</v>
      </c>
      <c r="D12" s="109">
        <f t="shared" ref="D12:D75" si="7">(B12-C12)/B12</f>
        <v>-0.53835506814155643</v>
      </c>
      <c r="E12" s="110">
        <f t="shared" si="4"/>
        <v>2835.4137912828232</v>
      </c>
      <c r="F12" s="110">
        <f t="shared" si="5"/>
        <v>6031.0461712229308</v>
      </c>
      <c r="G12" s="109">
        <f t="shared" ref="G12:G75" si="8">(E12-F12)/E12</f>
        <v>-1.1270426876545279</v>
      </c>
      <c r="H12" s="110">
        <f>NPV(DiscountRate,B$5:B12)</f>
        <v>2474.8919346572898</v>
      </c>
      <c r="I12" s="110">
        <f>NPV(DiscountRate,C$5:C12)</f>
        <v>5353.7387046754529</v>
      </c>
      <c r="J12" s="109">
        <f t="shared" ref="J12:J75" si="9">(H12-I12)/H12</f>
        <v>-1.1632212015822061</v>
      </c>
      <c r="K12" s="121"/>
    </row>
    <row r="13" spans="1:11">
      <c r="A13" s="114">
        <f t="shared" si="6"/>
        <v>2018</v>
      </c>
      <c r="B13" s="108">
        <f>Gasoline!H12</f>
        <v>661.00883215686576</v>
      </c>
      <c r="C13" s="108">
        <f>Ethanol!M26</f>
        <v>953.56164390761592</v>
      </c>
      <c r="D13" s="109">
        <f t="shared" si="7"/>
        <v>-0.44258532945188189</v>
      </c>
      <c r="E13" s="110">
        <f t="shared" si="4"/>
        <v>3496.4226234396892</v>
      </c>
      <c r="F13" s="110">
        <f t="shared" si="5"/>
        <v>6984.6078151305464</v>
      </c>
      <c r="G13" s="109">
        <f t="shared" si="8"/>
        <v>-0.99764404002719553</v>
      </c>
      <c r="H13" s="110">
        <f>NPV(DiscountRate,B$5:B13)</f>
        <v>3004.1804539450109</v>
      </c>
      <c r="I13" s="110">
        <f>NPV(DiscountRate,C$5:C13)</f>
        <v>6117.2825576472296</v>
      </c>
      <c r="J13" s="109">
        <f t="shared" si="9"/>
        <v>-1.0362566934400279</v>
      </c>
      <c r="K13" s="121"/>
    </row>
    <row r="14" spans="1:11">
      <c r="A14" s="114">
        <f t="shared" si="6"/>
        <v>2019</v>
      </c>
      <c r="B14" s="108">
        <f>Gasoline!H13</f>
        <v>724.06482254645425</v>
      </c>
      <c r="C14" s="108">
        <f>Ethanol!M27</f>
        <v>989.23888686192913</v>
      </c>
      <c r="D14" s="109">
        <f t="shared" si="7"/>
        <v>-0.36622972979530705</v>
      </c>
      <c r="E14" s="110">
        <f t="shared" si="4"/>
        <v>4220.4874459861439</v>
      </c>
      <c r="F14" s="110">
        <f t="shared" si="5"/>
        <v>7973.8467019924756</v>
      </c>
      <c r="G14" s="109">
        <f t="shared" si="8"/>
        <v>-0.88931890072932918</v>
      </c>
      <c r="H14" s="110">
        <f>NPV(DiscountRate,B$5:B14)</f>
        <v>3569.8187360641232</v>
      </c>
      <c r="I14" s="110">
        <f>NPV(DiscountRate,C$5:C14)</f>
        <v>6890.0743949887055</v>
      </c>
      <c r="J14" s="109">
        <f t="shared" si="9"/>
        <v>-0.9300908265682154</v>
      </c>
      <c r="K14" s="121"/>
    </row>
    <row r="15" spans="1:11">
      <c r="A15" s="114">
        <f t="shared" si="6"/>
        <v>2020</v>
      </c>
      <c r="B15" s="108">
        <f>Gasoline!H14</f>
        <v>785.95495722562862</v>
      </c>
      <c r="C15" s="108">
        <f>Ethanol!M28</f>
        <v>1024.7370513214078</v>
      </c>
      <c r="D15" s="109">
        <f t="shared" si="7"/>
        <v>-0.30381142316178633</v>
      </c>
      <c r="E15" s="110">
        <f t="shared" si="4"/>
        <v>5006.4424032117722</v>
      </c>
      <c r="F15" s="110">
        <f t="shared" si="5"/>
        <v>8998.5837533138838</v>
      </c>
      <c r="G15" s="109">
        <f t="shared" si="8"/>
        <v>-0.7974008344809963</v>
      </c>
      <c r="H15" s="110">
        <f>NPV(DiscountRate,B$5:B15)</f>
        <v>4168.8302057354149</v>
      </c>
      <c r="I15" s="110">
        <f>NPV(DiscountRate,C$5:C15)</f>
        <v>7671.072391751065</v>
      </c>
      <c r="J15" s="109">
        <f t="shared" si="9"/>
        <v>-0.84010190225481407</v>
      </c>
      <c r="K15" s="121"/>
    </row>
    <row r="16" spans="1:11">
      <c r="A16" s="114">
        <f t="shared" si="6"/>
        <v>2021</v>
      </c>
      <c r="B16" s="108">
        <f>Gasoline!H15</f>
        <v>846.7369163717309</v>
      </c>
      <c r="C16" s="108">
        <f>Ethanol!M29</f>
        <v>1059.9507553356441</v>
      </c>
      <c r="D16" s="109">
        <f t="shared" si="7"/>
        <v>-0.25180647594477734</v>
      </c>
      <c r="E16" s="110">
        <f t="shared" si="4"/>
        <v>5853.1793195835035</v>
      </c>
      <c r="F16" s="110">
        <f t="shared" si="5"/>
        <v>10058.534508649527</v>
      </c>
      <c r="G16" s="109">
        <f t="shared" si="8"/>
        <v>-0.71847366353458408</v>
      </c>
      <c r="H16" s="110">
        <f>NPV(DiscountRate,B$5:B16)</f>
        <v>4798.4264229887331</v>
      </c>
      <c r="I16" s="110">
        <f>NPV(DiscountRate,C$5:C16)</f>
        <v>8459.2050137391034</v>
      </c>
      <c r="J16" s="109">
        <f t="shared" si="9"/>
        <v>-0.76291231083839961</v>
      </c>
      <c r="K16" s="121"/>
    </row>
    <row r="17" spans="1:11">
      <c r="A17" s="114">
        <f t="shared" si="6"/>
        <v>2022</v>
      </c>
      <c r="B17" s="108">
        <f>Gasoline!H16</f>
        <v>906.46389757914426</v>
      </c>
      <c r="C17" s="108">
        <f>Ethanol!M30</f>
        <v>1094.843175587517</v>
      </c>
      <c r="D17" s="109">
        <f t="shared" si="7"/>
        <v>-0.20781773936222883</v>
      </c>
      <c r="E17" s="110">
        <f t="shared" si="4"/>
        <v>6759.6432171626475</v>
      </c>
      <c r="F17" s="110">
        <f t="shared" si="5"/>
        <v>11153.377684237044</v>
      </c>
      <c r="G17" s="109">
        <f t="shared" si="8"/>
        <v>-0.64999502576093982</v>
      </c>
      <c r="H17" s="110">
        <f>NPV(DiscountRate,B$5:B17)</f>
        <v>5455.9938040873476</v>
      </c>
      <c r="I17" s="110">
        <f>NPV(DiscountRate,C$5:C17)</f>
        <v>9253.4265614559736</v>
      </c>
      <c r="J17" s="109">
        <f t="shared" si="9"/>
        <v>-0.69601119314391202</v>
      </c>
      <c r="K17" s="121"/>
    </row>
    <row r="18" spans="1:11">
      <c r="A18" s="114">
        <f t="shared" si="6"/>
        <v>2023</v>
      </c>
      <c r="B18" s="108">
        <f>Gasoline!H17</f>
        <v>965.18569738783867</v>
      </c>
      <c r="C18" s="108">
        <f>Ethanol!M31</f>
        <v>1129.4065578276131</v>
      </c>
      <c r="D18" s="109">
        <f t="shared" si="7"/>
        <v>-0.17014431614995837</v>
      </c>
      <c r="E18" s="110">
        <f t="shared" si="4"/>
        <v>7724.8289145504859</v>
      </c>
      <c r="F18" s="110">
        <f t="shared" si="5"/>
        <v>12282.784242064658</v>
      </c>
      <c r="G18" s="109">
        <f t="shared" si="8"/>
        <v>-0.59003964721196711</v>
      </c>
      <c r="H18" s="110">
        <f>NPV(DiscountRate,B$5:B18)</f>
        <v>6139.0819710872647</v>
      </c>
      <c r="I18" s="110">
        <f>NPV(DiscountRate,C$5:C18)</f>
        <v>10052.73829750022</v>
      </c>
      <c r="J18" s="109">
        <f t="shared" si="9"/>
        <v>-0.63749862680524294</v>
      </c>
      <c r="K18" s="121"/>
    </row>
    <row r="19" spans="1:11">
      <c r="A19" s="114">
        <f t="shared" si="6"/>
        <v>2024</v>
      </c>
      <c r="B19" s="108">
        <f>Gasoline!H18</f>
        <v>1022.9492540103648</v>
      </c>
      <c r="C19" s="108">
        <f>Ethanol!M32</f>
        <v>1163.6452455593965</v>
      </c>
      <c r="D19" s="109">
        <f t="shared" si="7"/>
        <v>-0.1375395612220722</v>
      </c>
      <c r="E19" s="110">
        <f t="shared" si="4"/>
        <v>8747.7781685608516</v>
      </c>
      <c r="F19" s="110">
        <f t="shared" si="5"/>
        <v>13446.429487624055</v>
      </c>
      <c r="G19" s="109">
        <f t="shared" si="8"/>
        <v>-0.53712511091673076</v>
      </c>
      <c r="H19" s="110">
        <f>NPV(DiscountRate,B$5:B19)</f>
        <v>6845.3931973755571</v>
      </c>
      <c r="I19" s="110">
        <f>NPV(DiscountRate,C$5:C19)</f>
        <v>10856.195259938428</v>
      </c>
      <c r="J19" s="109">
        <f t="shared" si="9"/>
        <v>-0.5859125906895406</v>
      </c>
      <c r="K19" s="121"/>
    </row>
    <row r="20" spans="1:11">
      <c r="A20" s="114">
        <f t="shared" si="6"/>
        <v>2025</v>
      </c>
      <c r="B20" s="108">
        <f>Gasoline!H19</f>
        <v>1079.7989541242976</v>
      </c>
      <c r="C20" s="108">
        <f>Ethanol!M33</f>
        <v>1197.5683981213674</v>
      </c>
      <c r="D20" s="109">
        <f t="shared" si="7"/>
        <v>-0.10906608452179813</v>
      </c>
      <c r="E20" s="110">
        <f t="shared" si="4"/>
        <v>9827.5771226851484</v>
      </c>
      <c r="F20" s="110">
        <f t="shared" si="5"/>
        <v>14643.997885745423</v>
      </c>
      <c r="G20" s="109">
        <f t="shared" si="8"/>
        <v>-0.49009239031484736</v>
      </c>
      <c r="H20" s="110">
        <f>NPV(DiscountRate,B$5:B20)</f>
        <v>7572.7726960424716</v>
      </c>
      <c r="I20" s="110">
        <f>NPV(DiscountRate,C$5:C20)</f>
        <v>11662.907192486373</v>
      </c>
      <c r="J20" s="109">
        <f t="shared" si="9"/>
        <v>-0.5401105593175145</v>
      </c>
      <c r="K20" s="121"/>
    </row>
    <row r="21" spans="1:11">
      <c r="A21" s="114">
        <f t="shared" si="6"/>
        <v>2026</v>
      </c>
      <c r="B21" s="108">
        <f>Gasoline!H20</f>
        <v>1135.7768342808895</v>
      </c>
      <c r="C21" s="108">
        <f>Ethanol!M34</f>
        <v>1231.1868774085819</v>
      </c>
      <c r="D21" s="109">
        <f t="shared" si="7"/>
        <v>-8.4004216539687371E-2</v>
      </c>
      <c r="E21" s="110">
        <f t="shared" si="4"/>
        <v>10963.353956966039</v>
      </c>
      <c r="F21" s="110">
        <f t="shared" si="5"/>
        <v>15875.184763154004</v>
      </c>
      <c r="G21" s="109">
        <f t="shared" si="8"/>
        <v>-0.44802264211008369</v>
      </c>
      <c r="H21" s="110">
        <f>NPV(DiscountRate,B$5:B21)</f>
        <v>8319.1996174716933</v>
      </c>
      <c r="I21" s="110">
        <f>NPV(DiscountRate,C$5:C21)</f>
        <v>12472.037122654385</v>
      </c>
      <c r="J21" s="109">
        <f t="shared" si="9"/>
        <v>-0.49918714493411687</v>
      </c>
      <c r="K21" s="121"/>
    </row>
    <row r="22" spans="1:11">
      <c r="A22" s="114">
        <f t="shared" si="6"/>
        <v>2027</v>
      </c>
      <c r="B22" s="108">
        <f>Gasoline!H21</f>
        <v>1190.9227333141882</v>
      </c>
      <c r="C22" s="108">
        <f>Ethanol!M35</f>
        <v>1264.5119274681058</v>
      </c>
      <c r="D22" s="109">
        <f t="shared" si="7"/>
        <v>-6.1791745253806755E-2</v>
      </c>
      <c r="E22" s="110">
        <f t="shared" si="4"/>
        <v>12154.276690280227</v>
      </c>
      <c r="F22" s="110">
        <f t="shared" si="5"/>
        <v>17139.69669062211</v>
      </c>
      <c r="G22" s="109">
        <f t="shared" si="8"/>
        <v>-0.41017825473141667</v>
      </c>
      <c r="H22" s="110">
        <f>NPV(DiscountRate,B$5:B22)</f>
        <v>9082.778674732026</v>
      </c>
      <c r="I22" s="110">
        <f>NPV(DiscountRate,C$5:C22)</f>
        <v>13282.79906250209</v>
      </c>
      <c r="J22" s="109">
        <f t="shared" si="9"/>
        <v>-0.46241580227583601</v>
      </c>
      <c r="K22" s="121"/>
    </row>
    <row r="23" spans="1:11">
      <c r="A23" s="114">
        <f t="shared" si="6"/>
        <v>2028</v>
      </c>
      <c r="B23" s="108">
        <f>Gasoline!H22</f>
        <v>1245.2744202071108</v>
      </c>
      <c r="C23" s="108">
        <f>Ethanol!M36</f>
        <v>1297.5546246284994</v>
      </c>
      <c r="D23" s="109">
        <f t="shared" si="7"/>
        <v>-4.1982878290147067E-2</v>
      </c>
      <c r="E23" s="110">
        <f t="shared" si="4"/>
        <v>13399.551110487337</v>
      </c>
      <c r="F23" s="110">
        <f t="shared" si="5"/>
        <v>18437.251315250607</v>
      </c>
      <c r="G23" s="109">
        <f t="shared" si="8"/>
        <v>-0.375960370853054</v>
      </c>
      <c r="H23" s="110">
        <f>NPV(DiscountRate,B$5:B23)</f>
        <v>9861.7323391332466</v>
      </c>
      <c r="I23" s="110">
        <f>NPV(DiscountRate,C$5:C23)</f>
        <v>14094.455443789531</v>
      </c>
      <c r="J23" s="109">
        <f t="shared" si="9"/>
        <v>-0.42920685322801017</v>
      </c>
      <c r="K23" s="121"/>
    </row>
    <row r="24" spans="1:11">
      <c r="A24" s="114">
        <f t="shared" si="6"/>
        <v>2029</v>
      </c>
      <c r="B24" s="108">
        <f>Gasoline!H23</f>
        <v>1298.8677081209471</v>
      </c>
      <c r="C24" s="108">
        <f>Ethanol!M37</f>
        <v>1330.325658258997</v>
      </c>
      <c r="D24" s="109">
        <f t="shared" si="7"/>
        <v>-2.4219518232199078E-2</v>
      </c>
      <c r="E24" s="110">
        <f t="shared" si="4"/>
        <v>14698.418818608283</v>
      </c>
      <c r="F24" s="110">
        <f t="shared" si="5"/>
        <v>19767.576973509604</v>
      </c>
      <c r="G24" s="109">
        <f t="shared" si="8"/>
        <v>-0.34487778702316862</v>
      </c>
      <c r="H24" s="110">
        <f>NPV(DiscountRate,B$5:B24)</f>
        <v>10654.393560017106</v>
      </c>
      <c r="I24" s="110">
        <f>NPV(DiscountRate,C$5:C24)</f>
        <v>14906.314537564545</v>
      </c>
      <c r="J24" s="109">
        <f t="shared" si="9"/>
        <v>-0.39907677087353738</v>
      </c>
      <c r="K24" s="121"/>
    </row>
    <row r="25" spans="1:11">
      <c r="A25" s="114">
        <f t="shared" si="6"/>
        <v>2030</v>
      </c>
      <c r="B25" s="108">
        <f>Gasoline!H24</f>
        <v>1351.7365593679781</v>
      </c>
      <c r="C25" s="108">
        <f>Ethanol!M38</f>
        <v>1362.835252898951</v>
      </c>
      <c r="D25" s="109">
        <f t="shared" si="7"/>
        <v>-8.2106927226724274E-3</v>
      </c>
      <c r="E25" s="110">
        <f t="shared" si="4"/>
        <v>16050.155377976262</v>
      </c>
      <c r="F25" s="110">
        <f t="shared" si="5"/>
        <v>21130.412226408556</v>
      </c>
      <c r="G25" s="109">
        <f t="shared" si="8"/>
        <v>-0.31652384221795965</v>
      </c>
      <c r="H25" s="110">
        <f>NPV(DiscountRate,B$5:B25)</f>
        <v>11459.19896936564</v>
      </c>
      <c r="I25" s="110">
        <f>NPV(DiscountRate,C$5:C25)</f>
        <v>15717.727956830786</v>
      </c>
      <c r="J25" s="109">
        <f t="shared" si="9"/>
        <v>-0.37162536394120144</v>
      </c>
      <c r="K25" s="121"/>
    </row>
    <row r="26" spans="1:11">
      <c r="A26" s="114">
        <f t="shared" si="6"/>
        <v>2031</v>
      </c>
      <c r="B26" s="108">
        <f>Gasoline!H25</f>
        <v>1403.913183547269</v>
      </c>
      <c r="C26" s="108">
        <f>Ethanol!M39</f>
        <v>1395.0931503589352</v>
      </c>
      <c r="D26" s="109">
        <f t="shared" si="7"/>
        <v>6.2824633970942718E-3</v>
      </c>
      <c r="E26" s="110">
        <f t="shared" si="4"/>
        <v>17454.068561523531</v>
      </c>
      <c r="F26" s="110">
        <f t="shared" si="5"/>
        <v>22525.505376767491</v>
      </c>
      <c r="G26" s="109">
        <f t="shared" si="8"/>
        <v>-0.29055900619203734</v>
      </c>
      <c r="H26" s="110">
        <f>NPV(DiscountRate,B$5:B26)</f>
        <v>12274.682536019141</v>
      </c>
      <c r="I26" s="110">
        <f>NPV(DiscountRate,C$5:C26)</f>
        <v>16528.088277825856</v>
      </c>
      <c r="J26" s="109">
        <f t="shared" si="9"/>
        <v>-0.34651859462152385</v>
      </c>
      <c r="K26" s="121"/>
    </row>
    <row r="27" spans="1:11">
      <c r="A27" s="114">
        <f t="shared" si="6"/>
        <v>2032</v>
      </c>
      <c r="B27" s="108">
        <f>Gasoline!H26</f>
        <v>1455.4281299536076</v>
      </c>
      <c r="C27" s="108">
        <f>Ethanol!M40</f>
        <v>1427.1086168096638</v>
      </c>
      <c r="D27" s="109">
        <f t="shared" si="7"/>
        <v>1.9457857493002089E-2</v>
      </c>
      <c r="E27" s="110">
        <f t="shared" si="4"/>
        <v>18909.496691477139</v>
      </c>
      <c r="F27" s="110">
        <f t="shared" si="5"/>
        <v>23952.613993577153</v>
      </c>
      <c r="G27" s="109">
        <f t="shared" si="8"/>
        <v>-0.26669759562522044</v>
      </c>
      <c r="H27" s="110">
        <f>NPV(DiscountRate,B$5:B27)</f>
        <v>13099.469637429793</v>
      </c>
      <c r="I27" s="110">
        <f>NPV(DiscountRate,C$5:C27)</f>
        <v>17336.826789355189</v>
      </c>
      <c r="J27" s="109">
        <f t="shared" si="9"/>
        <v>-0.3234754741381114</v>
      </c>
      <c r="K27" s="121"/>
    </row>
    <row r="28" spans="1:11">
      <c r="A28" s="114">
        <f t="shared" si="6"/>
        <v>2033</v>
      </c>
      <c r="B28" s="108">
        <f>Gasoline!H27</f>
        <v>1506.3103748836977</v>
      </c>
      <c r="C28" s="108">
        <f>Ethanol!M41</f>
        <v>1458.8904598467955</v>
      </c>
      <c r="D28" s="109">
        <f t="shared" si="7"/>
        <v>3.1480839425648603E-2</v>
      </c>
      <c r="E28" s="110">
        <f t="shared" si="4"/>
        <v>20415.807066360838</v>
      </c>
      <c r="F28" s="110">
        <f t="shared" si="5"/>
        <v>25411.50445342395</v>
      </c>
      <c r="G28" s="109">
        <f t="shared" si="8"/>
        <v>-0.2446975214266465</v>
      </c>
      <c r="H28" s="110">
        <f>NPV(DiscountRate,B$5:B28)</f>
        <v>13932.27151945693</v>
      </c>
      <c r="I28" s="110">
        <f>NPV(DiscountRate,C$5:C28)</f>
        <v>18143.41136906085</v>
      </c>
      <c r="J28" s="109">
        <f t="shared" si="9"/>
        <v>-0.30225795152806978</v>
      </c>
      <c r="K28" s="121"/>
    </row>
    <row r="29" spans="1:11">
      <c r="A29" s="114">
        <f t="shared" si="6"/>
        <v>2034</v>
      </c>
      <c r="B29" s="108">
        <f>Gasoline!H28</f>
        <v>1556.5874042469347</v>
      </c>
      <c r="C29" s="108">
        <f>Ethanol!M42</f>
        <v>1490.4470491122042</v>
      </c>
      <c r="D29" s="109">
        <f t="shared" si="7"/>
        <v>4.2490614374930465E-2</v>
      </c>
      <c r="E29" s="110">
        <f t="shared" si="4"/>
        <v>21972.394470607771</v>
      </c>
      <c r="F29" s="110">
        <f t="shared" si="5"/>
        <v>26901.951502536154</v>
      </c>
      <c r="G29" s="109">
        <f t="shared" si="8"/>
        <v>-0.2243522907129033</v>
      </c>
      <c r="H29" s="110">
        <f>NPV(DiscountRate,B$5:B29)</f>
        <v>14771.88011696301</v>
      </c>
      <c r="I29" s="110">
        <f>NPV(DiscountRate,C$5:C29)</f>
        <v>18947.344481424421</v>
      </c>
      <c r="J29" s="109">
        <f t="shared" si="9"/>
        <v>-0.28266302809123101</v>
      </c>
      <c r="K29" s="121"/>
    </row>
    <row r="30" spans="1:11">
      <c r="A30" s="114">
        <f t="shared" si="6"/>
        <v>2035</v>
      </c>
      <c r="B30" s="108">
        <f>Gasoline!H29</f>
        <v>1512.2852917875098</v>
      </c>
      <c r="C30" s="108">
        <f>Ethanol!M43</f>
        <v>1441.2918716887666</v>
      </c>
      <c r="D30" s="109">
        <f t="shared" si="7"/>
        <v>4.6944462453132427E-2</v>
      </c>
      <c r="E30" s="110">
        <f t="shared" si="4"/>
        <v>23484.679762395281</v>
      </c>
      <c r="F30" s="110">
        <f t="shared" si="5"/>
        <v>28343.24337422492</v>
      </c>
      <c r="G30" s="109">
        <f t="shared" si="8"/>
        <v>-0.20688225945534877</v>
      </c>
      <c r="H30" s="110">
        <f>NPV(DiscountRate,B$5:B30)</f>
        <v>15567.697146185195</v>
      </c>
      <c r="I30" s="110">
        <f>NPV(DiscountRate,C$5:C30)</f>
        <v>19705.802307998725</v>
      </c>
      <c r="J30" s="109">
        <f t="shared" si="9"/>
        <v>-0.26581357043084286</v>
      </c>
      <c r="K30" s="121"/>
    </row>
    <row r="31" spans="1:11">
      <c r="A31" s="114">
        <f t="shared" si="6"/>
        <v>2036</v>
      </c>
      <c r="B31" s="108">
        <f>Gasoline!H30</f>
        <v>1479.1999766304973</v>
      </c>
      <c r="C31" s="108">
        <f>Ethanol!M44</f>
        <v>1402.0069167169013</v>
      </c>
      <c r="D31" s="109">
        <f t="shared" si="7"/>
        <v>5.2185682215487736E-2</v>
      </c>
      <c r="E31" s="110">
        <f t="shared" si="4"/>
        <v>24963.879739025779</v>
      </c>
      <c r="F31" s="110">
        <f t="shared" si="5"/>
        <v>29745.250290941822</v>
      </c>
      <c r="G31" s="109">
        <f t="shared" si="8"/>
        <v>-0.19153154885782336</v>
      </c>
      <c r="H31" s="110">
        <f>NPV(DiscountRate,B$5:B31)</f>
        <v>16327.118012153629</v>
      </c>
      <c r="I31" s="110">
        <f>NPV(DiscountRate,C$5:C31)</f>
        <v>20425.592277987918</v>
      </c>
      <c r="J31" s="109">
        <f t="shared" si="9"/>
        <v>-0.25102251743286569</v>
      </c>
      <c r="K31" s="121"/>
    </row>
    <row r="32" spans="1:11">
      <c r="A32" s="114">
        <f t="shared" si="6"/>
        <v>2037</v>
      </c>
      <c r="B32" s="108">
        <f>Gasoline!H31</f>
        <v>1451.5925434204185</v>
      </c>
      <c r="C32" s="108">
        <f>Ethanol!M45</f>
        <v>1369.7870194539162</v>
      </c>
      <c r="D32" s="109">
        <f t="shared" si="7"/>
        <v>5.635570693532372E-2</v>
      </c>
      <c r="E32" s="110">
        <f t="shared" si="4"/>
        <v>26415.472282446197</v>
      </c>
      <c r="F32" s="110">
        <f t="shared" si="5"/>
        <v>31115.037310395739</v>
      </c>
      <c r="G32" s="109">
        <f t="shared" si="8"/>
        <v>-0.17790955912881903</v>
      </c>
      <c r="H32" s="110">
        <f>NPV(DiscountRate,B$5:B32)</f>
        <v>17054.188468018838</v>
      </c>
      <c r="I32" s="110">
        <f>NPV(DiscountRate,C$5:C32)</f>
        <v>21111.688164321058</v>
      </c>
      <c r="J32" s="109">
        <f t="shared" si="9"/>
        <v>-0.23791807531100745</v>
      </c>
      <c r="K32" s="121"/>
    </row>
    <row r="33" spans="1:11">
      <c r="A33" s="114">
        <f t="shared" si="6"/>
        <v>2038</v>
      </c>
      <c r="B33" s="108">
        <f>Gasoline!H32</f>
        <v>1426.9595567558843</v>
      </c>
      <c r="C33" s="108">
        <f>Ethanol!M46</f>
        <v>1339.4251838660464</v>
      </c>
      <c r="D33" s="109">
        <f t="shared" si="7"/>
        <v>6.134327527042361E-2</v>
      </c>
      <c r="E33" s="110">
        <f t="shared" si="4"/>
        <v>27842.43183920208</v>
      </c>
      <c r="F33" s="110">
        <f t="shared" si="5"/>
        <v>32454.462494261785</v>
      </c>
      <c r="G33" s="109">
        <f t="shared" si="8"/>
        <v>-0.16564755125182623</v>
      </c>
      <c r="H33" s="110">
        <f>NPV(DiscountRate,B$5:B33)</f>
        <v>17751.488312019599</v>
      </c>
      <c r="I33" s="110">
        <f>NPV(DiscountRate,C$5:C33)</f>
        <v>21766.213352045255</v>
      </c>
      <c r="J33" s="109">
        <f t="shared" si="9"/>
        <v>-0.22616272897564713</v>
      </c>
      <c r="K33" s="121"/>
    </row>
    <row r="34" spans="1:11">
      <c r="A34" s="114">
        <f t="shared" si="6"/>
        <v>2039</v>
      </c>
      <c r="B34" s="108">
        <f>Gasoline!H33</f>
        <v>1404.1917216143067</v>
      </c>
      <c r="C34" s="108">
        <f>Ethanol!M47</f>
        <v>1310.2090419538167</v>
      </c>
      <c r="D34" s="109">
        <f t="shared" si="7"/>
        <v>6.6930090965387781E-2</v>
      </c>
      <c r="E34" s="110">
        <f t="shared" si="4"/>
        <v>29246.623560816388</v>
      </c>
      <c r="F34" s="110">
        <f t="shared" si="5"/>
        <v>33764.671536215603</v>
      </c>
      <c r="G34" s="109">
        <f t="shared" si="8"/>
        <v>-0.15448101097907038</v>
      </c>
      <c r="H34" s="110">
        <f>NPV(DiscountRate,B$5:B34)</f>
        <v>18420.926443890894</v>
      </c>
      <c r="I34" s="110">
        <f>NPV(DiscountRate,C$5:C34)</f>
        <v>22390.845928854706</v>
      </c>
      <c r="J34" s="109">
        <f t="shared" si="9"/>
        <v>-0.21551139119174939</v>
      </c>
      <c r="K34" s="121"/>
    </row>
    <row r="35" spans="1:11">
      <c r="A35" s="114">
        <f t="shared" si="6"/>
        <v>2040</v>
      </c>
      <c r="B35" s="108">
        <f>Gasoline!H34</f>
        <v>1382.7813807410794</v>
      </c>
      <c r="C35" s="108">
        <f>Ethanol!M48</f>
        <v>1282.0800914365459</v>
      </c>
      <c r="D35" s="109">
        <f t="shared" si="7"/>
        <v>7.2825170129615313E-2</v>
      </c>
      <c r="E35" s="110">
        <f t="shared" si="4"/>
        <v>30629.404941557466</v>
      </c>
      <c r="F35" s="110">
        <f t="shared" si="5"/>
        <v>35046.751627652149</v>
      </c>
      <c r="G35" s="109">
        <f t="shared" si="8"/>
        <v>-0.14421914805472766</v>
      </c>
      <c r="H35" s="110">
        <f>NPV(DiscountRate,B$5:B35)</f>
        <v>19064.078549717968</v>
      </c>
      <c r="I35" s="110">
        <f>NPV(DiscountRate,C$5:C35)</f>
        <v>22987.160373155704</v>
      </c>
      <c r="J35" s="109">
        <f t="shared" si="9"/>
        <v>-0.20578397288946201</v>
      </c>
      <c r="K35" s="121"/>
    </row>
    <row r="36" spans="1:11">
      <c r="A36" s="114">
        <f t="shared" si="6"/>
        <v>2041</v>
      </c>
      <c r="B36" s="108">
        <f>Gasoline!H35</f>
        <v>1362.4813776619408</v>
      </c>
      <c r="C36" s="108">
        <f>Ethanol!M49</f>
        <v>1254.9828966523307</v>
      </c>
      <c r="D36" s="109">
        <f t="shared" si="7"/>
        <v>7.8899046087573449E-2</v>
      </c>
      <c r="E36" s="110">
        <f t="shared" si="4"/>
        <v>31991.886319219408</v>
      </c>
      <c r="F36" s="110">
        <f t="shared" si="5"/>
        <v>36301.734524304477</v>
      </c>
      <c r="G36" s="109">
        <f t="shared" si="8"/>
        <v>-0.13471691422258805</v>
      </c>
      <c r="H36" s="110">
        <f>NPV(DiscountRate,B$5:B36)</f>
        <v>19682.332475234325</v>
      </c>
      <c r="I36" s="110">
        <f>NPV(DiscountRate,C$5:C36)</f>
        <v>23556.634653708923</v>
      </c>
      <c r="J36" s="109">
        <f t="shared" si="9"/>
        <v>-0.19684161840826098</v>
      </c>
      <c r="K36" s="121"/>
    </row>
    <row r="37" spans="1:11">
      <c r="A37" s="114">
        <f t="shared" si="6"/>
        <v>2042</v>
      </c>
      <c r="B37" s="108">
        <f>Gasoline!H36</f>
        <v>1343.1581668361628</v>
      </c>
      <c r="C37" s="108">
        <f>Ethanol!M50</f>
        <v>1228.8649273384024</v>
      </c>
      <c r="D37" s="109">
        <f t="shared" si="7"/>
        <v>8.5092911854886391E-2</v>
      </c>
      <c r="E37" s="110">
        <f t="shared" si="4"/>
        <v>33335.044486055573</v>
      </c>
      <c r="F37" s="110">
        <f t="shared" si="5"/>
        <v>37530.599451642876</v>
      </c>
      <c r="G37" s="109">
        <f t="shared" si="8"/>
        <v>-0.12586018798752022</v>
      </c>
      <c r="H37" s="110">
        <f>NPV(DiscountRate,B$5:B37)</f>
        <v>20276.952593763282</v>
      </c>
      <c r="I37" s="110">
        <f>NPV(DiscountRate,C$5:C37)</f>
        <v>24100.656814904756</v>
      </c>
      <c r="J37" s="109">
        <f t="shared" si="9"/>
        <v>-0.18857390939097801</v>
      </c>
      <c r="K37" s="121"/>
    </row>
    <row r="38" spans="1:11">
      <c r="A38" s="114">
        <f t="shared" si="6"/>
        <v>2043</v>
      </c>
      <c r="B38" s="108">
        <f>Gasoline!H37</f>
        <v>1324.7285213026773</v>
      </c>
      <c r="C38" s="108">
        <f>Ethanol!M51</f>
        <v>1203.6764058899203</v>
      </c>
      <c r="D38" s="109">
        <f t="shared" si="7"/>
        <v>9.1378809670165456E-2</v>
      </c>
      <c r="E38" s="110">
        <f t="shared" si="4"/>
        <v>34659.77300735825</v>
      </c>
      <c r="F38" s="110">
        <f t="shared" si="5"/>
        <v>38734.275857532797</v>
      </c>
      <c r="G38" s="109">
        <f t="shared" si="8"/>
        <v>-0.11755711294789879</v>
      </c>
      <c r="H38" s="110">
        <f>NPV(DiscountRate,B$5:B38)</f>
        <v>20849.109920195719</v>
      </c>
      <c r="I38" s="110">
        <f>NPV(DiscountRate,C$5:C38)</f>
        <v>24620.531085903731</v>
      </c>
      <c r="J38" s="109">
        <f t="shared" si="9"/>
        <v>-0.18089123133524199</v>
      </c>
      <c r="K38" s="121"/>
    </row>
    <row r="39" spans="1:11">
      <c r="A39" s="114">
        <f t="shared" si="6"/>
        <v>2044</v>
      </c>
      <c r="B39" s="108">
        <f>Gasoline!H38</f>
        <v>1307.1322201725811</v>
      </c>
      <c r="C39" s="108">
        <f>Ethanol!M52</f>
        <v>1179.3701626513107</v>
      </c>
      <c r="D39" s="109">
        <f t="shared" si="7"/>
        <v>9.7742260155137151E-2</v>
      </c>
      <c r="E39" s="110">
        <f t="shared" si="4"/>
        <v>35966.905227530828</v>
      </c>
      <c r="F39" s="110">
        <f t="shared" si="5"/>
        <v>39913.646020184111</v>
      </c>
      <c r="G39" s="109">
        <f t="shared" si="8"/>
        <v>-0.10973256574858865</v>
      </c>
      <c r="H39" s="110">
        <f>NPV(DiscountRate,B$5:B39)</f>
        <v>21399.897617714301</v>
      </c>
      <c r="I39" s="110">
        <f>NPV(DiscountRate,C$5:C39)</f>
        <v>25117.483549001205</v>
      </c>
      <c r="J39" s="109">
        <f t="shared" si="9"/>
        <v>-0.17371979986528432</v>
      </c>
      <c r="K39" s="121"/>
    </row>
    <row r="40" spans="1:11">
      <c r="A40" s="114">
        <f t="shared" si="6"/>
        <v>2045</v>
      </c>
      <c r="B40" s="108">
        <f>Gasoline!H39</f>
        <v>1290.3202237790931</v>
      </c>
      <c r="C40" s="108">
        <f>Ethanol!M53</f>
        <v>1155.9014988177107</v>
      </c>
      <c r="D40" s="109">
        <f t="shared" si="7"/>
        <v>0.10417470212758233</v>
      </c>
      <c r="E40" s="110">
        <f t="shared" si="4"/>
        <v>37257.225451309918</v>
      </c>
      <c r="F40" s="110">
        <f t="shared" si="5"/>
        <v>41069.547519001819</v>
      </c>
      <c r="G40" s="109">
        <f t="shared" si="8"/>
        <v>-0.10232436853554977</v>
      </c>
      <c r="H40" s="110">
        <f>NPV(DiscountRate,B$5:B40)</f>
        <v>21930.340162758417</v>
      </c>
      <c r="I40" s="110">
        <f>NPV(DiscountRate,C$5:C40)</f>
        <v>25592.667399919552</v>
      </c>
      <c r="J40" s="109">
        <f t="shared" si="9"/>
        <v>-0.16699819564953269</v>
      </c>
      <c r="K40" s="121"/>
    </row>
    <row r="41" spans="1:11">
      <c r="A41" s="114">
        <f t="shared" si="6"/>
        <v>2046</v>
      </c>
      <c r="B41" s="108">
        <f>Gasoline!H40</f>
        <v>1274.2495175863041</v>
      </c>
      <c r="C41" s="108">
        <f>Ethanol!M54</f>
        <v>1133.228056546292</v>
      </c>
      <c r="D41" s="109">
        <f t="shared" si="7"/>
        <v>0.11067020947917355</v>
      </c>
      <c r="E41" s="110">
        <f t="shared" si="4"/>
        <v>38531.474968896218</v>
      </c>
      <c r="F41" s="110">
        <f t="shared" si="5"/>
        <v>42202.775575548112</v>
      </c>
      <c r="G41" s="109">
        <f t="shared" si="8"/>
        <v>-9.5280562439290978E-2</v>
      </c>
      <c r="H41" s="110">
        <f>NPV(DiscountRate,B$5:B41)</f>
        <v>22441.399654074754</v>
      </c>
      <c r="I41" s="110">
        <f>NPV(DiscountRate,C$5:C41)</f>
        <v>26047.16783027559</v>
      </c>
      <c r="J41" s="109">
        <f t="shared" si="9"/>
        <v>-0.16067483453716425</v>
      </c>
      <c r="K41" s="121"/>
    </row>
    <row r="42" spans="1:11">
      <c r="A42" s="114">
        <f t="shared" si="6"/>
        <v>2047</v>
      </c>
      <c r="B42" s="108">
        <f>Gasoline!H41</f>
        <v>1258.8808294997509</v>
      </c>
      <c r="C42" s="108">
        <f>Ethanol!M55</f>
        <v>1111.3096958982876</v>
      </c>
      <c r="D42" s="109">
        <f t="shared" si="7"/>
        <v>0.1172240693029733</v>
      </c>
      <c r="E42" s="110">
        <f t="shared" si="4"/>
        <v>39790.355798395969</v>
      </c>
      <c r="F42" s="110">
        <f t="shared" si="5"/>
        <v>43314.085271446398</v>
      </c>
      <c r="G42" s="109">
        <f t="shared" si="8"/>
        <v>-8.8557375332453753E-2</v>
      </c>
      <c r="H42" s="110">
        <f>NPV(DiscountRate,B$5:B42)</f>
        <v>22933.980743798955</v>
      </c>
      <c r="I42" s="110">
        <f>NPV(DiscountRate,C$5:C42)</f>
        <v>26482.006560200625</v>
      </c>
      <c r="J42" s="109">
        <f t="shared" si="9"/>
        <v>-0.1547060606720449</v>
      </c>
      <c r="K42" s="121"/>
    </row>
    <row r="43" spans="1:11">
      <c r="A43" s="114">
        <f t="shared" si="6"/>
        <v>2048</v>
      </c>
      <c r="B43" s="108">
        <f>Gasoline!H42</f>
        <v>1244.1775870833594</v>
      </c>
      <c r="C43" s="108">
        <f>Ethanol!M56</f>
        <v>1090.1083782524909</v>
      </c>
      <c r="D43" s="109">
        <f t="shared" si="7"/>
        <v>0.1238321686794266</v>
      </c>
      <c r="E43" s="110">
        <f t="shared" si="4"/>
        <v>41034.533385479328</v>
      </c>
      <c r="F43" s="110">
        <f t="shared" si="5"/>
        <v>44404.193649698886</v>
      </c>
      <c r="G43" s="109">
        <f t="shared" si="8"/>
        <v>-8.2117669831039464E-2</v>
      </c>
      <c r="H43" s="110">
        <f>NPV(DiscountRate,B$5:B43)</f>
        <v>23408.934824415948</v>
      </c>
      <c r="I43" s="110">
        <f>NPV(DiscountRate,C$5:C43)</f>
        <v>26898.146046991675</v>
      </c>
      <c r="J43" s="109">
        <f t="shared" si="9"/>
        <v>-0.14905467714560061</v>
      </c>
      <c r="K43" s="121"/>
    </row>
    <row r="44" spans="1:11">
      <c r="A44" s="114">
        <f t="shared" si="6"/>
        <v>2049</v>
      </c>
      <c r="B44" s="108">
        <f>Gasoline!H43</f>
        <v>1230.1054115412976</v>
      </c>
      <c r="C44" s="108">
        <f>Ethanol!M57</f>
        <v>1069.5880558498791</v>
      </c>
      <c r="D44" s="109">
        <f t="shared" si="7"/>
        <v>0.13049073208310941</v>
      </c>
      <c r="E44" s="110">
        <f t="shared" si="4"/>
        <v>42264.638797020627</v>
      </c>
      <c r="F44" s="110">
        <f t="shared" si="5"/>
        <v>45473.781705548761</v>
      </c>
      <c r="G44" s="109">
        <f t="shared" si="8"/>
        <v>-7.592973700639688E-2</v>
      </c>
      <c r="H44" s="110">
        <f>NPV(DiscountRate,B$5:B44)</f>
        <v>23867.063750050322</v>
      </c>
      <c r="I44" s="110">
        <f>NPV(DiscountRate,C$5:C44)</f>
        <v>27296.493393731569</v>
      </c>
      <c r="J44" s="109">
        <f t="shared" si="9"/>
        <v>-0.14368879555508862</v>
      </c>
      <c r="K44" s="121"/>
    </row>
    <row r="45" spans="1:11">
      <c r="A45" s="114">
        <f t="shared" si="6"/>
        <v>2050</v>
      </c>
      <c r="B45" s="108">
        <f>Gasoline!H44</f>
        <v>1216.6318457048335</v>
      </c>
      <c r="C45" s="108">
        <f>Ethanol!M58</f>
        <v>1049.7145671469223</v>
      </c>
      <c r="D45" s="109">
        <f t="shared" si="7"/>
        <v>0.13719621029746329</v>
      </c>
      <c r="E45" s="110">
        <f t="shared" si="4"/>
        <v>43481.27064272546</v>
      </c>
      <c r="F45" s="110">
        <f t="shared" si="5"/>
        <v>46523.49627269568</v>
      </c>
      <c r="G45" s="109">
        <f t="shared" si="8"/>
        <v>-6.996634608421208E-2</v>
      </c>
      <c r="H45" s="110">
        <f>NPV(DiscountRate,B$5:B45)</f>
        <v>24309.123220398094</v>
      </c>
      <c r="I45" s="110">
        <f>NPV(DiscountRate,C$5:C45)</f>
        <v>27677.903980021525</v>
      </c>
      <c r="J45" s="109">
        <f t="shared" si="9"/>
        <v>-0.1385809240868319</v>
      </c>
      <c r="K45" s="121"/>
    </row>
    <row r="46" spans="1:11">
      <c r="A46" s="114">
        <f t="shared" si="6"/>
        <v>2051</v>
      </c>
      <c r="B46" s="108">
        <f>Gasoline!H45</f>
        <v>1203.7261855749177</v>
      </c>
      <c r="C46" s="108">
        <f>Ethanol!M59</f>
        <v>1030.4555376720921</v>
      </c>
      <c r="D46" s="109">
        <f t="shared" si="7"/>
        <v>0.14394523437244075</v>
      </c>
      <c r="E46" s="110">
        <f t="shared" si="4"/>
        <v>44684.996828300376</v>
      </c>
      <c r="F46" s="110">
        <f t="shared" si="5"/>
        <v>47553.951810367769</v>
      </c>
      <c r="G46" s="109">
        <f t="shared" si="8"/>
        <v>-6.4203987595460588E-2</v>
      </c>
      <c r="H46" s="110">
        <f>NPV(DiscountRate,B$5:B46)</f>
        <v>24735.825891717592</v>
      </c>
      <c r="I46" s="110">
        <f>NPV(DiscountRate,C$5:C46)</f>
        <v>28043.184835310589</v>
      </c>
      <c r="J46" s="109">
        <f t="shared" si="9"/>
        <v>-0.13370723735165096</v>
      </c>
      <c r="K46" s="121"/>
    </row>
    <row r="47" spans="1:11">
      <c r="A47" s="114">
        <f t="shared" si="6"/>
        <v>2052</v>
      </c>
      <c r="B47" s="108">
        <f>Gasoline!H46</f>
        <v>1191.3593591323634</v>
      </c>
      <c r="C47" s="108">
        <f>Ethanol!M60</f>
        <v>1011.7802860961499</v>
      </c>
      <c r="D47" s="109">
        <f t="shared" si="7"/>
        <v>0.15073459713028681</v>
      </c>
      <c r="E47" s="110">
        <f t="shared" si="4"/>
        <v>45876.356187432742</v>
      </c>
      <c r="F47" s="110">
        <f t="shared" si="5"/>
        <v>48565.732096463922</v>
      </c>
      <c r="G47" s="109">
        <f t="shared" si="8"/>
        <v>-5.8622264986422368E-2</v>
      </c>
      <c r="H47" s="110">
        <f>NPV(DiscountRate,B$5:B47)</f>
        <v>25147.844251678602</v>
      </c>
      <c r="I47" s="110">
        <f>NPV(DiscountRate,C$5:C47)</f>
        <v>28393.097773772595</v>
      </c>
      <c r="J47" s="109">
        <f t="shared" si="9"/>
        <v>-0.12904698667669595</v>
      </c>
      <c r="K47" s="121"/>
    </row>
    <row r="48" spans="1:11">
      <c r="A48" s="114">
        <f t="shared" si="6"/>
        <v>2053</v>
      </c>
      <c r="B48" s="108">
        <f>Gasoline!H47</f>
        <v>1179.503828050216</v>
      </c>
      <c r="C48" s="108">
        <f>Ethanol!M61</f>
        <v>993.6597352420165</v>
      </c>
      <c r="D48" s="109">
        <f t="shared" si="7"/>
        <v>0.15756124599901464</v>
      </c>
      <c r="E48" s="110">
        <f t="shared" si="4"/>
        <v>47055.860015482962</v>
      </c>
      <c r="F48" s="110">
        <f t="shared" si="5"/>
        <v>49559.391831705936</v>
      </c>
      <c r="G48" s="109">
        <f t="shared" si="8"/>
        <v>-5.3203401561446928E-2</v>
      </c>
      <c r="H48" s="110">
        <f>NPV(DiscountRate,B$5:B48)</f>
        <v>25545.813282540312</v>
      </c>
      <c r="I48" s="110">
        <f>NPV(DiscountRate,C$5:C48)</f>
        <v>28728.362308262713</v>
      </c>
      <c r="J48" s="109">
        <f t="shared" si="9"/>
        <v>-0.12458202017383271</v>
      </c>
      <c r="K48" s="121"/>
    </row>
    <row r="49" spans="1:11">
      <c r="A49" s="114">
        <f t="shared" si="6"/>
        <v>2054</v>
      </c>
      <c r="B49" s="108">
        <f>Gasoline!H48</f>
        <v>1168.1335016881267</v>
      </c>
      <c r="C49" s="108">
        <f>Ethanol!M62</f>
        <v>976.06632777444599</v>
      </c>
      <c r="D49" s="109">
        <f t="shared" si="7"/>
        <v>0.16442228018981994</v>
      </c>
      <c r="E49" s="110">
        <f t="shared" si="4"/>
        <v>48223.993517171089</v>
      </c>
      <c r="F49" s="110">
        <f t="shared" si="5"/>
        <v>50535.458159480382</v>
      </c>
      <c r="G49" s="109">
        <f t="shared" si="8"/>
        <v>-4.7931837944658211E-2</v>
      </c>
      <c r="H49" s="110">
        <f>NPV(DiscountRate,B$5:B49)</f>
        <v>25930.332931274792</v>
      </c>
      <c r="I49" s="110">
        <f>NPV(DiscountRate,C$5:C49)</f>
        <v>29049.658359574481</v>
      </c>
      <c r="J49" s="109">
        <f t="shared" si="9"/>
        <v>-0.12029638942805261</v>
      </c>
      <c r="K49" s="121"/>
    </row>
    <row r="50" spans="1:11">
      <c r="A50" s="114">
        <f t="shared" si="6"/>
        <v>2055</v>
      </c>
      <c r="B50" s="108">
        <f>Gasoline!H49</f>
        <v>1157.2236586707959</v>
      </c>
      <c r="C50" s="108">
        <f>Ethanol!M63</f>
        <v>958.97394632338728</v>
      </c>
      <c r="D50" s="109">
        <f t="shared" si="7"/>
        <v>0.17131494924250093</v>
      </c>
      <c r="E50" s="110">
        <f t="shared" si="4"/>
        <v>49381.217175841884</v>
      </c>
      <c r="F50" s="110">
        <f t="shared" si="5"/>
        <v>51494.432105803768</v>
      </c>
      <c r="G50" s="109">
        <f t="shared" si="8"/>
        <v>-4.2793901220314658E-2</v>
      </c>
      <c r="H50" s="110">
        <f>NPV(DiscountRate,B$5:B50)</f>
        <v>26301.970402168419</v>
      </c>
      <c r="I50" s="110">
        <f>NPV(DiscountRate,C$5:C50)</f>
        <v>29357.628776005353</v>
      </c>
      <c r="J50" s="109">
        <f t="shared" si="9"/>
        <v>-0.11617602510818031</v>
      </c>
      <c r="K50" s="121"/>
    </row>
    <row r="51" spans="1:11">
      <c r="A51" s="114">
        <f t="shared" si="6"/>
        <v>2056</v>
      </c>
      <c r="B51" s="108">
        <f>Gasoline!H50</f>
        <v>1146.750873907876</v>
      </c>
      <c r="C51" s="108">
        <f>Ethanol!M64</f>
        <v>942.35783780786085</v>
      </c>
      <c r="D51" s="109">
        <f t="shared" si="7"/>
        <v>0.17823665170054626</v>
      </c>
      <c r="E51" s="110">
        <f t="shared" si="4"/>
        <v>50527.968049749761</v>
      </c>
      <c r="F51" s="110">
        <f t="shared" si="5"/>
        <v>52436.789943611628</v>
      </c>
      <c r="G51" s="109">
        <f t="shared" si="8"/>
        <v>-3.7777531286879447E-2</v>
      </c>
      <c r="H51" s="110">
        <f>NPV(DiscountRate,B$5:B51)</f>
        <v>26661.262285559431</v>
      </c>
      <c r="I51" s="110">
        <f>NPV(DiscountRate,C$5:C51)</f>
        <v>29652.88167711757</v>
      </c>
      <c r="J51" s="109">
        <f t="shared" si="9"/>
        <v>-0.11220846783306629</v>
      </c>
      <c r="K51" s="121"/>
    </row>
    <row r="52" spans="1:11">
      <c r="A52" s="114">
        <f t="shared" si="6"/>
        <v>2057</v>
      </c>
      <c r="B52" s="108">
        <f>Gasoline!H51</f>
        <v>1136.6929500187478</v>
      </c>
      <c r="C52" s="108">
        <f>Ethanol!M65</f>
        <v>926.19454173944291</v>
      </c>
      <c r="D52" s="109">
        <f t="shared" si="7"/>
        <v>0.18518493342976486</v>
      </c>
      <c r="E52" s="110">
        <f t="shared" si="4"/>
        <v>51664.660999768508</v>
      </c>
      <c r="F52" s="110">
        <f t="shared" si="5"/>
        <v>53362.984485351073</v>
      </c>
      <c r="G52" s="109">
        <f t="shared" si="8"/>
        <v>-3.2872053212352918E-2</v>
      </c>
      <c r="H52" s="110">
        <f>NPV(DiscountRate,B$5:B52)</f>
        <v>27008.716535047486</v>
      </c>
      <c r="I52" s="110">
        <f>NPV(DiscountRate,C$5:C52)</f>
        <v>29935.992634544287</v>
      </c>
      <c r="J52" s="109">
        <f t="shared" si="9"/>
        <v>-0.10838264364388667</v>
      </c>
      <c r="K52" s="121"/>
    </row>
    <row r="53" spans="1:11">
      <c r="A53" s="114">
        <f t="shared" si="6"/>
        <v>2058</v>
      </c>
      <c r="B53" s="108">
        <f>Gasoline!H52</f>
        <v>1127.0288526075731</v>
      </c>
      <c r="C53" s="108">
        <f>Ethanol!M66</f>
        <v>910.46182229606336</v>
      </c>
      <c r="D53" s="109">
        <f t="shared" si="7"/>
        <v>0.19215748541880276</v>
      </c>
      <c r="E53" s="110">
        <f t="shared" si="4"/>
        <v>52791.689852376083</v>
      </c>
      <c r="F53" s="110">
        <f t="shared" si="5"/>
        <v>54273.446307647137</v>
      </c>
      <c r="G53" s="109">
        <f t="shared" si="8"/>
        <v>-2.8067986825474994E-2</v>
      </c>
      <c r="H53" s="110">
        <f>NPV(DiscountRate,B$5:B53)</f>
        <v>27344.814304460615</v>
      </c>
      <c r="I53" s="110">
        <f>NPV(DiscountRate,C$5:C53)</f>
        <v>30207.50670173212</v>
      </c>
      <c r="J53" s="109">
        <f t="shared" si="9"/>
        <v>-0.10468867571737464</v>
      </c>
      <c r="K53" s="121"/>
    </row>
    <row r="54" spans="1:11">
      <c r="A54" s="114">
        <f t="shared" si="6"/>
        <v>2059</v>
      </c>
      <c r="B54" s="108">
        <f>Gasoline!H53</f>
        <v>1117.7386490471595</v>
      </c>
      <c r="C54" s="108">
        <f>Ethanol!M67</f>
        <v>895.13860396783548</v>
      </c>
      <c r="D54" s="109">
        <f t="shared" si="7"/>
        <v>0.19915214103859094</v>
      </c>
      <c r="E54" s="110">
        <f t="shared" si="4"/>
        <v>53909.428501423245</v>
      </c>
      <c r="F54" s="110">
        <f t="shared" si="5"/>
        <v>55168.584911614969</v>
      </c>
      <c r="G54" s="109">
        <f t="shared" si="8"/>
        <v>-2.3356886637343637E-2</v>
      </c>
      <c r="H54" s="110">
        <f>NPV(DiscountRate,B$5:B54)</f>
        <v>27670.011654966176</v>
      </c>
      <c r="I54" s="110">
        <f>NPV(DiscountRate,C$5:C54)</f>
        <v>30467.940303624422</v>
      </c>
      <c r="J54" s="109">
        <f t="shared" si="9"/>
        <v>-0.10111772570056282</v>
      </c>
      <c r="K54" s="121"/>
    </row>
    <row r="55" spans="1:11">
      <c r="A55" s="114">
        <f t="shared" si="6"/>
        <v>2060</v>
      </c>
      <c r="B55" s="108">
        <f>Gasoline!H54</f>
        <v>1108.8034505273022</v>
      </c>
      <c r="C55" s="108">
        <f>Ethanol!M68</f>
        <v>880.20491058705761</v>
      </c>
      <c r="D55" s="109">
        <f t="shared" si="7"/>
        <v>0.20616687279565402</v>
      </c>
      <c r="E55" s="110">
        <f t="shared" si="4"/>
        <v>55018.231951950547</v>
      </c>
      <c r="F55" s="110">
        <f t="shared" si="5"/>
        <v>56048.78982220203</v>
      </c>
      <c r="G55" s="109">
        <f t="shared" si="8"/>
        <v>-1.8731206614409336E-2</v>
      </c>
      <c r="H55" s="110">
        <f>NPV(DiscountRate,B$5:B55)</f>
        <v>27984.741141911931</v>
      </c>
      <c r="I55" s="110">
        <f>NPV(DiscountRate,C$5:C55)</f>
        <v>30717.782996469992</v>
      </c>
      <c r="J55" s="109">
        <f t="shared" si="9"/>
        <v>-9.7661859393255723E-2</v>
      </c>
      <c r="K55" s="121"/>
    </row>
    <row r="56" spans="1:11">
      <c r="A56" s="114">
        <f t="shared" si="6"/>
        <v>2061</v>
      </c>
      <c r="B56" s="108">
        <f>Gasoline!H55</f>
        <v>1100.2053571701767</v>
      </c>
      <c r="C56" s="108">
        <f>Ethanol!M69</f>
        <v>865.64180756441408</v>
      </c>
      <c r="D56" s="109">
        <f t="shared" si="7"/>
        <v>0.21319978863680539</v>
      </c>
      <c r="E56" s="110">
        <f t="shared" si="4"/>
        <v>56118.437309120724</v>
      </c>
      <c r="F56" s="110">
        <f t="shared" si="5"/>
        <v>56914.431629766441</v>
      </c>
      <c r="G56" s="109">
        <f t="shared" si="8"/>
        <v>-1.4184185426637803E-2</v>
      </c>
      <c r="H56" s="110">
        <f>NPV(DiscountRate,B$5:B56)</f>
        <v>28289.413290255634</v>
      </c>
      <c r="I56" s="110">
        <f>NPV(DiscountRate,C$5:C56)</f>
        <v>30957.499107183296</v>
      </c>
      <c r="J56" s="109">
        <f t="shared" si="9"/>
        <v>-9.4313932549696639E-2</v>
      </c>
      <c r="K56" s="121"/>
    </row>
    <row r="57" spans="1:11">
      <c r="A57" s="114">
        <f t="shared" si="6"/>
        <v>2062</v>
      </c>
      <c r="B57" s="108">
        <f>Gasoline!H56</f>
        <v>1091.9274060404116</v>
      </c>
      <c r="C57" s="108">
        <f>Ethanol!M70</f>
        <v>851.43134716275517</v>
      </c>
      <c r="D57" s="109">
        <f t="shared" si="7"/>
        <v>0.22024912786991244</v>
      </c>
      <c r="E57" s="110">
        <f t="shared" si="4"/>
        <v>57210.364715161137</v>
      </c>
      <c r="F57" s="110">
        <f t="shared" si="5"/>
        <v>57765.862976929195</v>
      </c>
      <c r="G57" s="109">
        <f t="shared" si="8"/>
        <v>-9.7097486536534376E-3</v>
      </c>
      <c r="H57" s="110">
        <f>NPV(DiscountRate,B$5:B57)</f>
        <v>28584.417966774483</v>
      </c>
      <c r="I57" s="110">
        <f>NPV(DiscountRate,C$5:C57)</f>
        <v>31187.529260981322</v>
      </c>
      <c r="J57" s="109">
        <f t="shared" si="9"/>
        <v>-9.106749338862187E-2</v>
      </c>
      <c r="K57" s="121"/>
    </row>
    <row r="58" spans="1:11">
      <c r="A58" s="114">
        <f t="shared" si="6"/>
        <v>2063</v>
      </c>
      <c r="B58" s="108">
        <f>Gasoline!H57</f>
        <v>1083.9535218928365</v>
      </c>
      <c r="C58" s="108">
        <f>Ethanol!M71</f>
        <v>837.55651664870925</v>
      </c>
      <c r="D58" s="109">
        <f t="shared" si="7"/>
        <v>0.22731325676571487</v>
      </c>
      <c r="E58" s="110">
        <f t="shared" si="4"/>
        <v>58294.318237053973</v>
      </c>
      <c r="F58" s="110">
        <f t="shared" si="5"/>
        <v>58603.419493577901</v>
      </c>
      <c r="G58" s="109">
        <f t="shared" si="8"/>
        <v>-5.3024251054273929E-3</v>
      </c>
      <c r="H58" s="110">
        <f>NPV(DiscountRate,B$5:B58)</f>
        <v>28870.12565663088</v>
      </c>
      <c r="I58" s="110">
        <f>NPV(DiscountRate,C$5:C58)</f>
        <v>31408.291805373457</v>
      </c>
      <c r="J58" s="109">
        <f t="shared" si="9"/>
        <v>-8.7916699044903956E-2</v>
      </c>
      <c r="K58" s="121"/>
    </row>
    <row r="59" spans="1:11">
      <c r="A59" s="114">
        <f t="shared" si="6"/>
        <v>2064</v>
      </c>
      <c r="B59" s="108">
        <f>Gasoline!H58</f>
        <v>1076.268470511882</v>
      </c>
      <c r="C59" s="108">
        <f>Ethanol!M72</f>
        <v>824.00118917077725</v>
      </c>
      <c r="D59" s="109">
        <f t="shared" si="7"/>
        <v>0.23439066390296132</v>
      </c>
      <c r="E59" s="110">
        <f t="shared" si="4"/>
        <v>59370.586707565853</v>
      </c>
      <c r="F59" s="110">
        <f t="shared" si="5"/>
        <v>59427.420682748678</v>
      </c>
      <c r="G59" s="109">
        <f t="shared" si="8"/>
        <v>-9.5727494597222431E-4</v>
      </c>
      <c r="H59" s="110">
        <f>NPV(DiscountRate,B$5:B59)</f>
        <v>29146.888651303601</v>
      </c>
      <c r="I59" s="110">
        <f>NPV(DiscountRate,C$5:C59)</f>
        <v>31620.184137981065</v>
      </c>
      <c r="J59" s="109">
        <f t="shared" si="9"/>
        <v>-8.4856243706370516E-2</v>
      </c>
      <c r="K59" s="121"/>
    </row>
    <row r="60" spans="1:11">
      <c r="A60" s="114">
        <f t="shared" si="6"/>
        <v>2065</v>
      </c>
      <c r="B60" s="108">
        <f>Gasoline!H59</f>
        <v>1068.8578145054437</v>
      </c>
      <c r="C60" s="108">
        <f>Ethanol!M73</f>
        <v>821.26255587625906</v>
      </c>
      <c r="D60" s="109">
        <f t="shared" si="7"/>
        <v>0.23164471014673357</v>
      </c>
      <c r="E60" s="110">
        <f t="shared" si="4"/>
        <v>60439.444522071295</v>
      </c>
      <c r="F60" s="110">
        <f t="shared" si="5"/>
        <v>60248.683238624937</v>
      </c>
      <c r="G60" s="109">
        <f t="shared" si="8"/>
        <v>3.1562381976673482E-3</v>
      </c>
      <c r="H60" s="110">
        <f>NPV(DiscountRate,B$5:B60)</f>
        <v>29415.042154369086</v>
      </c>
      <c r="I60" s="110">
        <f>NPV(DiscountRate,C$5:C60)</f>
        <v>31826.221300554116</v>
      </c>
      <c r="J60" s="109">
        <f t="shared" si="9"/>
        <v>-8.1970956680301466E-2</v>
      </c>
      <c r="K60" s="121"/>
    </row>
    <row r="61" spans="1:11">
      <c r="A61" s="114">
        <f t="shared" si="6"/>
        <v>2066</v>
      </c>
      <c r="B61" s="108">
        <f>Gasoline!H60</f>
        <v>1061.7078714237546</v>
      </c>
      <c r="C61" s="108">
        <f>Ethanol!M74</f>
        <v>818.56478735133271</v>
      </c>
      <c r="D61" s="109">
        <f t="shared" si="7"/>
        <v>0.22901128513473862</v>
      </c>
      <c r="E61" s="110">
        <f t="shared" si="4"/>
        <v>61501.152393495053</v>
      </c>
      <c r="F61" s="110">
        <f t="shared" si="5"/>
        <v>61067.248025976267</v>
      </c>
      <c r="G61" s="109">
        <f t="shared" si="8"/>
        <v>7.0552233678905785E-3</v>
      </c>
      <c r="H61" s="110">
        <f>NPV(DiscountRate,B$5:B61)</f>
        <v>29674.905311133083</v>
      </c>
      <c r="I61" s="110">
        <f>NPV(DiscountRate,C$5:C61)</f>
        <v>32026.572861828419</v>
      </c>
      <c r="J61" s="109">
        <f t="shared" si="9"/>
        <v>-7.9247685073928945E-2</v>
      </c>
      <c r="K61" s="121"/>
    </row>
    <row r="62" spans="1:11">
      <c r="A62" s="114">
        <f t="shared" si="6"/>
        <v>2067</v>
      </c>
      <c r="B62" s="108">
        <f>Gasoline!H61</f>
        <v>1054.8056740808233</v>
      </c>
      <c r="C62" s="108">
        <f>Ethanol!M75</f>
        <v>815.90632940482476</v>
      </c>
      <c r="D62" s="109">
        <f t="shared" si="7"/>
        <v>0.22648659421004705</v>
      </c>
      <c r="E62" s="110">
        <f t="shared" si="4"/>
        <v>62555.958067575877</v>
      </c>
      <c r="F62" s="110">
        <f t="shared" si="5"/>
        <v>61883.154355381092</v>
      </c>
      <c r="G62" s="109">
        <f t="shared" si="8"/>
        <v>1.0755229924989581E-2</v>
      </c>
      <c r="H62" s="110">
        <f>NPV(DiscountRate,B$5:B62)</f>
        <v>29926.782167664613</v>
      </c>
      <c r="I62" s="110">
        <f>NPV(DiscountRate,C$5:C62)</f>
        <v>32221.402986963785</v>
      </c>
      <c r="J62" s="109">
        <f t="shared" si="9"/>
        <v>-7.6674491979911955E-2</v>
      </c>
      <c r="K62" s="121"/>
    </row>
    <row r="63" spans="1:11">
      <c r="A63" s="114">
        <f t="shared" si="6"/>
        <v>2068</v>
      </c>
      <c r="B63" s="108">
        <f>Gasoline!H62</f>
        <v>1048.1389329625326</v>
      </c>
      <c r="C63" s="108">
        <f>Ethanol!M76</f>
        <v>813.28570615166007</v>
      </c>
      <c r="D63" s="109">
        <f t="shared" si="7"/>
        <v>0.22406688600629224</v>
      </c>
      <c r="E63" s="110">
        <f t="shared" si="4"/>
        <v>63604.097000538408</v>
      </c>
      <c r="F63" s="110">
        <f t="shared" si="5"/>
        <v>62696.440061532754</v>
      </c>
      <c r="G63" s="109">
        <f t="shared" si="8"/>
        <v>1.4270416243751884E-2</v>
      </c>
      <c r="H63" s="110">
        <f>NPV(DiscountRate,B$5:B63)</f>
        <v>30170.962564370147</v>
      </c>
      <c r="I63" s="110">
        <f>NPV(DiscountRate,C$5:C63)</f>
        <v>32410.870642555728</v>
      </c>
      <c r="J63" s="109">
        <f t="shared" si="9"/>
        <v>-7.4240524259267748E-2</v>
      </c>
      <c r="K63" s="121"/>
    </row>
    <row r="64" spans="1:11">
      <c r="A64" s="114">
        <f t="shared" si="6"/>
        <v>2069</v>
      </c>
      <c r="B64" s="108">
        <f>Gasoline!H63</f>
        <v>1041.6960006116315</v>
      </c>
      <c r="C64" s="108">
        <f>Ethanol!M77</f>
        <v>810.70151591441891</v>
      </c>
      <c r="D64" s="109">
        <f t="shared" si="7"/>
        <v>0.22174846074246635</v>
      </c>
      <c r="E64" s="110">
        <f t="shared" si="4"/>
        <v>64645.793001150043</v>
      </c>
      <c r="F64" s="110">
        <f t="shared" si="5"/>
        <v>63507.141577447175</v>
      </c>
      <c r="G64" s="109">
        <f t="shared" si="8"/>
        <v>1.7613697208147965E-2</v>
      </c>
      <c r="H64" s="110">
        <f>NPV(DiscountRate,B$5:B64)</f>
        <v>30407.722968862698</v>
      </c>
      <c r="I64" s="110">
        <f>NPV(DiscountRate,C$5:C64)</f>
        <v>32595.129791787294</v>
      </c>
      <c r="J64" s="109">
        <f t="shared" si="9"/>
        <v>-7.1935896849773542E-2</v>
      </c>
      <c r="K64" s="121"/>
    </row>
    <row r="65" spans="1:11">
      <c r="A65" s="114">
        <f t="shared" si="6"/>
        <v>2070</v>
      </c>
      <c r="B65" s="108">
        <f>Gasoline!H64</f>
        <v>1035.4658378856366</v>
      </c>
      <c r="C65" s="108">
        <f>Ethanol!M78</f>
        <v>808.15242734032142</v>
      </c>
      <c r="D65" s="109">
        <f t="shared" si="7"/>
        <v>0.21952767752287844</v>
      </c>
      <c r="E65" s="110">
        <f t="shared" si="4"/>
        <v>65681.258839035683</v>
      </c>
      <c r="F65" s="110">
        <f t="shared" si="5"/>
        <v>64315.294004787494</v>
      </c>
      <c r="G65" s="109">
        <f t="shared" si="8"/>
        <v>2.0796873543421926E-2</v>
      </c>
      <c r="H65" s="110">
        <f>NPV(DiscountRate,B$5:B65)</f>
        <v>30637.327252526262</v>
      </c>
      <c r="I65" s="110">
        <f>NPV(DiscountRate,C$5:C65)</f>
        <v>32774.329580308891</v>
      </c>
      <c r="J65" s="109">
        <f t="shared" si="9"/>
        <v>-6.9751591258875839E-2</v>
      </c>
      <c r="K65" s="121"/>
    </row>
    <row r="66" spans="1:11">
      <c r="A66" s="114">
        <f t="shared" si="6"/>
        <v>2071</v>
      </c>
      <c r="B66" s="108">
        <f>Gasoline!H65</f>
        <v>1029.4379819891444</v>
      </c>
      <c r="C66" s="108">
        <f>Ethanol!M79</f>
        <v>805.63717572231417</v>
      </c>
      <c r="D66" s="109">
        <f t="shared" si="7"/>
        <v>0.21740096070128317</v>
      </c>
      <c r="E66" s="110">
        <f t="shared" si="4"/>
        <v>66710.696821024831</v>
      </c>
      <c r="F66" s="110">
        <f t="shared" si="5"/>
        <v>65120.931180509811</v>
      </c>
      <c r="G66" s="109">
        <f t="shared" si="8"/>
        <v>2.3830745536658551E-2</v>
      </c>
      <c r="H66" s="110">
        <f>NPV(DiscountRate,B$5:B66)</f>
        <v>30860.027414848511</v>
      </c>
      <c r="I66" s="110">
        <f>NPV(DiscountRate,C$5:C66)</f>
        <v>32948.61451339395</v>
      </c>
      <c r="J66" s="109">
        <f t="shared" si="9"/>
        <v>-6.7679366271090891E-2</v>
      </c>
      <c r="K66" s="121"/>
    </row>
    <row r="67" spans="1:11">
      <c r="A67" s="114">
        <f t="shared" si="6"/>
        <v>2072</v>
      </c>
      <c r="B67" s="108">
        <f>Gasoline!H66</f>
        <v>1023.6025161872282</v>
      </c>
      <c r="C67" s="108">
        <f>Ethanol!M80</f>
        <v>803.15455951352078</v>
      </c>
      <c r="D67" s="109">
        <f t="shared" si="7"/>
        <v>0.21536480536883032</v>
      </c>
      <c r="E67" s="110">
        <f t="shared" si="4"/>
        <v>67734.299337212055</v>
      </c>
      <c r="F67" s="110">
        <f t="shared" si="5"/>
        <v>65924.085740023336</v>
      </c>
      <c r="G67" s="109">
        <f t="shared" si="8"/>
        <v>2.6725213295211842E-2</v>
      </c>
      <c r="H67" s="110">
        <f>NPV(DiscountRate,B$5:B67)</f>
        <v>31076.064259291688</v>
      </c>
      <c r="I67" s="110">
        <f>NPV(DiscountRate,C$5:C67)</f>
        <v>33118.124624881122</v>
      </c>
      <c r="J67" s="109">
        <f t="shared" si="9"/>
        <v>-6.5711679205929727E-2</v>
      </c>
      <c r="K67" s="121"/>
    </row>
    <row r="68" spans="1:11">
      <c r="A68" s="114">
        <f t="shared" si="6"/>
        <v>2073</v>
      </c>
      <c r="B68" s="108">
        <f>Gasoline!H67</f>
        <v>1017.9500411115123</v>
      </c>
      <c r="C68" s="108">
        <f>Ethanol!M81</f>
        <v>800.70343702489265</v>
      </c>
      <c r="D68" s="109">
        <f t="shared" si="7"/>
        <v>0.21341578202541783</v>
      </c>
      <c r="E68" s="110">
        <f t="shared" si="4"/>
        <v>68752.24937832357</v>
      </c>
      <c r="F68" s="110">
        <f t="shared" si="5"/>
        <v>66724.789177048224</v>
      </c>
      <c r="G68" s="109">
        <f t="shared" si="8"/>
        <v>2.9489365360525498E-2</v>
      </c>
      <c r="H68" s="110">
        <f>NPV(DiscountRate,B$5:B68)</f>
        <v>31285.668024191429</v>
      </c>
      <c r="I68" s="110">
        <f>NPV(DiscountRate,C$5:C68)</f>
        <v>33282.995638379318</v>
      </c>
      <c r="J68" s="109">
        <f t="shared" si="9"/>
        <v>-6.3841616315926789E-2</v>
      </c>
      <c r="K68" s="121"/>
    </row>
    <row r="69" spans="1:11">
      <c r="A69" s="114">
        <f t="shared" si="6"/>
        <v>2074</v>
      </c>
      <c r="B69" s="108">
        <f>Gasoline!H68</f>
        <v>1012.4716475751627</v>
      </c>
      <c r="C69" s="108">
        <f>Ethanol!M82</f>
        <v>798.28272329642243</v>
      </c>
      <c r="D69" s="109">
        <f t="shared" si="7"/>
        <v>0.21155054049337174</v>
      </c>
      <c r="E69" s="110">
        <f t="shared" si="4"/>
        <v>69764.721025898732</v>
      </c>
      <c r="F69" s="110">
        <f t="shared" si="5"/>
        <v>67523.071900344643</v>
      </c>
      <c r="G69" s="109">
        <f t="shared" si="8"/>
        <v>3.2131557219614235E-2</v>
      </c>
      <c r="H69" s="110">
        <f>NPV(DiscountRate,B$5:B69)</f>
        <v>31489.05897191419</v>
      </c>
      <c r="I69" s="110">
        <f>NPV(DiscountRate,C$5:C69)</f>
        <v>33443.35912117987</v>
      </c>
      <c r="J69" s="109">
        <f t="shared" si="9"/>
        <v>-6.2062831125209723E-2</v>
      </c>
      <c r="K69" s="121"/>
    </row>
    <row r="70" spans="1:11">
      <c r="A70" s="114">
        <f t="shared" si="6"/>
        <v>2075</v>
      </c>
      <c r="B70" s="108">
        <f>Gasoline!H69</f>
        <v>1007.1588908174377</v>
      </c>
      <c r="C70" s="108">
        <f>Ethanol!M83</f>
        <v>795.89138713279351</v>
      </c>
      <c r="D70" s="109">
        <f t="shared" si="7"/>
        <v>0.20976581313120687</v>
      </c>
      <c r="E70" s="110">
        <f t="shared" si="4"/>
        <v>70771.879916716163</v>
      </c>
      <c r="F70" s="110">
        <f t="shared" si="5"/>
        <v>68318.96328747744</v>
      </c>
      <c r="G70" s="109">
        <f t="shared" si="8"/>
        <v>3.4659481027285104E-2</v>
      </c>
      <c r="H70" s="110">
        <f>NPV(DiscountRate,B$5:B70)</f>
        <v>31686.447939264286</v>
      </c>
      <c r="I70" s="110">
        <f>NPV(DiscountRate,C$5:C70)</f>
        <v>33599.342631290645</v>
      </c>
      <c r="J70" s="109">
        <f t="shared" si="9"/>
        <v>-6.0369489685083759E-2</v>
      </c>
      <c r="K70" s="121"/>
    </row>
    <row r="71" spans="1:11">
      <c r="A71" s="114">
        <f t="shared" si="6"/>
        <v>2076</v>
      </c>
      <c r="B71" s="108">
        <f>Gasoline!H70</f>
        <v>1002.0037661026159</v>
      </c>
      <c r="C71" s="108">
        <f>Ethanol!M84</f>
        <v>793.52844829482012</v>
      </c>
      <c r="D71" s="109">
        <f t="shared" si="7"/>
        <v>0.20805841740363848</v>
      </c>
      <c r="E71" s="110">
        <f t="shared" ref="E71:E105" si="10">E70+B71</f>
        <v>71773.883682818778</v>
      </c>
      <c r="F71" s="110">
        <f t="shared" ref="F71:F105" si="11">F70+C71</f>
        <v>69112.491735772259</v>
      </c>
      <c r="G71" s="109">
        <f t="shared" si="8"/>
        <v>3.7080227660630308E-2</v>
      </c>
      <c r="H71" s="110">
        <f>NPV(DiscountRate,B$5:B71)</f>
        <v>31878.036851909899</v>
      </c>
      <c r="I71" s="110">
        <f>NPV(DiscountRate,C$5:C71)</f>
        <v>33751.069857979128</v>
      </c>
      <c r="J71" s="109">
        <f t="shared" si="9"/>
        <v>-5.8756221870576393E-2</v>
      </c>
      <c r="K71" s="121"/>
    </row>
    <row r="72" spans="1:11">
      <c r="A72" s="114">
        <f t="shared" si="6"/>
        <v>2077</v>
      </c>
      <c r="B72" s="108">
        <f>Gasoline!H71</f>
        <v>996.99868560207653</v>
      </c>
      <c r="C72" s="108">
        <f>Ethanol!M85</f>
        <v>791.192974838483</v>
      </c>
      <c r="D72" s="109">
        <f t="shared" si="7"/>
        <v>0.20642525786211016</v>
      </c>
      <c r="E72" s="110">
        <f t="shared" si="10"/>
        <v>72770.882368420847</v>
      </c>
      <c r="F72" s="110">
        <f t="shared" si="11"/>
        <v>69903.684710610745</v>
      </c>
      <c r="G72" s="109">
        <f t="shared" si="8"/>
        <v>3.9400342066682588E-2</v>
      </c>
      <c r="H72" s="110">
        <f>NPV(DiscountRate,B$5:B72)</f>
        <v>32064.019205392462</v>
      </c>
      <c r="I72" s="110">
        <f>NPV(DiscountRate,C$5:C72)</f>
        <v>33898.660756186255</v>
      </c>
      <c r="J72" s="109">
        <f t="shared" si="9"/>
        <v>-5.7218077965885399E-2</v>
      </c>
      <c r="K72" s="121"/>
    </row>
    <row r="73" spans="1:11">
      <c r="A73" s="114">
        <f t="shared" si="6"/>
        <v>2078</v>
      </c>
      <c r="B73" s="108">
        <f>Gasoline!H72</f>
        <v>992.13645649204591</v>
      </c>
      <c r="C73" s="108">
        <f>Ethanol!M86</f>
        <v>788.88408059380015</v>
      </c>
      <c r="D73" s="109">
        <f t="shared" si="7"/>
        <v>0.20486332758791759</v>
      </c>
      <c r="E73" s="110">
        <f t="shared" si="10"/>
        <v>73763.018824912899</v>
      </c>
      <c r="F73" s="110">
        <f t="shared" si="11"/>
        <v>70692.56879120454</v>
      </c>
      <c r="G73" s="109">
        <f t="shared" si="8"/>
        <v>4.1625872728941755E-2</v>
      </c>
      <c r="H73" s="110">
        <f>NPV(DiscountRate,B$5:B73)</f>
        <v>32244.580515094138</v>
      </c>
      <c r="I73" s="110">
        <f>NPV(DiscountRate,C$5:C73)</f>
        <v>34042.231675148811</v>
      </c>
      <c r="J73" s="109">
        <f t="shared" si="9"/>
        <v>-5.5750489891259934E-2</v>
      </c>
      <c r="K73" s="121"/>
    </row>
    <row r="74" spans="1:11">
      <c r="A74" s="114">
        <f t="shared" si="6"/>
        <v>2079</v>
      </c>
      <c r="B74" s="108">
        <f>Gasoline!H73</f>
        <v>987.41026020308118</v>
      </c>
      <c r="C74" s="108">
        <f>Ethanol!M87</f>
        <v>786.60092277617946</v>
      </c>
      <c r="D74" s="109">
        <f t="shared" si="7"/>
        <v>0.20336970914764563</v>
      </c>
      <c r="E74" s="110">
        <f t="shared" si="10"/>
        <v>74750.429085115975</v>
      </c>
      <c r="F74" s="110">
        <f t="shared" si="11"/>
        <v>71479.169713980722</v>
      </c>
      <c r="G74" s="109">
        <f t="shared" si="8"/>
        <v>4.3762415964333425E-2</v>
      </c>
      <c r="H74" s="110">
        <f>NPV(DiscountRate,B$5:B74)</f>
        <v>32419.898737362822</v>
      </c>
      <c r="I74" s="110">
        <f>NPV(DiscountRate,C$5:C74)</f>
        <v>34181.895481546431</v>
      </c>
      <c r="J74" s="109">
        <f t="shared" si="9"/>
        <v>-5.4349236512357395E-2</v>
      </c>
      <c r="K74" s="121"/>
    </row>
    <row r="75" spans="1:11">
      <c r="A75" s="114">
        <f t="shared" si="6"/>
        <v>2080</v>
      </c>
      <c r="B75" s="108">
        <f>Gasoline!H74</f>
        <v>982.81363276071818</v>
      </c>
      <c r="C75" s="108">
        <f>Ethanol!M88</f>
        <v>784.34269972328639</v>
      </c>
      <c r="D75" s="109">
        <f t="shared" si="7"/>
        <v>0.20194157510811894</v>
      </c>
      <c r="E75" s="110">
        <f t="shared" si="10"/>
        <v>75733.242717876696</v>
      </c>
      <c r="F75" s="110">
        <f t="shared" si="11"/>
        <v>72263.512413704011</v>
      </c>
      <c r="G75" s="109">
        <f t="shared" si="8"/>
        <v>4.5815155665500915E-2</v>
      </c>
      <c r="H75" s="110">
        <f>NPV(DiscountRate,B$5:B75)</f>
        <v>32590.144663831761</v>
      </c>
      <c r="I75" s="110">
        <f>NPV(DiscountRate,C$5:C75)</f>
        <v>34317.761677468487</v>
      </c>
      <c r="J75" s="109">
        <f t="shared" si="9"/>
        <v>-5.3010412548245567E-2</v>
      </c>
      <c r="K75" s="121"/>
    </row>
    <row r="76" spans="1:11">
      <c r="A76" s="114">
        <f t="shared" ref="A76:A105" si="12">A75+1</f>
        <v>2081</v>
      </c>
      <c r="B76" s="108">
        <f>Gasoline!H75</f>
        <v>978.34044615989956</v>
      </c>
      <c r="C76" s="108">
        <f>Ethanol!M89</f>
        <v>782.1086487508245</v>
      </c>
      <c r="D76" s="109">
        <f t="shared" ref="D76:D105" si="13">(B76-C76)/B76</f>
        <v>0.2005761881554706</v>
      </c>
      <c r="E76" s="110">
        <f t="shared" si="10"/>
        <v>76711.583164036594</v>
      </c>
      <c r="F76" s="110">
        <f t="shared" si="11"/>
        <v>73045.62106245484</v>
      </c>
      <c r="G76" s="109">
        <f t="shared" ref="G76:G105" si="14">(E76-F76)/E76</f>
        <v>4.7788899021189872E-2</v>
      </c>
      <c r="H76" s="110">
        <f>NPV(DiscountRate,B$5:B76)</f>
        <v>32755.482290820859</v>
      </c>
      <c r="I76" s="110">
        <f>NPV(DiscountRate,C$5:C76)</f>
        <v>34449.936513477442</v>
      </c>
      <c r="J76" s="109">
        <f t="shared" ref="J76:J105" si="15">(H76-I76)/H76</f>
        <v>-5.1730400658195265E-2</v>
      </c>
      <c r="K76" s="121"/>
    </row>
    <row r="77" spans="1:11">
      <c r="A77" s="114">
        <f t="shared" si="12"/>
        <v>2082</v>
      </c>
      <c r="B77" s="108">
        <f>Gasoline!H76</f>
        <v>973.98489071881363</v>
      </c>
      <c r="C77" s="108">
        <f>Ethanol!M90</f>
        <v>779.89804412097885</v>
      </c>
      <c r="D77" s="109">
        <f t="shared" si="13"/>
        <v>0.1992709008602753</v>
      </c>
      <c r="E77" s="110">
        <f t="shared" si="10"/>
        <v>77685.568054755408</v>
      </c>
      <c r="F77" s="110">
        <f t="shared" si="11"/>
        <v>73825.519106575826</v>
      </c>
      <c r="G77" s="109">
        <f t="shared" si="14"/>
        <v>4.9688108677520236E-2</v>
      </c>
      <c r="H77" s="110">
        <f>NPV(DiscountRate,B$5:B77)</f>
        <v>32916.069165567962</v>
      </c>
      <c r="I77" s="110">
        <f>NPV(DiscountRate,C$5:C77)</f>
        <v>34578.523097027348</v>
      </c>
      <c r="J77" s="109">
        <f t="shared" si="15"/>
        <v>-5.0505846342017199E-2</v>
      </c>
      <c r="K77" s="121"/>
    </row>
    <row r="78" spans="1:11">
      <c r="A78" s="114">
        <f t="shared" si="12"/>
        <v>2083</v>
      </c>
      <c r="B78" s="108">
        <f>Gasoline!H77</f>
        <v>969.74145836064065</v>
      </c>
      <c r="C78" s="108">
        <f>Ethanol!M91</f>
        <v>777.71019511759448</v>
      </c>
      <c r="D78" s="109">
        <f t="shared" si="13"/>
        <v>0.19802315512804544</v>
      </c>
      <c r="E78" s="110">
        <f t="shared" si="10"/>
        <v>78655.309513116052</v>
      </c>
      <c r="F78" s="110">
        <f t="shared" si="11"/>
        <v>74603.229301693427</v>
      </c>
      <c r="G78" s="109">
        <f t="shared" si="14"/>
        <v>5.1516931743138407E-2</v>
      </c>
      <c r="H78" s="110">
        <f>NPV(DiscountRate,B$5:B78)</f>
        <v>33072.056710909783</v>
      </c>
      <c r="I78" s="110">
        <f>NPV(DiscountRate,C$5:C78)</f>
        <v>34703.6214964799</v>
      </c>
      <c r="J78" s="109">
        <f t="shared" si="15"/>
        <v>-4.9333635335473344E-2</v>
      </c>
      <c r="K78" s="121"/>
    </row>
    <row r="79" spans="1:11">
      <c r="A79" s="114">
        <f t="shared" si="12"/>
        <v>2084</v>
      </c>
      <c r="B79" s="108">
        <f>Gasoline!H78</f>
        <v>965.60492677440163</v>
      </c>
      <c r="C79" s="108">
        <f>Ethanol!M92</f>
        <v>775.54444422248048</v>
      </c>
      <c r="D79" s="109">
        <f t="shared" si="13"/>
        <v>0.19683048137173165</v>
      </c>
      <c r="E79" s="110">
        <f t="shared" si="10"/>
        <v>79620.914439890446</v>
      </c>
      <c r="F79" s="110">
        <f t="shared" si="11"/>
        <v>75378.773745915911</v>
      </c>
      <c r="G79" s="109">
        <f t="shared" si="14"/>
        <v>5.3279225990014549E-2</v>
      </c>
      <c r="H79" s="110">
        <f>NPV(DiscountRate,B$5:B79)</f>
        <v>33223.590529913592</v>
      </c>
      <c r="I79" s="110">
        <f>NPV(DiscountRate,C$5:C79)</f>
        <v>34825.328840945098</v>
      </c>
      <c r="J79" s="109">
        <f t="shared" si="15"/>
        <v>-4.8210873222427467E-2</v>
      </c>
      <c r="K79" s="121"/>
    </row>
    <row r="80" spans="1:11">
      <c r="A80" s="114">
        <f t="shared" si="12"/>
        <v>2085</v>
      </c>
      <c r="B80" s="108">
        <f>Gasoline!H79</f>
        <v>961.5703444086821</v>
      </c>
      <c r="C80" s="108">
        <f>Ethanol!M93</f>
        <v>773.40016538751831</v>
      </c>
      <c r="D80" s="109">
        <f t="shared" si="13"/>
        <v>0.19569049744028771</v>
      </c>
      <c r="E80" s="110">
        <f t="shared" si="10"/>
        <v>80582.484784299129</v>
      </c>
      <c r="F80" s="110">
        <f t="shared" si="11"/>
        <v>76152.173911303427</v>
      </c>
      <c r="G80" s="109">
        <f t="shared" si="14"/>
        <v>5.4978583557638246E-2</v>
      </c>
      <c r="H80" s="110">
        <f>NPV(DiscountRate,B$5:B80)</f>
        <v>33370.81069185058</v>
      </c>
      <c r="I80" s="110">
        <f>NPV(DiscountRate,C$5:C80)</f>
        <v>34943.739416159398</v>
      </c>
      <c r="J80" s="109">
        <f t="shared" si="15"/>
        <v>-4.713486701996545E-2</v>
      </c>
      <c r="K80" s="121"/>
    </row>
    <row r="81" spans="1:11">
      <c r="A81" s="114">
        <f t="shared" si="12"/>
        <v>2086</v>
      </c>
      <c r="B81" s="108">
        <f>Gasoline!H80</f>
        <v>957.63301625442637</v>
      </c>
      <c r="C81" s="108">
        <f>Ethanol!M94</f>
        <v>771.27676239753998</v>
      </c>
      <c r="D81" s="109">
        <f t="shared" si="13"/>
        <v>0.19460090733481433</v>
      </c>
      <c r="E81" s="110">
        <f t="shared" si="10"/>
        <v>81540.117800553562</v>
      </c>
      <c r="F81" s="110">
        <f t="shared" si="11"/>
        <v>76923.450673700965</v>
      </c>
      <c r="G81" s="109">
        <f t="shared" si="14"/>
        <v>5.6618352430455467E-2</v>
      </c>
      <c r="H81" s="110">
        <f>NPV(DiscountRate,B$5:B81)</f>
        <v>33513.852000800245</v>
      </c>
      <c r="I81" s="110">
        <f>NPV(DiscountRate,C$5:C81)</f>
        <v>35058.9447566011</v>
      </c>
      <c r="J81" s="109">
        <f t="shared" si="15"/>
        <v>-4.610310852252858E-2</v>
      </c>
      <c r="K81" s="121"/>
    </row>
    <row r="82" spans="1:11">
      <c r="A82" s="114">
        <f t="shared" si="12"/>
        <v>2087</v>
      </c>
      <c r="B82" s="108">
        <f>Gasoline!H81</f>
        <v>953.78849037530631</v>
      </c>
      <c r="C82" s="108">
        <f>Ethanol!M95</f>
        <v>769.17366731920083</v>
      </c>
      <c r="D82" s="109">
        <f t="shared" si="13"/>
        <v>0.19355949974135395</v>
      </c>
      <c r="E82" s="110">
        <f t="shared" si="10"/>
        <v>82493.906290928862</v>
      </c>
      <c r="F82" s="110">
        <f t="shared" si="11"/>
        <v>77692.624341020171</v>
      </c>
      <c r="G82" s="109">
        <f t="shared" si="14"/>
        <v>5.8201655925664973E-2</v>
      </c>
      <c r="H82" s="110">
        <f>NPV(DiscountRate,B$5:B82)</f>
        <v>33652.844248080983</v>
      </c>
      <c r="I82" s="110">
        <f>NPV(DiscountRate,C$5:C82)</f>
        <v>35171.03373403025</v>
      </c>
      <c r="J82" s="109">
        <f t="shared" si="15"/>
        <v>-4.5113259216888947E-2</v>
      </c>
      <c r="K82" s="121"/>
    </row>
    <row r="83" spans="1:11">
      <c r="A83" s="114">
        <f t="shared" si="12"/>
        <v>2088</v>
      </c>
      <c r="B83" s="108">
        <f>Gasoline!H82</f>
        <v>950.03254514634784</v>
      </c>
      <c r="C83" s="108">
        <f>Ethanol!M96</f>
        <v>767.09033903132467</v>
      </c>
      <c r="D83" s="109">
        <f t="shared" si="13"/>
        <v>0.19256414640704947</v>
      </c>
      <c r="E83" s="110">
        <f t="shared" si="10"/>
        <v>83443.938836075205</v>
      </c>
      <c r="F83" s="110">
        <f t="shared" si="11"/>
        <v>78459.714680051489</v>
      </c>
      <c r="G83" s="109">
        <f t="shared" si="14"/>
        <v>5.9731410400163103E-2</v>
      </c>
      <c r="H83" s="110">
        <f>NPV(DiscountRate,B$5:B83)</f>
        <v>33787.912449614916</v>
      </c>
      <c r="I83" s="110">
        <f>NPV(DiscountRate,C$5:C83)</f>
        <v>35280.092642629068</v>
      </c>
      <c r="J83" s="109">
        <f t="shared" si="15"/>
        <v>-4.4163136602159578E-2</v>
      </c>
      <c r="K83" s="121"/>
    </row>
    <row r="84" spans="1:11">
      <c r="A84" s="114">
        <f t="shared" si="12"/>
        <v>2089</v>
      </c>
      <c r="B84" s="108">
        <f>Gasoline!H83</f>
        <v>946.36117716357046</v>
      </c>
      <c r="C84" s="108">
        <f>Ethanol!M97</f>
        <v>765.02626183244001</v>
      </c>
      <c r="D84" s="109">
        <f t="shared" si="13"/>
        <v>0.19161280038412676</v>
      </c>
      <c r="E84" s="110">
        <f t="shared" si="10"/>
        <v>84390.300013238782</v>
      </c>
      <c r="F84" s="110">
        <f t="shared" si="11"/>
        <v>79224.740941883923</v>
      </c>
      <c r="G84" s="109">
        <f t="shared" si="14"/>
        <v>6.1210341360849629E-2</v>
      </c>
      <c r="H84" s="110">
        <f>NPV(DiscountRate,B$5:B84)</f>
        <v>33919.177069254554</v>
      </c>
      <c r="I84" s="110">
        <f>NPV(DiscountRate,C$5:C84)</f>
        <v>35386.205280908202</v>
      </c>
      <c r="J84" s="109">
        <f t="shared" si="15"/>
        <v>-4.3250701768452082E-2</v>
      </c>
      <c r="K84" s="121"/>
    </row>
    <row r="85" spans="1:11">
      <c r="A85" s="114">
        <f t="shared" si="12"/>
        <v>2090</v>
      </c>
      <c r="B85" s="108">
        <f>Gasoline!H84</f>
        <v>942.77058978934633</v>
      </c>
      <c r="C85" s="108">
        <f>Ethanol!M98</f>
        <v>762.98094412144428</v>
      </c>
      <c r="D85" s="109">
        <f t="shared" si="13"/>
        <v>0.19070349416401974</v>
      </c>
      <c r="E85" s="110">
        <f t="shared" si="10"/>
        <v>85333.070603028129</v>
      </c>
      <c r="F85" s="110">
        <f t="shared" si="11"/>
        <v>79987.721886005369</v>
      </c>
      <c r="G85" s="109">
        <f t="shared" si="14"/>
        <v>6.2640998141148277E-2</v>
      </c>
      <c r="H85" s="110">
        <f>NPV(DiscountRate,B$5:B85)</f>
        <v>34046.754229024082</v>
      </c>
      <c r="I85" s="110">
        <f>NPV(DiscountRate,C$5:C85)</f>
        <v>35489.453030534161</v>
      </c>
      <c r="J85" s="109">
        <f t="shared" si="15"/>
        <v>-4.237404810471513E-2</v>
      </c>
      <c r="K85" s="121"/>
    </row>
    <row r="86" spans="1:11">
      <c r="A86" s="114">
        <f t="shared" si="12"/>
        <v>2091</v>
      </c>
      <c r="B86" s="108">
        <f>Gasoline!H85</f>
        <v>939.2571823000518</v>
      </c>
      <c r="C86" s="108">
        <f>Ethanol!M99</f>
        <v>760.95391714755283</v>
      </c>
      <c r="D86" s="109">
        <f t="shared" si="13"/>
        <v>0.18983433772193273</v>
      </c>
      <c r="E86" s="110">
        <f t="shared" si="10"/>
        <v>86272.327785328176</v>
      </c>
      <c r="F86" s="110">
        <f t="shared" si="11"/>
        <v>80748.675803152917</v>
      </c>
      <c r="G86" s="109">
        <f t="shared" si="14"/>
        <v>6.4025767287974281E-2</v>
      </c>
      <c r="H86" s="110">
        <f>NPV(DiscountRate,B$5:B86)</f>
        <v>34170.755907159095</v>
      </c>
      <c r="I86" s="110">
        <f>NPV(DiscountRate,C$5:C86)</f>
        <v>35589.914932223997</v>
      </c>
      <c r="J86" s="109">
        <f t="shared" si="15"/>
        <v>-4.1531391021044847E-2</v>
      </c>
      <c r="K86" s="121"/>
    </row>
    <row r="87" spans="1:11">
      <c r="A87" s="114">
        <f t="shared" si="12"/>
        <v>2092</v>
      </c>
      <c r="B87" s="108">
        <f>Gasoline!H86</f>
        <v>935.81753960433207</v>
      </c>
      <c r="C87" s="108">
        <f>Ethanol!M100</f>
        <v>758.94473382589172</v>
      </c>
      <c r="D87" s="109">
        <f t="shared" si="13"/>
        <v>0.18900351649021557</v>
      </c>
      <c r="E87" s="110">
        <f t="shared" si="10"/>
        <v>87208.145324932513</v>
      </c>
      <c r="F87" s="110">
        <f t="shared" si="11"/>
        <v>81507.620536978808</v>
      </c>
      <c r="G87" s="109">
        <f t="shared" si="14"/>
        <v>6.5366884787124865E-2</v>
      </c>
      <c r="H87" s="110">
        <f>NPV(DiscountRate,B$5:B87)</f>
        <v>34291.290124764862</v>
      </c>
      <c r="I87" s="110">
        <f>NPV(DiscountRate,C$5:C87)</f>
        <v>35687.66775884488</v>
      </c>
      <c r="J87" s="109">
        <f t="shared" si="15"/>
        <v>-4.0721058583665426E-2</v>
      </c>
      <c r="K87" s="121"/>
    </row>
    <row r="88" spans="1:11">
      <c r="A88" s="114">
        <f t="shared" si="12"/>
        <v>2093</v>
      </c>
      <c r="B88" s="108">
        <f>Gasoline!H87</f>
        <v>932.44842250197269</v>
      </c>
      <c r="C88" s="108">
        <f>Ethanol!M101</f>
        <v>756.95296761527754</v>
      </c>
      <c r="D88" s="109">
        <f t="shared" si="13"/>
        <v>0.18820928927714911</v>
      </c>
      <c r="E88" s="110">
        <f t="shared" si="10"/>
        <v>88140.593747434483</v>
      </c>
      <c r="F88" s="110">
        <f t="shared" si="11"/>
        <v>82264.573504594082</v>
      </c>
      <c r="G88" s="109">
        <f t="shared" si="14"/>
        <v>6.6666447240848484E-2</v>
      </c>
      <c r="H88" s="110">
        <f>NPV(DiscountRate,B$5:B88)</f>
        <v>34408.461121853841</v>
      </c>
      <c r="I88" s="110">
        <f>NPV(DiscountRate,C$5:C88)</f>
        <v>35782.786085847838</v>
      </c>
      <c r="J88" s="109">
        <f t="shared" si="15"/>
        <v>-3.9941482972079854E-2</v>
      </c>
      <c r="K88" s="121"/>
    </row>
    <row r="89" spans="1:11">
      <c r="A89" s="114">
        <f t="shared" si="12"/>
        <v>2094</v>
      </c>
      <c r="B89" s="108">
        <f>Gasoline!H88</f>
        <v>929.14675845494696</v>
      </c>
      <c r="C89" s="108">
        <f>Ethanol!M102</f>
        <v>754.97821145491844</v>
      </c>
      <c r="D89" s="109">
        <f t="shared" si="13"/>
        <v>0.18744998614605157</v>
      </c>
      <c r="E89" s="110">
        <f t="shared" si="10"/>
        <v>89069.740505889436</v>
      </c>
      <c r="F89" s="110">
        <f t="shared" si="11"/>
        <v>83019.551716048998</v>
      </c>
      <c r="G89" s="109">
        <f t="shared" si="14"/>
        <v>6.7926422098876449E-2</v>
      </c>
      <c r="H89" s="110">
        <f>NPV(DiscountRate,B$5:B89)</f>
        <v>34522.369523468456</v>
      </c>
      <c r="I89" s="110">
        <f>NPV(DiscountRate,C$5:C89)</f>
        <v>35875.342359157876</v>
      </c>
      <c r="J89" s="109">
        <f t="shared" si="15"/>
        <v>-3.9191192677827703E-2</v>
      </c>
      <c r="K89" s="121"/>
    </row>
    <row r="90" spans="1:11">
      <c r="A90" s="114">
        <f t="shared" si="12"/>
        <v>2095</v>
      </c>
      <c r="B90" s="108">
        <f>Gasoline!H89</f>
        <v>925.90963284370355</v>
      </c>
      <c r="C90" s="108">
        <f>Ethanol!M103</f>
        <v>753.02007675693687</v>
      </c>
      <c r="D90" s="109">
        <f t="shared" si="13"/>
        <v>0.18672400626806199</v>
      </c>
      <c r="E90" s="110">
        <f t="shared" si="10"/>
        <v>89995.650138733137</v>
      </c>
      <c r="F90" s="110">
        <f t="shared" si="11"/>
        <v>83772.571792805931</v>
      </c>
      <c r="G90" s="109">
        <f t="shared" si="14"/>
        <v>6.914865703324545E-2</v>
      </c>
      <c r="H90" s="110">
        <f>NPV(DiscountRate,B$5:B90)</f>
        <v>34633.112496544665</v>
      </c>
      <c r="I90" s="110">
        <f>NPV(DiscountRate,C$5:C90)</f>
        <v>35965.406960635257</v>
      </c>
      <c r="J90" s="109">
        <f t="shared" si="15"/>
        <v>-3.8468805372994248E-2</v>
      </c>
      <c r="K90" s="121"/>
    </row>
    <row r="91" spans="1:11">
      <c r="A91" s="114">
        <f t="shared" si="12"/>
        <v>2096</v>
      </c>
      <c r="B91" s="108">
        <f>Gasoline!H90</f>
        <v>922.73428068317571</v>
      </c>
      <c r="C91" s="108">
        <f>Ethanol!M104</f>
        <v>751.07819245177825</v>
      </c>
      <c r="D91" s="109">
        <f t="shared" si="13"/>
        <v>0.18602981576050953</v>
      </c>
      <c r="E91" s="110">
        <f t="shared" si="10"/>
        <v>90918.38441941631</v>
      </c>
      <c r="F91" s="110">
        <f t="shared" si="11"/>
        <v>84523.649985257711</v>
      </c>
      <c r="G91" s="109">
        <f t="shared" si="14"/>
        <v>7.0334888537603127E-2</v>
      </c>
      <c r="H91" s="110">
        <f>NPV(DiscountRate,B$5:B91)</f>
        <v>34740.783898124522</v>
      </c>
      <c r="I91" s="110">
        <f>NPV(DiscountRate,C$5:C91)</f>
        <v>36053.048271216539</v>
      </c>
      <c r="J91" s="109">
        <f t="shared" si="15"/>
        <v>-3.7773021384323445E-2</v>
      </c>
      <c r="K91" s="121"/>
    </row>
    <row r="92" spans="1:11">
      <c r="A92" s="114">
        <f t="shared" si="12"/>
        <v>2097</v>
      </c>
      <c r="B92" s="108">
        <f>Gasoline!H91</f>
        <v>919.6180787743358</v>
      </c>
      <c r="C92" s="108">
        <f>Ethanol!M105</f>
        <v>749.15220408372613</v>
      </c>
      <c r="D92" s="109">
        <f t="shared" si="13"/>
        <v>0.18536594552143437</v>
      </c>
      <c r="E92" s="110">
        <f t="shared" si="10"/>
        <v>91838.002498190646</v>
      </c>
      <c r="F92" s="110">
        <f t="shared" si="11"/>
        <v>85272.802189341441</v>
      </c>
      <c r="G92" s="109">
        <f t="shared" si="14"/>
        <v>7.1486749823185133E-2</v>
      </c>
      <c r="H92" s="110">
        <f>NPV(DiscountRate,B$5:B92)</f>
        <v>34845.474415482953</v>
      </c>
      <c r="I92" s="110">
        <f>NPV(DiscountRate,C$5:C92)</f>
        <v>36138.332731837698</v>
      </c>
      <c r="J92" s="109">
        <f t="shared" si="15"/>
        <v>-3.7102617715552941E-2</v>
      </c>
      <c r="K92" s="121"/>
    </row>
    <row r="93" spans="1:11">
      <c r="A93" s="114">
        <f t="shared" si="12"/>
        <v>2098</v>
      </c>
      <c r="B93" s="108">
        <f>Gasoline!H92</f>
        <v>916.55853826838847</v>
      </c>
      <c r="C93" s="108">
        <f>Ethanol!M106</f>
        <v>747.24177295388745</v>
      </c>
      <c r="D93" s="109">
        <f t="shared" si="13"/>
        <v>0.18473098906959431</v>
      </c>
      <c r="E93" s="110">
        <f t="shared" si="10"/>
        <v>92754.561036459039</v>
      </c>
      <c r="F93" s="110">
        <f t="shared" si="11"/>
        <v>86020.043962295327</v>
      </c>
      <c r="G93" s="109">
        <f t="shared" si="14"/>
        <v>7.2605778076148458E-2</v>
      </c>
      <c r="H93" s="110">
        <f>NPV(DiscountRate,B$5:B93)</f>
        <v>34947.271698693301</v>
      </c>
      <c r="I93" s="110">
        <f>NPV(DiscountRate,C$5:C93)</f>
        <v>36221.324902235996</v>
      </c>
      <c r="J93" s="109">
        <f t="shared" si="15"/>
        <v>-3.6456442566597629E-2</v>
      </c>
      <c r="K93" s="121"/>
    </row>
    <row r="94" spans="1:11">
      <c r="A94" s="114">
        <f t="shared" si="12"/>
        <v>2099</v>
      </c>
      <c r="B94" s="108">
        <f>Gasoline!H93</f>
        <v>913.55329762190445</v>
      </c>
      <c r="C94" s="108">
        <f>Ethanol!M107</f>
        <v>745.34657530815377</v>
      </c>
      <c r="D94" s="109">
        <f t="shared" si="13"/>
        <v>0.18412360039815323</v>
      </c>
      <c r="E94" s="110">
        <f t="shared" si="10"/>
        <v>93668.11433408095</v>
      </c>
      <c r="F94" s="110">
        <f t="shared" si="11"/>
        <v>86765.390537603482</v>
      </c>
      <c r="G94" s="109">
        <f t="shared" si="14"/>
        <v>7.369342113430298E-2</v>
      </c>
      <c r="H94" s="110">
        <f>NPV(DiscountRate,B$5:B94)</f>
        <v>35046.260486119223</v>
      </c>
      <c r="I94" s="110">
        <f>NPV(DiscountRate,C$5:C94)</f>
        <v>36302.087517722015</v>
      </c>
      <c r="J94" s="109">
        <f t="shared" si="15"/>
        <v>-3.5833410303509776E-2</v>
      </c>
      <c r="K94" s="121"/>
    </row>
    <row r="95" spans="1:11">
      <c r="A95" s="114">
        <f t="shared" si="12"/>
        <v>2100</v>
      </c>
      <c r="B95" s="108">
        <f>Gasoline!H94</f>
        <v>910.60011592233229</v>
      </c>
      <c r="C95" s="108">
        <f>Ethanol!M108</f>
        <v>743.46630156777314</v>
      </c>
      <c r="D95" s="109">
        <f t="shared" si="13"/>
        <v>0.18354249184920429</v>
      </c>
      <c r="E95" s="110">
        <f t="shared" si="10"/>
        <v>94578.714450003288</v>
      </c>
      <c r="F95" s="110">
        <f t="shared" si="11"/>
        <v>87508.856839171262</v>
      </c>
      <c r="G95" s="109">
        <f t="shared" si="14"/>
        <v>7.4751043635397821E-2</v>
      </c>
      <c r="H95" s="110">
        <f>NPV(DiscountRate,B$5:B95)</f>
        <v>35142.522723285874</v>
      </c>
      <c r="I95" s="110">
        <f>NPV(DiscountRate,C$5:C95)</f>
        <v>36380.681544008119</v>
      </c>
      <c r="J95" s="109">
        <f t="shared" si="15"/>
        <v>-3.5232496837850097E-2</v>
      </c>
      <c r="K95" s="121"/>
    </row>
    <row r="96" spans="1:11">
      <c r="A96" s="114">
        <f t="shared" si="12"/>
        <v>2101</v>
      </c>
      <c r="B96" s="108">
        <f>Gasoline!H95</f>
        <v>907.69686656441309</v>
      </c>
      <c r="C96" s="108">
        <f>Ethanol!M109</f>
        <v>741.60065560029011</v>
      </c>
      <c r="D96" s="109">
        <f t="shared" si="13"/>
        <v>0.18298643201533654</v>
      </c>
      <c r="E96" s="110">
        <f t="shared" si="10"/>
        <v>95486.411316567697</v>
      </c>
      <c r="F96" s="110">
        <f t="shared" si="11"/>
        <v>88250.457494771545</v>
      </c>
      <c r="G96" s="109">
        <f t="shared" si="14"/>
        <v>7.5779932683894408E-2</v>
      </c>
      <c r="H96" s="110">
        <f>NPV(DiscountRate,B$5:B96)</f>
        <v>35236.137675551363</v>
      </c>
      <c r="I96" s="110">
        <f>NPV(DiscountRate,C$5:C96)</f>
        <v>36457.166230175266</v>
      </c>
      <c r="J96" s="109">
        <f t="shared" si="15"/>
        <v>-3.4652735378290764E-2</v>
      </c>
      <c r="K96" s="121"/>
    </row>
    <row r="97" spans="1:11">
      <c r="A97" s="114">
        <f t="shared" si="12"/>
        <v>2102</v>
      </c>
      <c r="B97" s="108">
        <f>Gasoline!H96</f>
        <v>904.84153125904254</v>
      </c>
      <c r="C97" s="108">
        <f>Ethanol!M110</f>
        <v>739.74935402873587</v>
      </c>
      <c r="D97" s="109">
        <f t="shared" si="13"/>
        <v>0.18245424367357344</v>
      </c>
      <c r="E97" s="110">
        <f t="shared" si="10"/>
        <v>96391.252847826734</v>
      </c>
      <c r="F97" s="110">
        <f t="shared" si="11"/>
        <v>88990.206848800284</v>
      </c>
      <c r="G97" s="109">
        <f t="shared" si="14"/>
        <v>7.6781303078511817E-2</v>
      </c>
      <c r="H97" s="110">
        <f>NPV(DiscountRate,B$5:B97)</f>
        <v>35327.182034969919</v>
      </c>
      <c r="I97" s="110">
        <f>NPV(DiscountRate,C$5:C97)</f>
        <v>36531.599159855366</v>
      </c>
      <c r="J97" s="109">
        <f t="shared" si="15"/>
        <v>-3.409321252097635E-2</v>
      </c>
      <c r="K97" s="121"/>
    </row>
    <row r="98" spans="1:11">
      <c r="A98" s="114">
        <f t="shared" si="12"/>
        <v>2103</v>
      </c>
      <c r="B98" s="108">
        <f>Gasoline!H97</f>
        <v>902.03219435709798</v>
      </c>
      <c r="C98" s="108">
        <f>Ethanol!M111</f>
        <v>737.91212557705228</v>
      </c>
      <c r="D98" s="109">
        <f t="shared" si="13"/>
        <v>0.18194480175623706</v>
      </c>
      <c r="E98" s="110">
        <f t="shared" si="10"/>
        <v>97293.285042183838</v>
      </c>
      <c r="F98" s="110">
        <f t="shared" si="11"/>
        <v>89728.118974377343</v>
      </c>
      <c r="G98" s="109">
        <f t="shared" si="14"/>
        <v>7.7756302138697803E-2</v>
      </c>
      <c r="H98" s="110">
        <f>NPV(DiscountRate,B$5:B98)</f>
        <v>35415.730021710602</v>
      </c>
      <c r="I98" s="110">
        <f>NPV(DiscountRate,C$5:C98)</f>
        <v>36604.036300702603</v>
      </c>
      <c r="J98" s="109">
        <f t="shared" si="15"/>
        <v>-3.3553064648492156E-2</v>
      </c>
      <c r="K98" s="121"/>
    </row>
    <row r="99" spans="1:11">
      <c r="A99" s="114">
        <f t="shared" si="12"/>
        <v>2104</v>
      </c>
      <c r="B99" s="108">
        <f>Gasoline!H98</f>
        <v>899.26703747166493</v>
      </c>
      <c r="C99" s="108">
        <f>Ethanol!M112</f>
        <v>736.08871044984892</v>
      </c>
      <c r="D99" s="109">
        <f t="shared" si="13"/>
        <v>0.18145703136256411</v>
      </c>
      <c r="E99" s="110">
        <f t="shared" si="10"/>
        <v>98192.552079655507</v>
      </c>
      <c r="F99" s="110">
        <f t="shared" si="11"/>
        <v>90464.207684827197</v>
      </c>
      <c r="G99" s="109">
        <f t="shared" si="14"/>
        <v>7.8706014164485125E-2</v>
      </c>
      <c r="H99" s="110">
        <f>NPV(DiscountRate,B$5:B99)</f>
        <v>35501.853480370228</v>
      </c>
      <c r="I99" s="110">
        <f>NPV(DiscountRate,C$5:C99)</f>
        <v>36674.532052223178</v>
      </c>
      <c r="J99" s="109">
        <f t="shared" si="15"/>
        <v>-3.3031474610229865E-2</v>
      </c>
      <c r="K99" s="121"/>
    </row>
    <row r="100" spans="1:11">
      <c r="A100" s="114">
        <f t="shared" si="12"/>
        <v>2105</v>
      </c>
      <c r="B100" s="108">
        <f>Gasoline!H99</f>
        <v>896.5443343829744</v>
      </c>
      <c r="C100" s="108">
        <f>Ethanol!M113</f>
        <v>734.2788597446862</v>
      </c>
      <c r="D100" s="109">
        <f t="shared" si="13"/>
        <v>0.18098990581426583</v>
      </c>
      <c r="E100" s="110">
        <f t="shared" si="10"/>
        <v>99089.096414038475</v>
      </c>
      <c r="F100" s="110">
        <f t="shared" si="11"/>
        <v>91198.48654457189</v>
      </c>
      <c r="G100" s="109">
        <f t="shared" si="14"/>
        <v>7.9631464560904822E-2</v>
      </c>
      <c r="H100" s="110">
        <f>NPV(DiscountRate,B$5:B100)</f>
        <v>35585.621971495355</v>
      </c>
      <c r="I100" s="110">
        <f>NPV(DiscountRate,C$5:C100)</f>
        <v>36743.139292029358</v>
      </c>
      <c r="J100" s="109">
        <f t="shared" si="15"/>
        <v>-3.2527668659583724E-2</v>
      </c>
      <c r="K100" s="121"/>
    </row>
    <row r="101" spans="1:11">
      <c r="A101" s="114">
        <f t="shared" si="12"/>
        <v>2106</v>
      </c>
      <c r="B101" s="108">
        <f>Gasoline!H100</f>
        <v>893.86244621117851</v>
      </c>
      <c r="C101" s="108">
        <f>Ethanol!M114</f>
        <v>732.48233489517361</v>
      </c>
      <c r="D101" s="109">
        <f t="shared" si="13"/>
        <v>0.18054244475763356</v>
      </c>
      <c r="E101" s="110">
        <f t="shared" si="10"/>
        <v>99982.958860249651</v>
      </c>
      <c r="F101" s="110">
        <f t="shared" si="11"/>
        <v>91930.968879467066</v>
      </c>
      <c r="G101" s="109">
        <f t="shared" si="14"/>
        <v>8.0533623655178951E-2</v>
      </c>
      <c r="H101" s="110">
        <f>NPV(DiscountRate,B$5:B101)</f>
        <v>35667.102858606537</v>
      </c>
      <c r="I101" s="110">
        <f>NPV(DiscountRate,C$5:C101)</f>
        <v>36809.909420580465</v>
      </c>
      <c r="J101" s="109">
        <f t="shared" si="15"/>
        <v>-3.2040913625766131E-2</v>
      </c>
      <c r="K101" s="121"/>
    </row>
    <row r="102" spans="1:11">
      <c r="A102" s="114">
        <f t="shared" si="12"/>
        <v>2107</v>
      </c>
      <c r="B102" s="108">
        <f>Gasoline!H101</f>
        <v>891.21981684288278</v>
      </c>
      <c r="C102" s="108">
        <f>Ethanol!M115</f>
        <v>730.69890714326516</v>
      </c>
      <c r="D102" s="109">
        <f t="shared" si="13"/>
        <v>0.18011371231427251</v>
      </c>
      <c r="E102" s="110">
        <f t="shared" si="10"/>
        <v>100874.17867709254</v>
      </c>
      <c r="F102" s="110">
        <f t="shared" si="11"/>
        <v>92661.667786610327</v>
      </c>
      <c r="G102" s="109">
        <f t="shared" si="14"/>
        <v>8.1413410232277675E-2</v>
      </c>
      <c r="H102" s="110">
        <f>NPV(DiscountRate,B$5:B102)</f>
        <v>35746.361390997692</v>
      </c>
      <c r="I102" s="110">
        <f>NPV(DiscountRate,C$5:C102)</f>
        <v>36874.892404470069</v>
      </c>
      <c r="J102" s="109">
        <f t="shared" si="15"/>
        <v>-3.1570514300137534E-2</v>
      </c>
      <c r="K102" s="121"/>
    </row>
    <row r="103" spans="1:11">
      <c r="A103" s="114">
        <f t="shared" si="12"/>
        <v>2108</v>
      </c>
      <c r="B103" s="108">
        <f>Gasoline!H102</f>
        <v>888.61496859808938</v>
      </c>
      <c r="C103" s="108">
        <f>Ethanol!M116</f>
        <v>728.92835703921583</v>
      </c>
      <c r="D103" s="109">
        <f t="shared" si="13"/>
        <v>0.17970281528207974</v>
      </c>
      <c r="E103" s="110">
        <f t="shared" si="10"/>
        <v>101762.79364569063</v>
      </c>
      <c r="F103" s="110">
        <f t="shared" si="11"/>
        <v>93390.596143649542</v>
      </c>
      <c r="G103" s="109">
        <f t="shared" si="14"/>
        <v>8.2271694812061882E-2</v>
      </c>
      <c r="H103" s="110">
        <f>NPV(DiscountRate,B$5:B103)</f>
        <v>35823.460782564776</v>
      </c>
      <c r="I103" s="110">
        <f>NPV(DiscountRate,C$5:C103)</f>
        <v>36938.136818316016</v>
      </c>
      <c r="J103" s="109">
        <f t="shared" si="15"/>
        <v>-3.1115811018843566E-2</v>
      </c>
      <c r="K103" s="121"/>
    </row>
    <row r="104" spans="1:11">
      <c r="A104" s="114">
        <f t="shared" si="12"/>
        <v>2109</v>
      </c>
      <c r="B104" s="108">
        <f>Gasoline!H103</f>
        <v>886.04649812490743</v>
      </c>
      <c r="C104" s="108">
        <f>Ethanol!M117</f>
        <v>727.17047396774478</v>
      </c>
      <c r="D104" s="109">
        <f t="shared" si="13"/>
        <v>0.17930890138766242</v>
      </c>
      <c r="E104" s="110">
        <f t="shared" si="10"/>
        <v>102648.84014381554</v>
      </c>
      <c r="F104" s="110">
        <f t="shared" si="11"/>
        <v>94117.766617617293</v>
      </c>
      <c r="G104" s="109">
        <f t="shared" si="14"/>
        <v>8.3109302689108211E-2</v>
      </c>
      <c r="H104" s="110">
        <f>NPV(DiscountRate,B$5:B104)</f>
        <v>35898.462286900474</v>
      </c>
      <c r="I104" s="110">
        <f>NPV(DiscountRate,C$5:C104)</f>
        <v>36999.689885306856</v>
      </c>
      <c r="J104" s="109">
        <f t="shared" si="15"/>
        <v>-3.0676177425243787E-2</v>
      </c>
      <c r="K104" s="121"/>
    </row>
    <row r="105" spans="1:11">
      <c r="A105" s="114">
        <f t="shared" si="12"/>
        <v>2110</v>
      </c>
      <c r="B105" s="108">
        <f>Gasoline!H104</f>
        <v>883.51307251005323</v>
      </c>
      <c r="C105" s="108">
        <f>Ethanol!M118</f>
        <v>725.42505569902721</v>
      </c>
      <c r="D105" s="109">
        <f t="shared" si="13"/>
        <v>0.17893115759102385</v>
      </c>
      <c r="E105" s="110">
        <f t="shared" si="10"/>
        <v>103532.35321632559</v>
      </c>
      <c r="F105" s="110">
        <f t="shared" si="11"/>
        <v>94843.191673316323</v>
      </c>
      <c r="G105" s="109">
        <f t="shared" si="14"/>
        <v>8.3927016754402395E-2</v>
      </c>
      <c r="H105" s="110">
        <f>NPV(DiscountRate,B$5:B105)</f>
        <v>35971.425268875493</v>
      </c>
      <c r="I105" s="110">
        <f>NPV(DiscountRate,C$5:C105)</f>
        <v>37059.597516455797</v>
      </c>
      <c r="J105" s="109">
        <f t="shared" si="15"/>
        <v>-3.0251018397145679E-2</v>
      </c>
      <c r="K105" s="121"/>
    </row>
    <row r="106" spans="1:11">
      <c r="A106" s="121"/>
    </row>
    <row r="107" spans="1:11">
      <c r="A107" s="121"/>
    </row>
    <row r="108" spans="1:11">
      <c r="A108" s="121"/>
    </row>
    <row r="109" spans="1:11">
      <c r="A109" s="121"/>
    </row>
    <row r="110" spans="1:11">
      <c r="A110" s="121"/>
    </row>
    <row r="111" spans="1:11">
      <c r="A111" s="121"/>
    </row>
    <row r="112" spans="1:11">
      <c r="A112" s="121"/>
    </row>
    <row r="113" spans="1:11">
      <c r="A113" s="121"/>
    </row>
    <row r="114" spans="1:11">
      <c r="A114" s="121"/>
    </row>
    <row r="115" spans="1:11">
      <c r="A115" s="121"/>
    </row>
    <row r="116" spans="1:11">
      <c r="A116" s="121"/>
    </row>
    <row r="117" spans="1:11">
      <c r="A117" s="121"/>
    </row>
    <row r="118" spans="1:11">
      <c r="A118" s="121"/>
    </row>
    <row r="119" spans="1:11">
      <c r="A119" s="121"/>
    </row>
    <row r="120" spans="1:11">
      <c r="A120" s="121"/>
    </row>
    <row r="121" spans="1:11">
      <c r="A121" s="121"/>
    </row>
    <row r="122" spans="1:11">
      <c r="B122" s="116"/>
      <c r="D122" s="116"/>
      <c r="E122" s="121"/>
      <c r="G122" s="116"/>
      <c r="I122" s="116"/>
      <c r="J122" s="116"/>
      <c r="K122" s="121"/>
    </row>
    <row r="123" spans="1:11">
      <c r="B123" s="116"/>
      <c r="D123" s="116"/>
      <c r="E123" s="121"/>
      <c r="G123" s="116"/>
      <c r="I123" s="116"/>
      <c r="J123" s="116"/>
      <c r="K123" s="121"/>
    </row>
    <row r="124" spans="1:11">
      <c r="B124" s="116"/>
      <c r="D124" s="116"/>
      <c r="E124" s="121"/>
      <c r="G124" s="116"/>
      <c r="I124" s="116"/>
      <c r="J124" s="116"/>
      <c r="K124" s="121"/>
    </row>
    <row r="125" spans="1:11">
      <c r="B125" s="116"/>
      <c r="D125" s="116"/>
      <c r="E125" s="121"/>
      <c r="G125" s="116"/>
      <c r="I125" s="116"/>
      <c r="J125" s="116"/>
      <c r="K125" s="121"/>
    </row>
    <row r="126" spans="1:11">
      <c r="B126" s="116"/>
      <c r="D126" s="116"/>
      <c r="E126" s="121"/>
      <c r="G126" s="116"/>
      <c r="I126" s="116"/>
      <c r="J126" s="116"/>
      <c r="K126" s="121"/>
    </row>
    <row r="127" spans="1:11">
      <c r="B127" s="116"/>
      <c r="D127" s="116"/>
      <c r="E127" s="121"/>
      <c r="G127" s="116"/>
      <c r="I127" s="116"/>
      <c r="J127" s="116"/>
      <c r="K127" s="121"/>
    </row>
    <row r="128" spans="1:11">
      <c r="B128" s="116"/>
      <c r="D128" s="116"/>
      <c r="E128" s="121"/>
      <c r="G128" s="116"/>
      <c r="I128" s="116"/>
      <c r="J128" s="116"/>
      <c r="K128" s="121"/>
    </row>
    <row r="129" spans="2:11">
      <c r="B129" s="116"/>
      <c r="D129" s="116"/>
      <c r="E129" s="121"/>
      <c r="G129" s="116"/>
      <c r="I129" s="116"/>
      <c r="J129" s="116"/>
      <c r="K129" s="121"/>
    </row>
    <row r="130" spans="2:11">
      <c r="B130" s="116"/>
      <c r="D130" s="116"/>
      <c r="E130" s="121"/>
      <c r="G130" s="116"/>
      <c r="I130" s="116"/>
      <c r="J130" s="116"/>
      <c r="K130" s="121"/>
    </row>
    <row r="131" spans="2:11">
      <c r="B131" s="116"/>
      <c r="D131" s="116"/>
      <c r="E131" s="121"/>
      <c r="G131" s="116"/>
      <c r="I131" s="116"/>
      <c r="J131" s="116"/>
      <c r="K131" s="121"/>
    </row>
    <row r="132" spans="2:11">
      <c r="B132" s="116"/>
      <c r="D132" s="116"/>
      <c r="E132" s="121"/>
      <c r="G132" s="116"/>
      <c r="I132" s="116"/>
      <c r="J132" s="116"/>
      <c r="K132" s="121"/>
    </row>
    <row r="133" spans="2:11">
      <c r="B133" s="116"/>
      <c r="D133" s="116"/>
      <c r="E133" s="121"/>
      <c r="G133" s="116"/>
      <c r="I133" s="116"/>
      <c r="J133" s="116"/>
      <c r="K133" s="121"/>
    </row>
    <row r="134" spans="2:11">
      <c r="B134" s="116"/>
      <c r="D134" s="116"/>
      <c r="E134" s="121"/>
      <c r="G134" s="116"/>
      <c r="I134" s="116"/>
      <c r="J134" s="116"/>
      <c r="K134" s="121"/>
    </row>
    <row r="135" spans="2:11">
      <c r="B135" s="116"/>
      <c r="D135" s="116"/>
      <c r="E135" s="121"/>
      <c r="G135" s="116"/>
      <c r="I135" s="116"/>
      <c r="J135" s="116"/>
      <c r="K135" s="121"/>
    </row>
    <row r="136" spans="2:11">
      <c r="B136" s="116"/>
      <c r="D136" s="116"/>
      <c r="E136" s="121"/>
      <c r="G136" s="116"/>
      <c r="I136" s="116"/>
      <c r="J136" s="116"/>
      <c r="K136" s="121"/>
    </row>
    <row r="137" spans="2:11">
      <c r="B137" s="116"/>
      <c r="D137" s="116"/>
      <c r="E137" s="121"/>
      <c r="G137" s="116"/>
      <c r="I137" s="116"/>
      <c r="J137" s="116"/>
      <c r="K137" s="121"/>
    </row>
    <row r="138" spans="2:11">
      <c r="B138" s="116"/>
      <c r="D138" s="116"/>
      <c r="E138" s="121"/>
      <c r="G138" s="116"/>
      <c r="I138" s="116"/>
      <c r="J138" s="116"/>
      <c r="K138" s="121"/>
    </row>
    <row r="139" spans="2:11">
      <c r="B139" s="116"/>
      <c r="D139" s="116"/>
      <c r="E139" s="121"/>
      <c r="G139" s="116"/>
      <c r="I139" s="116"/>
      <c r="J139" s="116"/>
      <c r="K139" s="121"/>
    </row>
    <row r="140" spans="2:11">
      <c r="B140" s="116"/>
      <c r="D140" s="116"/>
      <c r="E140" s="121"/>
      <c r="G140" s="116"/>
      <c r="I140" s="116"/>
      <c r="J140" s="116"/>
      <c r="K140" s="121"/>
    </row>
    <row r="141" spans="2:11">
      <c r="B141" s="116"/>
      <c r="D141" s="116"/>
      <c r="E141" s="121"/>
      <c r="G141" s="116"/>
      <c r="I141" s="116"/>
      <c r="J141" s="116"/>
      <c r="K141" s="121"/>
    </row>
    <row r="142" spans="2:11">
      <c r="B142" s="116"/>
      <c r="D142" s="116"/>
      <c r="E142" s="121"/>
      <c r="G142" s="116"/>
      <c r="I142" s="116"/>
      <c r="J142" s="116"/>
      <c r="K142" s="121"/>
    </row>
    <row r="143" spans="2:11">
      <c r="B143" s="116"/>
      <c r="D143" s="116"/>
      <c r="E143" s="121"/>
      <c r="G143" s="116"/>
      <c r="I143" s="116"/>
      <c r="J143" s="116"/>
      <c r="K143" s="121"/>
    </row>
    <row r="144" spans="2:11">
      <c r="B144" s="116"/>
      <c r="D144" s="116"/>
      <c r="E144" s="121"/>
      <c r="G144" s="116"/>
      <c r="I144" s="116"/>
      <c r="J144" s="116"/>
      <c r="K144" s="121"/>
    </row>
    <row r="145" spans="2:11">
      <c r="B145" s="116"/>
      <c r="D145" s="116"/>
      <c r="E145" s="121"/>
      <c r="G145" s="116"/>
      <c r="I145" s="116"/>
      <c r="J145" s="116"/>
      <c r="K145" s="121"/>
    </row>
    <row r="146" spans="2:11">
      <c r="B146" s="116"/>
      <c r="D146" s="116"/>
      <c r="E146" s="121"/>
      <c r="G146" s="116"/>
      <c r="I146" s="116"/>
      <c r="J146" s="116"/>
      <c r="K146" s="121"/>
    </row>
    <row r="147" spans="2:11">
      <c r="B147" s="116"/>
      <c r="D147" s="116"/>
      <c r="E147" s="121"/>
      <c r="G147" s="116"/>
      <c r="I147" s="116"/>
      <c r="J147" s="116"/>
      <c r="K147" s="121"/>
    </row>
    <row r="148" spans="2:11">
      <c r="B148" s="116"/>
      <c r="D148" s="116"/>
      <c r="E148" s="121"/>
      <c r="G148" s="116"/>
      <c r="I148" s="116"/>
      <c r="J148" s="116"/>
      <c r="K148" s="121"/>
    </row>
    <row r="149" spans="2:11">
      <c r="B149" s="116"/>
      <c r="D149" s="116"/>
      <c r="E149" s="121"/>
      <c r="G149" s="116"/>
      <c r="I149" s="116"/>
      <c r="J149" s="116"/>
      <c r="K149" s="121"/>
    </row>
    <row r="150" spans="2:11">
      <c r="B150" s="116"/>
      <c r="D150" s="116"/>
      <c r="E150" s="121"/>
      <c r="G150" s="116"/>
      <c r="I150" s="116"/>
      <c r="J150" s="116"/>
      <c r="K150" s="121"/>
    </row>
    <row r="151" spans="2:11">
      <c r="B151" s="116"/>
      <c r="D151" s="116"/>
      <c r="E151" s="121"/>
      <c r="G151" s="116"/>
      <c r="I151" s="116"/>
      <c r="J151" s="116"/>
      <c r="K151" s="121"/>
    </row>
    <row r="152" spans="2:11">
      <c r="B152" s="116"/>
      <c r="D152" s="116"/>
      <c r="E152" s="121"/>
      <c r="G152" s="116"/>
      <c r="I152" s="116"/>
      <c r="J152" s="116"/>
      <c r="K152" s="121"/>
    </row>
    <row r="153" spans="2:11">
      <c r="B153" s="116"/>
      <c r="D153" s="116"/>
      <c r="E153" s="121"/>
      <c r="G153" s="116"/>
      <c r="I153" s="116"/>
      <c r="J153" s="116"/>
      <c r="K153" s="121"/>
    </row>
    <row r="154" spans="2:11">
      <c r="B154" s="116"/>
      <c r="D154" s="116"/>
      <c r="E154" s="121"/>
      <c r="G154" s="116"/>
      <c r="I154" s="116"/>
      <c r="J154" s="116"/>
      <c r="K154" s="121"/>
    </row>
    <row r="155" spans="2:11">
      <c r="B155" s="116"/>
      <c r="D155" s="116"/>
      <c r="E155" s="121"/>
      <c r="G155" s="116"/>
      <c r="I155" s="116"/>
      <c r="J155" s="116"/>
      <c r="K155" s="121"/>
    </row>
    <row r="156" spans="2:11">
      <c r="B156" s="116"/>
      <c r="D156" s="116"/>
      <c r="E156" s="121"/>
      <c r="G156" s="116"/>
      <c r="I156" s="116"/>
      <c r="J156" s="116"/>
      <c r="K156" s="121"/>
    </row>
    <row r="157" spans="2:11">
      <c r="B157" s="116"/>
      <c r="D157" s="116"/>
      <c r="E157" s="121"/>
      <c r="G157" s="116"/>
      <c r="I157" s="116"/>
      <c r="J157" s="116"/>
      <c r="K157" s="121"/>
    </row>
    <row r="158" spans="2:11">
      <c r="B158" s="116"/>
      <c r="D158" s="116"/>
      <c r="E158" s="121"/>
      <c r="G158" s="116"/>
      <c r="I158" s="116"/>
      <c r="J158" s="116"/>
      <c r="K158" s="121"/>
    </row>
    <row r="159" spans="2:11">
      <c r="B159" s="116"/>
      <c r="D159" s="116"/>
      <c r="E159" s="121"/>
      <c r="G159" s="116"/>
      <c r="I159" s="116"/>
      <c r="J159" s="116"/>
      <c r="K159" s="121"/>
    </row>
    <row r="160" spans="2:11">
      <c r="B160" s="116"/>
      <c r="D160" s="116"/>
      <c r="E160" s="121"/>
      <c r="G160" s="116"/>
      <c r="I160" s="116"/>
      <c r="J160" s="116"/>
      <c r="K160" s="121"/>
    </row>
    <row r="161" spans="2:11">
      <c r="B161" s="116"/>
      <c r="D161" s="116"/>
      <c r="E161" s="121"/>
      <c r="G161" s="116"/>
      <c r="I161" s="116"/>
      <c r="J161" s="116"/>
      <c r="K161" s="121"/>
    </row>
    <row r="162" spans="2:11">
      <c r="B162" s="116"/>
      <c r="D162" s="116"/>
      <c r="E162" s="121"/>
      <c r="G162" s="116"/>
      <c r="I162" s="116"/>
      <c r="J162" s="116"/>
      <c r="K162" s="121"/>
    </row>
    <row r="163" spans="2:11">
      <c r="B163" s="116"/>
      <c r="D163" s="116"/>
      <c r="E163" s="121"/>
      <c r="G163" s="116"/>
      <c r="I163" s="116"/>
      <c r="J163" s="116"/>
      <c r="K163" s="121"/>
    </row>
    <row r="164" spans="2:11">
      <c r="B164" s="116"/>
      <c r="D164" s="116"/>
      <c r="E164" s="121"/>
      <c r="G164" s="116"/>
      <c r="I164" s="116"/>
      <c r="J164" s="116"/>
      <c r="K164" s="121"/>
    </row>
    <row r="165" spans="2:11">
      <c r="B165" s="116"/>
      <c r="D165" s="116"/>
      <c r="E165" s="121"/>
      <c r="G165" s="116"/>
      <c r="I165" s="116"/>
      <c r="J165" s="116"/>
      <c r="K165" s="121"/>
    </row>
    <row r="166" spans="2:11">
      <c r="B166" s="116"/>
      <c r="D166" s="116"/>
      <c r="E166" s="121"/>
      <c r="G166" s="116"/>
      <c r="I166" s="116"/>
      <c r="J166" s="116"/>
      <c r="K166" s="121"/>
    </row>
    <row r="167" spans="2:11">
      <c r="B167" s="116"/>
      <c r="D167" s="116"/>
      <c r="E167" s="121"/>
      <c r="G167" s="116"/>
      <c r="I167" s="116"/>
      <c r="J167" s="116"/>
      <c r="K167" s="121"/>
    </row>
    <row r="168" spans="2:11">
      <c r="B168" s="116"/>
      <c r="D168" s="116"/>
      <c r="E168" s="121"/>
      <c r="G168" s="116"/>
      <c r="I168" s="116"/>
      <c r="J168" s="116"/>
      <c r="K168" s="121"/>
    </row>
    <row r="169" spans="2:11">
      <c r="B169" s="116"/>
      <c r="D169" s="116"/>
      <c r="E169" s="121"/>
      <c r="G169" s="116"/>
      <c r="I169" s="116"/>
      <c r="J169" s="116"/>
      <c r="K169" s="121"/>
    </row>
    <row r="170" spans="2:11">
      <c r="B170" s="116"/>
      <c r="D170" s="116"/>
      <c r="E170" s="121"/>
      <c r="G170" s="116"/>
      <c r="I170" s="116"/>
      <c r="J170" s="116"/>
      <c r="K170" s="121"/>
    </row>
    <row r="171" spans="2:11">
      <c r="B171" s="116"/>
      <c r="D171" s="116"/>
      <c r="E171" s="121"/>
      <c r="G171" s="116"/>
      <c r="I171" s="116"/>
      <c r="J171" s="116"/>
      <c r="K171" s="121"/>
    </row>
    <row r="172" spans="2:11">
      <c r="B172" s="116"/>
      <c r="D172" s="116"/>
      <c r="E172" s="121"/>
      <c r="G172" s="116"/>
      <c r="I172" s="116"/>
      <c r="J172" s="116"/>
      <c r="K172" s="121"/>
    </row>
    <row r="173" spans="2:11">
      <c r="B173" s="116"/>
      <c r="D173" s="116"/>
      <c r="E173" s="121"/>
      <c r="G173" s="116"/>
      <c r="I173" s="116"/>
      <c r="J173" s="116"/>
      <c r="K173" s="121"/>
    </row>
    <row r="174" spans="2:11">
      <c r="B174" s="116"/>
      <c r="D174" s="116"/>
      <c r="E174" s="121"/>
      <c r="G174" s="116"/>
      <c r="I174" s="116"/>
      <c r="J174" s="116"/>
      <c r="K174" s="121"/>
    </row>
    <row r="175" spans="2:11">
      <c r="B175" s="116"/>
      <c r="D175" s="116"/>
      <c r="E175" s="121"/>
      <c r="G175" s="116"/>
      <c r="I175" s="116"/>
      <c r="J175" s="116"/>
      <c r="K175" s="121"/>
    </row>
    <row r="176" spans="2:11">
      <c r="B176" s="116"/>
      <c r="D176" s="116"/>
      <c r="E176" s="121"/>
      <c r="G176" s="116"/>
      <c r="I176" s="116"/>
      <c r="J176" s="116"/>
      <c r="K176" s="121"/>
    </row>
    <row r="177" spans="2:11">
      <c r="B177" s="116"/>
      <c r="D177" s="116"/>
      <c r="E177" s="121"/>
      <c r="G177" s="116"/>
      <c r="I177" s="116"/>
      <c r="J177" s="116"/>
      <c r="K177" s="121"/>
    </row>
    <row r="178" spans="2:11">
      <c r="B178" s="116"/>
      <c r="D178" s="116"/>
      <c r="E178" s="121"/>
      <c r="G178" s="116"/>
      <c r="I178" s="116"/>
      <c r="J178" s="116"/>
      <c r="K178" s="121"/>
    </row>
    <row r="179" spans="2:11">
      <c r="B179" s="116"/>
      <c r="D179" s="116"/>
      <c r="E179" s="121"/>
      <c r="G179" s="116"/>
      <c r="I179" s="116"/>
      <c r="J179" s="116"/>
      <c r="K179" s="121"/>
    </row>
    <row r="180" spans="2:11">
      <c r="B180" s="116"/>
      <c r="D180" s="116"/>
      <c r="E180" s="121"/>
      <c r="G180" s="116"/>
      <c r="I180" s="116"/>
      <c r="J180" s="116"/>
      <c r="K180" s="121"/>
    </row>
    <row r="181" spans="2:11">
      <c r="B181" s="116"/>
      <c r="D181" s="116"/>
      <c r="E181" s="121"/>
      <c r="G181" s="116"/>
      <c r="I181" s="116"/>
      <c r="J181" s="116"/>
      <c r="K181" s="121"/>
    </row>
    <row r="182" spans="2:11">
      <c r="B182" s="116"/>
      <c r="D182" s="116"/>
      <c r="E182" s="121"/>
      <c r="G182" s="116"/>
      <c r="I182" s="116"/>
      <c r="J182" s="116"/>
      <c r="K182" s="121"/>
    </row>
    <row r="183" spans="2:11">
      <c r="B183" s="116"/>
      <c r="D183" s="116"/>
      <c r="E183" s="121"/>
      <c r="G183" s="116"/>
      <c r="I183" s="116"/>
      <c r="J183" s="116"/>
      <c r="K183" s="121"/>
    </row>
    <row r="184" spans="2:11">
      <c r="B184" s="116"/>
      <c r="D184" s="116"/>
      <c r="E184" s="121"/>
      <c r="G184" s="116"/>
      <c r="I184" s="116"/>
      <c r="J184" s="116"/>
      <c r="K184" s="121"/>
    </row>
    <row r="185" spans="2:11">
      <c r="B185" s="116"/>
      <c r="D185" s="116"/>
      <c r="E185" s="121"/>
      <c r="G185" s="116"/>
      <c r="I185" s="116"/>
      <c r="J185" s="116"/>
      <c r="K185" s="121"/>
    </row>
    <row r="186" spans="2:11">
      <c r="B186" s="116"/>
      <c r="D186" s="116"/>
      <c r="E186" s="121"/>
      <c r="G186" s="116"/>
      <c r="I186" s="116"/>
      <c r="J186" s="116"/>
      <c r="K186" s="121"/>
    </row>
    <row r="187" spans="2:11">
      <c r="B187" s="116"/>
      <c r="D187" s="116"/>
      <c r="E187" s="121"/>
      <c r="G187" s="116"/>
      <c r="I187" s="116"/>
      <c r="J187" s="116"/>
      <c r="K187" s="121"/>
    </row>
    <row r="188" spans="2:11">
      <c r="B188" s="116"/>
      <c r="D188" s="116"/>
      <c r="E188" s="121"/>
      <c r="G188" s="116"/>
      <c r="I188" s="116"/>
      <c r="J188" s="116"/>
      <c r="K188" s="121"/>
    </row>
    <row r="189" spans="2:11">
      <c r="B189" s="116"/>
      <c r="D189" s="116"/>
      <c r="E189" s="121"/>
      <c r="G189" s="116"/>
      <c r="I189" s="116"/>
      <c r="J189" s="116"/>
      <c r="K189" s="121"/>
    </row>
    <row r="190" spans="2:11">
      <c r="B190" s="116"/>
      <c r="D190" s="116"/>
      <c r="E190" s="121"/>
      <c r="G190" s="116"/>
      <c r="I190" s="116"/>
      <c r="J190" s="116"/>
      <c r="K190" s="121"/>
    </row>
    <row r="191" spans="2:11">
      <c r="B191" s="116"/>
      <c r="D191" s="116"/>
      <c r="E191" s="121"/>
      <c r="G191" s="116"/>
      <c r="I191" s="116"/>
      <c r="J191" s="116"/>
      <c r="K191" s="121"/>
    </row>
    <row r="192" spans="2:11">
      <c r="B192" s="116"/>
      <c r="D192" s="116"/>
      <c r="E192" s="121"/>
      <c r="G192" s="116"/>
      <c r="I192" s="116"/>
      <c r="J192" s="116"/>
      <c r="K192" s="121"/>
    </row>
    <row r="193" spans="2:11">
      <c r="B193" s="116"/>
      <c r="D193" s="116"/>
      <c r="E193" s="121"/>
      <c r="G193" s="116"/>
      <c r="I193" s="116"/>
      <c r="J193" s="116"/>
      <c r="K193" s="121"/>
    </row>
    <row r="194" spans="2:11">
      <c r="B194" s="116"/>
      <c r="D194" s="116"/>
      <c r="E194" s="121"/>
      <c r="G194" s="116"/>
      <c r="I194" s="116"/>
      <c r="J194" s="116"/>
      <c r="K194" s="121"/>
    </row>
    <row r="195" spans="2:11">
      <c r="B195" s="116"/>
      <c r="D195" s="116"/>
      <c r="E195" s="121"/>
      <c r="G195" s="116"/>
      <c r="I195" s="116"/>
      <c r="J195" s="116"/>
      <c r="K195" s="121"/>
    </row>
    <row r="196" spans="2:11">
      <c r="B196" s="116"/>
      <c r="D196" s="116"/>
      <c r="E196" s="121"/>
      <c r="G196" s="116"/>
      <c r="I196" s="116"/>
      <c r="J196" s="116"/>
      <c r="K196" s="121"/>
    </row>
    <row r="197" spans="2:11">
      <c r="B197" s="116"/>
      <c r="D197" s="116"/>
      <c r="E197" s="121"/>
      <c r="G197" s="116"/>
      <c r="I197" s="116"/>
      <c r="J197" s="116"/>
      <c r="K197" s="121"/>
    </row>
    <row r="198" spans="2:11">
      <c r="B198" s="116"/>
      <c r="D198" s="116"/>
      <c r="E198" s="121"/>
      <c r="G198" s="116"/>
      <c r="I198" s="116"/>
      <c r="J198" s="116"/>
      <c r="K198" s="121"/>
    </row>
    <row r="199" spans="2:11">
      <c r="B199" s="116"/>
      <c r="D199" s="116"/>
      <c r="E199" s="121"/>
      <c r="G199" s="116"/>
      <c r="I199" s="116"/>
      <c r="J199" s="116"/>
      <c r="K199" s="121"/>
    </row>
    <row r="200" spans="2:11">
      <c r="B200" s="116"/>
      <c r="D200" s="116"/>
      <c r="E200" s="121"/>
      <c r="G200" s="116"/>
      <c r="I200" s="116"/>
      <c r="J200" s="116"/>
      <c r="K200" s="121"/>
    </row>
    <row r="201" spans="2:11">
      <c r="B201" s="116"/>
      <c r="D201" s="116"/>
      <c r="E201" s="121"/>
      <c r="G201" s="116"/>
      <c r="I201" s="116"/>
      <c r="J201" s="116"/>
      <c r="K201" s="121"/>
    </row>
    <row r="202" spans="2:11">
      <c r="B202" s="116"/>
      <c r="D202" s="116"/>
      <c r="E202" s="121"/>
      <c r="G202" s="116"/>
      <c r="I202" s="116"/>
      <c r="J202" s="116"/>
      <c r="K202" s="121"/>
    </row>
    <row r="203" spans="2:11">
      <c r="B203" s="116"/>
      <c r="D203" s="116"/>
      <c r="E203" s="121"/>
      <c r="G203" s="116"/>
      <c r="I203" s="116"/>
      <c r="J203" s="116"/>
      <c r="K203" s="121"/>
    </row>
    <row r="204" spans="2:11">
      <c r="B204" s="116"/>
      <c r="D204" s="116"/>
      <c r="E204" s="121"/>
      <c r="G204" s="116"/>
      <c r="I204" s="116"/>
      <c r="J204" s="116"/>
      <c r="K204" s="121"/>
    </row>
    <row r="205" spans="2:11">
      <c r="B205" s="116"/>
      <c r="D205" s="116"/>
      <c r="E205" s="121"/>
      <c r="G205" s="116"/>
      <c r="I205" s="116"/>
      <c r="J205" s="116"/>
      <c r="K205" s="121"/>
    </row>
    <row r="206" spans="2:11">
      <c r="B206" s="116"/>
      <c r="D206" s="116"/>
      <c r="E206" s="121"/>
      <c r="G206" s="116"/>
      <c r="I206" s="116"/>
      <c r="J206" s="116"/>
      <c r="K206" s="121"/>
    </row>
    <row r="207" spans="2:11">
      <c r="B207" s="116"/>
      <c r="D207" s="116"/>
      <c r="E207" s="121"/>
      <c r="G207" s="116"/>
      <c r="I207" s="116"/>
      <c r="J207" s="116"/>
      <c r="K207" s="121"/>
    </row>
    <row r="208" spans="2:11">
      <c r="B208" s="116"/>
      <c r="D208" s="116"/>
      <c r="E208" s="121"/>
      <c r="G208" s="116"/>
      <c r="I208" s="116"/>
      <c r="J208" s="116"/>
      <c r="K208" s="121"/>
    </row>
    <row r="209" spans="2:11">
      <c r="B209" s="116"/>
      <c r="D209" s="116"/>
      <c r="E209" s="121"/>
      <c r="G209" s="116"/>
      <c r="I209" s="116"/>
      <c r="J209" s="116"/>
      <c r="K209" s="121"/>
    </row>
    <row r="210" spans="2:11">
      <c r="B210" s="116"/>
      <c r="D210" s="116"/>
      <c r="E210" s="121"/>
      <c r="G210" s="116"/>
      <c r="I210" s="116"/>
      <c r="J210" s="116"/>
      <c r="K210" s="121"/>
    </row>
    <row r="211" spans="2:11">
      <c r="B211" s="116"/>
      <c r="D211" s="116"/>
      <c r="E211" s="121"/>
      <c r="G211" s="116"/>
      <c r="I211" s="116"/>
      <c r="J211" s="116"/>
      <c r="K211" s="121"/>
    </row>
    <row r="212" spans="2:11">
      <c r="B212" s="116"/>
      <c r="D212" s="116"/>
      <c r="E212" s="121"/>
      <c r="G212" s="116"/>
      <c r="I212" s="116"/>
      <c r="J212" s="116"/>
      <c r="K212" s="121"/>
    </row>
    <row r="213" spans="2:11">
      <c r="B213" s="116"/>
      <c r="D213" s="116"/>
      <c r="E213" s="121"/>
      <c r="G213" s="116"/>
      <c r="I213" s="116"/>
      <c r="J213" s="116"/>
      <c r="K213" s="121"/>
    </row>
    <row r="214" spans="2:11">
      <c r="B214" s="116"/>
      <c r="D214" s="116"/>
      <c r="E214" s="121"/>
      <c r="G214" s="116"/>
      <c r="I214" s="116"/>
      <c r="J214" s="116"/>
      <c r="K214" s="121"/>
    </row>
    <row r="215" spans="2:11">
      <c r="B215" s="116"/>
      <c r="D215" s="116"/>
      <c r="E215" s="121"/>
      <c r="G215" s="116"/>
      <c r="I215" s="116"/>
      <c r="J215" s="116"/>
      <c r="K215" s="121"/>
    </row>
    <row r="216" spans="2:11">
      <c r="B216" s="116"/>
      <c r="D216" s="116"/>
      <c r="E216" s="121"/>
      <c r="G216" s="116"/>
      <c r="I216" s="116"/>
      <c r="J216" s="116"/>
      <c r="K216" s="121"/>
    </row>
    <row r="217" spans="2:11">
      <c r="B217" s="116"/>
      <c r="D217" s="116"/>
      <c r="E217" s="121"/>
      <c r="G217" s="116"/>
      <c r="I217" s="116"/>
      <c r="J217" s="116"/>
      <c r="K217" s="121"/>
    </row>
    <row r="218" spans="2:11">
      <c r="B218" s="116"/>
      <c r="D218" s="116"/>
      <c r="E218" s="121"/>
      <c r="G218" s="116"/>
      <c r="I218" s="116"/>
      <c r="J218" s="116"/>
      <c r="K218" s="121"/>
    </row>
    <row r="219" spans="2:11">
      <c r="B219" s="116"/>
      <c r="D219" s="116"/>
      <c r="E219" s="121"/>
      <c r="G219" s="116"/>
      <c r="I219" s="116"/>
      <c r="J219" s="116"/>
      <c r="K219" s="121"/>
    </row>
    <row r="220" spans="2:11">
      <c r="B220" s="116"/>
      <c r="D220" s="116"/>
      <c r="E220" s="121"/>
      <c r="G220" s="116"/>
      <c r="I220" s="116"/>
      <c r="J220" s="116"/>
      <c r="K220" s="121"/>
    </row>
    <row r="221" spans="2:11">
      <c r="B221" s="116"/>
      <c r="D221" s="116"/>
      <c r="E221" s="121"/>
      <c r="G221" s="116"/>
      <c r="I221" s="116"/>
      <c r="J221" s="116"/>
      <c r="K221" s="121"/>
    </row>
    <row r="222" spans="2:11">
      <c r="B222" s="116"/>
      <c r="D222" s="116"/>
      <c r="E222" s="121"/>
      <c r="G222" s="116"/>
      <c r="I222" s="116"/>
      <c r="J222" s="116"/>
      <c r="K222" s="121"/>
    </row>
    <row r="223" spans="2:11">
      <c r="B223" s="116"/>
      <c r="D223" s="116"/>
      <c r="E223" s="121"/>
      <c r="G223" s="116"/>
      <c r="I223" s="116"/>
      <c r="J223" s="116"/>
      <c r="K223" s="121"/>
    </row>
    <row r="224" spans="2:11">
      <c r="B224" s="116"/>
      <c r="D224" s="116"/>
      <c r="E224" s="121"/>
      <c r="G224" s="116"/>
      <c r="I224" s="116"/>
      <c r="J224" s="116"/>
      <c r="K224" s="121"/>
    </row>
    <row r="225" spans="2:11">
      <c r="B225" s="116"/>
      <c r="D225" s="116"/>
      <c r="E225" s="121"/>
      <c r="G225" s="116"/>
      <c r="I225" s="116"/>
      <c r="J225" s="116"/>
      <c r="K225" s="121"/>
    </row>
    <row r="226" spans="2:11">
      <c r="B226" s="116"/>
      <c r="D226" s="116"/>
      <c r="E226" s="121"/>
      <c r="G226" s="116"/>
      <c r="I226" s="116"/>
      <c r="J226" s="116"/>
      <c r="K226" s="121"/>
    </row>
    <row r="227" spans="2:11">
      <c r="B227" s="116"/>
      <c r="D227" s="116"/>
      <c r="E227" s="121"/>
      <c r="G227" s="116"/>
      <c r="I227" s="116"/>
      <c r="J227" s="116"/>
      <c r="K227" s="121"/>
    </row>
    <row r="228" spans="2:11">
      <c r="B228" s="116"/>
      <c r="D228" s="116"/>
      <c r="E228" s="121"/>
      <c r="G228" s="116"/>
      <c r="I228" s="116"/>
      <c r="J228" s="116"/>
      <c r="K228" s="121"/>
    </row>
    <row r="229" spans="2:11">
      <c r="B229" s="116"/>
      <c r="D229" s="116"/>
      <c r="E229" s="121"/>
      <c r="G229" s="116"/>
      <c r="I229" s="116"/>
      <c r="J229" s="116"/>
      <c r="K229" s="121"/>
    </row>
    <row r="230" spans="2:11">
      <c r="B230" s="116"/>
      <c r="D230" s="116"/>
      <c r="E230" s="121"/>
      <c r="G230" s="116"/>
      <c r="I230" s="116"/>
      <c r="J230" s="116"/>
      <c r="K230" s="121"/>
    </row>
    <row r="231" spans="2:11">
      <c r="B231" s="116"/>
      <c r="D231" s="116"/>
      <c r="E231" s="121"/>
      <c r="G231" s="116"/>
      <c r="I231" s="116"/>
      <c r="J231" s="116"/>
      <c r="K231" s="121"/>
    </row>
    <row r="232" spans="2:11">
      <c r="B232" s="116"/>
      <c r="D232" s="116"/>
      <c r="E232" s="121"/>
      <c r="G232" s="116"/>
      <c r="I232" s="116"/>
      <c r="J232" s="116"/>
      <c r="K232" s="121"/>
    </row>
    <row r="233" spans="2:11">
      <c r="B233" s="116"/>
      <c r="D233" s="116"/>
      <c r="E233" s="121"/>
      <c r="G233" s="116"/>
      <c r="I233" s="116"/>
      <c r="J233" s="116"/>
      <c r="K233" s="121"/>
    </row>
    <row r="234" spans="2:11">
      <c r="B234" s="116"/>
      <c r="D234" s="116"/>
      <c r="E234" s="121"/>
      <c r="G234" s="116"/>
      <c r="I234" s="116"/>
      <c r="J234" s="116"/>
      <c r="K234" s="121"/>
    </row>
    <row r="235" spans="2:11">
      <c r="B235" s="116"/>
      <c r="D235" s="116"/>
      <c r="E235" s="121"/>
      <c r="G235" s="116"/>
      <c r="I235" s="116"/>
      <c r="J235" s="116"/>
      <c r="K235" s="121"/>
    </row>
    <row r="236" spans="2:11">
      <c r="B236" s="116"/>
      <c r="D236" s="116"/>
      <c r="E236" s="121"/>
      <c r="G236" s="116"/>
      <c r="I236" s="116"/>
      <c r="J236" s="116"/>
      <c r="K236" s="121"/>
    </row>
    <row r="237" spans="2:11">
      <c r="B237" s="116"/>
      <c r="D237" s="116"/>
      <c r="E237" s="121"/>
      <c r="G237" s="116"/>
      <c r="I237" s="116"/>
      <c r="J237" s="116"/>
      <c r="K237" s="121"/>
    </row>
    <row r="238" spans="2:11">
      <c r="B238" s="116"/>
      <c r="D238" s="116"/>
      <c r="E238" s="121"/>
      <c r="G238" s="116"/>
      <c r="I238" s="116"/>
      <c r="J238" s="116"/>
      <c r="K238" s="121"/>
    </row>
    <row r="239" spans="2:11">
      <c r="B239" s="116"/>
      <c r="D239" s="116"/>
      <c r="E239" s="121"/>
      <c r="G239" s="116"/>
      <c r="I239" s="116"/>
      <c r="J239" s="116"/>
      <c r="K239" s="121"/>
    </row>
    <row r="240" spans="2:11">
      <c r="B240" s="116"/>
      <c r="D240" s="116"/>
      <c r="E240" s="121"/>
      <c r="G240" s="116"/>
      <c r="I240" s="116"/>
      <c r="J240" s="116"/>
      <c r="K240" s="121"/>
    </row>
    <row r="241" spans="2:11">
      <c r="B241" s="116"/>
      <c r="D241" s="116"/>
      <c r="E241" s="121"/>
      <c r="G241" s="116"/>
      <c r="I241" s="116"/>
      <c r="J241" s="116"/>
      <c r="K241" s="121"/>
    </row>
    <row r="242" spans="2:11">
      <c r="B242" s="116"/>
      <c r="D242" s="116"/>
      <c r="E242" s="121"/>
      <c r="G242" s="116"/>
      <c r="I242" s="116"/>
      <c r="J242" s="116"/>
      <c r="K242" s="121"/>
    </row>
    <row r="243" spans="2:11">
      <c r="B243" s="116"/>
      <c r="D243" s="116"/>
      <c r="E243" s="121"/>
      <c r="G243" s="116"/>
      <c r="I243" s="116"/>
      <c r="J243" s="116"/>
      <c r="K243" s="121"/>
    </row>
    <row r="244" spans="2:11">
      <c r="B244" s="116"/>
      <c r="D244" s="116"/>
      <c r="E244" s="121"/>
      <c r="G244" s="116"/>
      <c r="I244" s="116"/>
      <c r="J244" s="116"/>
      <c r="K244" s="121"/>
    </row>
    <row r="245" spans="2:11">
      <c r="B245" s="116"/>
      <c r="D245" s="116"/>
      <c r="E245" s="121"/>
      <c r="G245" s="116"/>
      <c r="I245" s="116"/>
      <c r="J245" s="116"/>
      <c r="K245" s="121"/>
    </row>
    <row r="246" spans="2:11">
      <c r="B246" s="116"/>
      <c r="D246" s="116"/>
      <c r="E246" s="121"/>
      <c r="G246" s="116"/>
      <c r="I246" s="116"/>
      <c r="J246" s="116"/>
      <c r="K246" s="121"/>
    </row>
    <row r="247" spans="2:11">
      <c r="B247" s="116"/>
      <c r="D247" s="116"/>
      <c r="E247" s="121"/>
      <c r="G247" s="116"/>
      <c r="I247" s="116"/>
      <c r="J247" s="116"/>
      <c r="K247" s="121"/>
    </row>
    <row r="248" spans="2:11">
      <c r="B248" s="116"/>
      <c r="D248" s="116"/>
      <c r="E248" s="121"/>
      <c r="G248" s="116"/>
      <c r="I248" s="116"/>
      <c r="J248" s="116"/>
      <c r="K248" s="121"/>
    </row>
    <row r="249" spans="2:11">
      <c r="B249" s="116"/>
      <c r="D249" s="116"/>
      <c r="E249" s="121"/>
      <c r="G249" s="116"/>
      <c r="I249" s="116"/>
      <c r="J249" s="116"/>
      <c r="K249" s="121"/>
    </row>
    <row r="250" spans="2:11">
      <c r="B250" s="116"/>
      <c r="D250" s="116"/>
      <c r="E250" s="121"/>
      <c r="G250" s="116"/>
      <c r="I250" s="116"/>
      <c r="J250" s="116"/>
      <c r="K250" s="121"/>
    </row>
    <row r="251" spans="2:11">
      <c r="B251" s="116"/>
      <c r="D251" s="116"/>
      <c r="E251" s="121"/>
      <c r="G251" s="116"/>
      <c r="I251" s="116"/>
      <c r="J251" s="116"/>
      <c r="K251" s="121"/>
    </row>
    <row r="252" spans="2:11">
      <c r="B252" s="116"/>
      <c r="D252" s="116"/>
      <c r="E252" s="121"/>
      <c r="G252" s="116"/>
      <c r="I252" s="116"/>
      <c r="J252" s="116"/>
      <c r="K252" s="121"/>
    </row>
    <row r="253" spans="2:11">
      <c r="B253" s="116"/>
      <c r="D253" s="116"/>
      <c r="E253" s="121"/>
      <c r="G253" s="116"/>
      <c r="I253" s="116"/>
      <c r="J253" s="116"/>
      <c r="K253" s="121"/>
    </row>
    <row r="254" spans="2:11">
      <c r="B254" s="116"/>
      <c r="D254" s="116"/>
      <c r="E254" s="121"/>
      <c r="G254" s="116"/>
      <c r="I254" s="116"/>
      <c r="J254" s="116"/>
      <c r="K254" s="121"/>
    </row>
    <row r="255" spans="2:11">
      <c r="B255" s="116"/>
      <c r="D255" s="116"/>
      <c r="E255" s="121"/>
      <c r="G255" s="116"/>
      <c r="I255" s="116"/>
      <c r="J255" s="116"/>
      <c r="K255" s="121"/>
    </row>
    <row r="256" spans="2:11">
      <c r="B256" s="116"/>
      <c r="D256" s="116"/>
      <c r="E256" s="121"/>
      <c r="G256" s="116"/>
      <c r="I256" s="116"/>
      <c r="J256" s="116"/>
      <c r="K256" s="121"/>
    </row>
    <row r="257" spans="2:11">
      <c r="B257" s="116"/>
      <c r="D257" s="116"/>
      <c r="E257" s="121"/>
      <c r="G257" s="116"/>
      <c r="I257" s="116"/>
      <c r="J257" s="116"/>
      <c r="K257" s="121"/>
    </row>
    <row r="258" spans="2:11">
      <c r="B258" s="116"/>
      <c r="D258" s="116"/>
      <c r="E258" s="121"/>
      <c r="G258" s="116"/>
      <c r="I258" s="116"/>
      <c r="J258" s="116"/>
      <c r="K258" s="121"/>
    </row>
    <row r="259" spans="2:11">
      <c r="B259" s="116"/>
      <c r="D259" s="116"/>
      <c r="E259" s="121"/>
      <c r="G259" s="116"/>
      <c r="I259" s="116"/>
      <c r="J259" s="116"/>
      <c r="K259" s="121"/>
    </row>
    <row r="260" spans="2:11">
      <c r="B260" s="116"/>
      <c r="D260" s="116"/>
      <c r="E260" s="121"/>
      <c r="G260" s="116"/>
      <c r="I260" s="116"/>
      <c r="J260" s="116"/>
      <c r="K260" s="121"/>
    </row>
    <row r="261" spans="2:11">
      <c r="B261" s="116"/>
      <c r="D261" s="116"/>
      <c r="E261" s="121"/>
      <c r="G261" s="116"/>
      <c r="I261" s="116"/>
      <c r="J261" s="116"/>
      <c r="K261" s="121"/>
    </row>
    <row r="262" spans="2:11">
      <c r="B262" s="116"/>
      <c r="D262" s="116"/>
      <c r="E262" s="121"/>
      <c r="G262" s="116"/>
      <c r="I262" s="116"/>
      <c r="J262" s="116"/>
      <c r="K262" s="121"/>
    </row>
    <row r="263" spans="2:11">
      <c r="B263" s="116"/>
      <c r="D263" s="116"/>
      <c r="E263" s="121"/>
      <c r="G263" s="116"/>
      <c r="I263" s="116"/>
      <c r="J263" s="116"/>
      <c r="K263" s="121"/>
    </row>
    <row r="264" spans="2:11">
      <c r="B264" s="116"/>
      <c r="D264" s="116"/>
      <c r="E264" s="121"/>
      <c r="G264" s="116"/>
      <c r="I264" s="116"/>
      <c r="J264" s="116"/>
      <c r="K264" s="121"/>
    </row>
    <row r="265" spans="2:11">
      <c r="B265" s="116"/>
      <c r="D265" s="116"/>
      <c r="E265" s="121"/>
      <c r="G265" s="116"/>
      <c r="I265" s="116"/>
      <c r="J265" s="116"/>
      <c r="K265" s="121"/>
    </row>
    <row r="266" spans="2:11">
      <c r="B266" s="116"/>
      <c r="D266" s="116"/>
      <c r="E266" s="121"/>
      <c r="G266" s="116"/>
      <c r="I266" s="116"/>
      <c r="J266" s="116"/>
      <c r="K266" s="121"/>
    </row>
    <row r="267" spans="2:11">
      <c r="B267" s="116"/>
      <c r="D267" s="116"/>
      <c r="E267" s="121"/>
      <c r="G267" s="116"/>
      <c r="I267" s="116"/>
      <c r="J267" s="116"/>
      <c r="K267" s="121"/>
    </row>
    <row r="268" spans="2:11">
      <c r="B268" s="116"/>
      <c r="D268" s="116"/>
      <c r="E268" s="121"/>
      <c r="G268" s="116"/>
      <c r="I268" s="116"/>
      <c r="J268" s="116"/>
      <c r="K268" s="121"/>
    </row>
    <row r="269" spans="2:11">
      <c r="B269" s="116"/>
      <c r="D269" s="116"/>
      <c r="E269" s="121"/>
      <c r="G269" s="116"/>
      <c r="I269" s="116"/>
      <c r="J269" s="116"/>
      <c r="K269" s="121"/>
    </row>
    <row r="270" spans="2:11">
      <c r="B270" s="116"/>
      <c r="D270" s="116"/>
      <c r="E270" s="121"/>
      <c r="G270" s="116"/>
      <c r="I270" s="116"/>
      <c r="J270" s="116"/>
      <c r="K270" s="121"/>
    </row>
    <row r="271" spans="2:11">
      <c r="B271" s="116"/>
      <c r="D271" s="116"/>
      <c r="E271" s="121"/>
      <c r="G271" s="116"/>
      <c r="I271" s="116"/>
      <c r="J271" s="116"/>
      <c r="K271" s="121"/>
    </row>
    <row r="272" spans="2:11">
      <c r="B272" s="116"/>
      <c r="D272" s="116"/>
      <c r="E272" s="121"/>
      <c r="G272" s="116"/>
      <c r="I272" s="116"/>
      <c r="J272" s="116"/>
      <c r="K272" s="121"/>
    </row>
    <row r="273" spans="2:11">
      <c r="B273" s="116"/>
      <c r="D273" s="116"/>
      <c r="E273" s="121"/>
      <c r="G273" s="116"/>
      <c r="I273" s="116"/>
      <c r="J273" s="116"/>
      <c r="K273" s="121"/>
    </row>
    <row r="274" spans="2:11">
      <c r="B274" s="116"/>
      <c r="D274" s="116"/>
      <c r="E274" s="121"/>
      <c r="G274" s="116"/>
      <c r="I274" s="116"/>
      <c r="J274" s="116"/>
      <c r="K274" s="121"/>
    </row>
    <row r="275" spans="2:11">
      <c r="B275" s="116"/>
      <c r="D275" s="116"/>
      <c r="E275" s="121"/>
      <c r="G275" s="116"/>
      <c r="I275" s="116"/>
      <c r="J275" s="116"/>
      <c r="K275" s="121"/>
    </row>
    <row r="276" spans="2:11">
      <c r="B276" s="116"/>
      <c r="D276" s="116"/>
      <c r="E276" s="121"/>
      <c r="G276" s="116"/>
      <c r="I276" s="116"/>
      <c r="J276" s="116"/>
      <c r="K276" s="121"/>
    </row>
    <row r="277" spans="2:11">
      <c r="B277" s="116"/>
      <c r="D277" s="116"/>
      <c r="E277" s="121"/>
      <c r="G277" s="116"/>
      <c r="I277" s="116"/>
      <c r="J277" s="116"/>
      <c r="K277" s="121"/>
    </row>
    <row r="278" spans="2:11">
      <c r="B278" s="116"/>
      <c r="D278" s="116"/>
      <c r="E278" s="121"/>
      <c r="G278" s="116"/>
      <c r="I278" s="116"/>
      <c r="J278" s="116"/>
      <c r="K278" s="121"/>
    </row>
    <row r="279" spans="2:11">
      <c r="B279" s="116"/>
      <c r="D279" s="116"/>
      <c r="E279" s="121"/>
      <c r="G279" s="116"/>
      <c r="I279" s="116"/>
      <c r="J279" s="116"/>
      <c r="K279" s="121"/>
    </row>
    <row r="280" spans="2:11">
      <c r="B280" s="116"/>
      <c r="D280" s="116"/>
      <c r="E280" s="121"/>
      <c r="G280" s="116"/>
      <c r="I280" s="116"/>
      <c r="J280" s="116"/>
      <c r="K280" s="121"/>
    </row>
    <row r="281" spans="2:11">
      <c r="B281" s="116"/>
      <c r="D281" s="116"/>
      <c r="E281" s="121"/>
      <c r="G281" s="116"/>
      <c r="I281" s="116"/>
      <c r="J281" s="116"/>
      <c r="K281" s="121"/>
    </row>
    <row r="282" spans="2:11">
      <c r="B282" s="116"/>
      <c r="D282" s="116"/>
      <c r="E282" s="121"/>
      <c r="G282" s="116"/>
      <c r="I282" s="116"/>
      <c r="J282" s="116"/>
      <c r="K282" s="121"/>
    </row>
    <row r="283" spans="2:11">
      <c r="B283" s="116"/>
      <c r="D283" s="116"/>
      <c r="E283" s="121"/>
      <c r="G283" s="116"/>
      <c r="I283" s="116"/>
      <c r="J283" s="116"/>
      <c r="K283" s="121"/>
    </row>
    <row r="284" spans="2:11">
      <c r="B284" s="116"/>
      <c r="D284" s="116"/>
      <c r="E284" s="121"/>
      <c r="G284" s="116"/>
      <c r="I284" s="116"/>
      <c r="J284" s="116"/>
      <c r="K284" s="121"/>
    </row>
    <row r="285" spans="2:11">
      <c r="B285" s="116"/>
      <c r="D285" s="116"/>
      <c r="E285" s="121"/>
      <c r="G285" s="116"/>
      <c r="I285" s="116"/>
      <c r="J285" s="116"/>
      <c r="K285" s="121"/>
    </row>
    <row r="286" spans="2:11">
      <c r="B286" s="116"/>
      <c r="D286" s="116"/>
      <c r="E286" s="121"/>
      <c r="G286" s="116"/>
      <c r="I286" s="116"/>
      <c r="J286" s="116"/>
      <c r="K286" s="121"/>
    </row>
    <row r="287" spans="2:11">
      <c r="B287" s="116"/>
      <c r="D287" s="116"/>
      <c r="E287" s="121"/>
      <c r="G287" s="116"/>
      <c r="I287" s="116"/>
      <c r="J287" s="116"/>
      <c r="K287" s="121"/>
    </row>
    <row r="288" spans="2:11">
      <c r="B288" s="116"/>
      <c r="D288" s="116"/>
      <c r="E288" s="121"/>
      <c r="G288" s="116"/>
      <c r="I288" s="116"/>
      <c r="J288" s="116"/>
      <c r="K288" s="121"/>
    </row>
    <row r="289" spans="2:11">
      <c r="B289" s="116"/>
      <c r="D289" s="116"/>
      <c r="E289" s="121"/>
      <c r="G289" s="116"/>
      <c r="I289" s="116"/>
      <c r="J289" s="116"/>
      <c r="K289" s="121"/>
    </row>
    <row r="290" spans="2:11">
      <c r="B290" s="116"/>
      <c r="D290" s="116"/>
      <c r="E290" s="121"/>
      <c r="G290" s="116"/>
      <c r="I290" s="116"/>
      <c r="J290" s="116"/>
      <c r="K290" s="121"/>
    </row>
    <row r="291" spans="2:11">
      <c r="B291" s="116"/>
      <c r="D291" s="116"/>
      <c r="E291" s="121"/>
      <c r="G291" s="116"/>
      <c r="I291" s="116"/>
      <c r="J291" s="116"/>
      <c r="K291" s="121"/>
    </row>
    <row r="292" spans="2:11">
      <c r="B292" s="116"/>
      <c r="D292" s="116"/>
      <c r="E292" s="121"/>
      <c r="G292" s="116"/>
      <c r="I292" s="116"/>
      <c r="J292" s="116"/>
      <c r="K292" s="121"/>
    </row>
    <row r="293" spans="2:11">
      <c r="B293" s="116"/>
      <c r="D293" s="116"/>
      <c r="E293" s="121"/>
      <c r="G293" s="116"/>
      <c r="I293" s="116"/>
      <c r="J293" s="116"/>
      <c r="K293" s="121"/>
    </row>
    <row r="294" spans="2:11">
      <c r="B294" s="116"/>
      <c r="D294" s="116"/>
      <c r="E294" s="121"/>
      <c r="G294" s="116"/>
      <c r="I294" s="116"/>
      <c r="J294" s="116"/>
      <c r="K294" s="121"/>
    </row>
    <row r="295" spans="2:11">
      <c r="B295" s="116"/>
      <c r="D295" s="116"/>
      <c r="E295" s="121"/>
      <c r="G295" s="116"/>
      <c r="I295" s="116"/>
      <c r="J295" s="116"/>
      <c r="K295" s="121"/>
    </row>
    <row r="296" spans="2:11">
      <c r="B296" s="116"/>
      <c r="D296" s="116"/>
      <c r="E296" s="121"/>
      <c r="G296" s="116"/>
      <c r="I296" s="116"/>
      <c r="J296" s="116"/>
      <c r="K296" s="121"/>
    </row>
    <row r="297" spans="2:11">
      <c r="B297" s="116"/>
      <c r="D297" s="116"/>
      <c r="E297" s="121"/>
      <c r="G297" s="116"/>
      <c r="I297" s="116"/>
      <c r="J297" s="116"/>
      <c r="K297" s="121"/>
    </row>
    <row r="298" spans="2:11">
      <c r="B298" s="116"/>
      <c r="D298" s="116"/>
      <c r="E298" s="121"/>
      <c r="G298" s="116"/>
      <c r="I298" s="116"/>
      <c r="J298" s="116"/>
      <c r="K298" s="121"/>
    </row>
    <row r="299" spans="2:11">
      <c r="B299" s="116"/>
      <c r="D299" s="116"/>
      <c r="E299" s="121"/>
      <c r="G299" s="116"/>
      <c r="I299" s="116"/>
      <c r="J299" s="116"/>
      <c r="K299" s="121"/>
    </row>
    <row r="300" spans="2:11">
      <c r="B300" s="116"/>
      <c r="D300" s="116"/>
      <c r="E300" s="121"/>
      <c r="G300" s="116"/>
      <c r="I300" s="116"/>
      <c r="J300" s="116"/>
      <c r="K300" s="121"/>
    </row>
    <row r="301" spans="2:11">
      <c r="B301" s="116"/>
      <c r="D301" s="116"/>
      <c r="E301" s="121"/>
      <c r="G301" s="116"/>
      <c r="I301" s="116"/>
      <c r="J301" s="116"/>
      <c r="K301" s="121"/>
    </row>
    <row r="302" spans="2:11">
      <c r="B302" s="116"/>
      <c r="D302" s="116"/>
      <c r="E302" s="121"/>
      <c r="G302" s="116"/>
      <c r="I302" s="116"/>
      <c r="J302" s="116"/>
      <c r="K302" s="121"/>
    </row>
    <row r="303" spans="2:11">
      <c r="B303" s="116"/>
      <c r="D303" s="116"/>
      <c r="E303" s="121"/>
      <c r="G303" s="116"/>
      <c r="I303" s="116"/>
      <c r="J303" s="116"/>
      <c r="K303" s="121"/>
    </row>
    <row r="304" spans="2:11">
      <c r="B304" s="116"/>
      <c r="D304" s="116"/>
      <c r="E304" s="121"/>
      <c r="G304" s="116"/>
      <c r="I304" s="116"/>
      <c r="J304" s="116"/>
      <c r="K304" s="121"/>
    </row>
    <row r="305" spans="2:11">
      <c r="B305" s="116"/>
      <c r="D305" s="116"/>
      <c r="E305" s="121"/>
      <c r="G305" s="116"/>
      <c r="I305" s="116"/>
      <c r="J305" s="116"/>
      <c r="K305" s="121"/>
    </row>
    <row r="306" spans="2:11">
      <c r="B306" s="116"/>
      <c r="D306" s="116"/>
      <c r="E306" s="121"/>
      <c r="G306" s="116"/>
      <c r="I306" s="116"/>
      <c r="J306" s="116"/>
      <c r="K306" s="121"/>
    </row>
    <row r="307" spans="2:11">
      <c r="B307" s="116"/>
      <c r="D307" s="116"/>
      <c r="E307" s="121"/>
      <c r="G307" s="116"/>
      <c r="I307" s="116"/>
      <c r="J307" s="116"/>
      <c r="K307" s="121"/>
    </row>
    <row r="308" spans="2:11">
      <c r="B308" s="116"/>
      <c r="D308" s="116"/>
      <c r="E308" s="121"/>
      <c r="G308" s="116"/>
      <c r="I308" s="116"/>
      <c r="J308" s="116"/>
      <c r="K308" s="121"/>
    </row>
    <row r="309" spans="2:11">
      <c r="B309" s="116"/>
      <c r="D309" s="116"/>
      <c r="E309" s="121"/>
      <c r="G309" s="116"/>
      <c r="I309" s="116"/>
      <c r="J309" s="116"/>
      <c r="K309" s="121"/>
    </row>
    <row r="310" spans="2:11">
      <c r="B310" s="116"/>
      <c r="D310" s="116"/>
      <c r="E310" s="121"/>
      <c r="G310" s="116"/>
      <c r="I310" s="116"/>
      <c r="J310" s="116"/>
      <c r="K310" s="121"/>
    </row>
    <row r="311" spans="2:11">
      <c r="B311" s="116"/>
      <c r="D311" s="116"/>
      <c r="E311" s="121"/>
      <c r="G311" s="116"/>
      <c r="I311" s="116"/>
      <c r="J311" s="116"/>
      <c r="K311" s="121"/>
    </row>
    <row r="312" spans="2:11">
      <c r="B312" s="116"/>
      <c r="D312" s="116"/>
      <c r="E312" s="121"/>
      <c r="G312" s="116"/>
      <c r="I312" s="116"/>
      <c r="J312" s="116"/>
      <c r="K312" s="121"/>
    </row>
    <row r="313" spans="2:11">
      <c r="B313" s="116"/>
      <c r="D313" s="116"/>
      <c r="E313" s="121"/>
      <c r="G313" s="116"/>
      <c r="I313" s="116"/>
      <c r="J313" s="116"/>
      <c r="K313" s="121"/>
    </row>
    <row r="314" spans="2:11">
      <c r="B314" s="116"/>
      <c r="D314" s="116"/>
      <c r="E314" s="121"/>
      <c r="G314" s="116"/>
      <c r="I314" s="116"/>
      <c r="J314" s="116"/>
      <c r="K314" s="121"/>
    </row>
    <row r="315" spans="2:11">
      <c r="B315" s="116"/>
      <c r="D315" s="116"/>
      <c r="E315" s="121"/>
      <c r="G315" s="116"/>
      <c r="I315" s="116"/>
      <c r="J315" s="116"/>
      <c r="K315" s="121"/>
    </row>
    <row r="316" spans="2:11">
      <c r="B316" s="116"/>
      <c r="D316" s="116"/>
      <c r="E316" s="121"/>
      <c r="G316" s="116"/>
      <c r="I316" s="116"/>
      <c r="J316" s="116"/>
      <c r="K316" s="121"/>
    </row>
    <row r="317" spans="2:11">
      <c r="B317" s="116"/>
      <c r="D317" s="116"/>
      <c r="E317" s="121"/>
      <c r="G317" s="116"/>
      <c r="I317" s="116"/>
      <c r="J317" s="116"/>
      <c r="K317" s="121"/>
    </row>
    <row r="318" spans="2:11">
      <c r="B318" s="116"/>
      <c r="D318" s="116"/>
      <c r="E318" s="121"/>
      <c r="G318" s="116"/>
      <c r="I318" s="116"/>
      <c r="J318" s="116"/>
      <c r="K318" s="121"/>
    </row>
    <row r="319" spans="2:11">
      <c r="B319" s="116"/>
      <c r="D319" s="116"/>
      <c r="E319" s="121"/>
      <c r="G319" s="116"/>
      <c r="I319" s="116"/>
      <c r="J319" s="116"/>
      <c r="K319" s="121"/>
    </row>
    <row r="320" spans="2:11">
      <c r="B320" s="116"/>
      <c r="D320" s="116"/>
      <c r="E320" s="121"/>
      <c r="G320" s="116"/>
      <c r="I320" s="116"/>
      <c r="J320" s="116"/>
      <c r="K320" s="121"/>
    </row>
    <row r="321" spans="2:11">
      <c r="B321" s="116"/>
      <c r="D321" s="116"/>
      <c r="E321" s="121"/>
      <c r="G321" s="116"/>
      <c r="I321" s="116"/>
      <c r="J321" s="116"/>
      <c r="K321" s="121"/>
    </row>
    <row r="322" spans="2:11">
      <c r="B322" s="116"/>
      <c r="D322" s="116"/>
      <c r="E322" s="121"/>
      <c r="G322" s="116"/>
      <c r="I322" s="116"/>
      <c r="J322" s="116"/>
      <c r="K322" s="121"/>
    </row>
    <row r="323" spans="2:11">
      <c r="B323" s="116"/>
      <c r="D323" s="116"/>
      <c r="E323" s="121"/>
      <c r="G323" s="116"/>
      <c r="I323" s="116"/>
      <c r="J323" s="116"/>
      <c r="K323" s="121"/>
    </row>
    <row r="324" spans="2:11">
      <c r="B324" s="116"/>
      <c r="D324" s="116"/>
      <c r="E324" s="121"/>
      <c r="G324" s="116"/>
      <c r="I324" s="116"/>
      <c r="J324" s="116"/>
      <c r="K324" s="121"/>
    </row>
    <row r="325" spans="2:11">
      <c r="B325" s="116"/>
      <c r="D325" s="116"/>
      <c r="E325" s="121"/>
      <c r="G325" s="116"/>
      <c r="I325" s="116"/>
      <c r="J325" s="116"/>
      <c r="K325" s="121"/>
    </row>
    <row r="326" spans="2:11">
      <c r="B326" s="116"/>
      <c r="D326" s="116"/>
      <c r="E326" s="121"/>
      <c r="G326" s="116"/>
      <c r="I326" s="116"/>
      <c r="J326" s="116"/>
      <c r="K326" s="121"/>
    </row>
    <row r="327" spans="2:11">
      <c r="B327" s="116"/>
      <c r="D327" s="116"/>
      <c r="E327" s="121"/>
      <c r="G327" s="116"/>
      <c r="I327" s="116"/>
      <c r="J327" s="116"/>
      <c r="K327" s="121"/>
    </row>
    <row r="328" spans="2:11">
      <c r="B328" s="116"/>
      <c r="D328" s="116"/>
      <c r="E328" s="121"/>
      <c r="G328" s="116"/>
      <c r="I328" s="116"/>
      <c r="J328" s="116"/>
      <c r="K328" s="121"/>
    </row>
    <row r="329" spans="2:11">
      <c r="B329" s="116"/>
      <c r="D329" s="116"/>
      <c r="E329" s="121"/>
      <c r="G329" s="116"/>
      <c r="I329" s="116"/>
      <c r="J329" s="116"/>
      <c r="K329" s="121"/>
    </row>
    <row r="330" spans="2:11">
      <c r="B330" s="116"/>
      <c r="D330" s="116"/>
      <c r="E330" s="121"/>
      <c r="G330" s="116"/>
      <c r="I330" s="116"/>
      <c r="J330" s="116"/>
      <c r="K330" s="121"/>
    </row>
    <row r="331" spans="2:11">
      <c r="B331" s="116"/>
      <c r="D331" s="116"/>
      <c r="E331" s="121"/>
      <c r="G331" s="116"/>
      <c r="I331" s="116"/>
      <c r="J331" s="116"/>
      <c r="K331" s="121"/>
    </row>
    <row r="332" spans="2:11">
      <c r="B332" s="116"/>
      <c r="D332" s="116"/>
      <c r="E332" s="121"/>
      <c r="G332" s="116"/>
      <c r="I332" s="116"/>
      <c r="J332" s="116"/>
      <c r="K332" s="121"/>
    </row>
    <row r="333" spans="2:11">
      <c r="B333" s="116"/>
      <c r="D333" s="116"/>
      <c r="E333" s="121"/>
      <c r="G333" s="116"/>
      <c r="I333" s="116"/>
      <c r="J333" s="116"/>
      <c r="K333" s="121"/>
    </row>
    <row r="334" spans="2:11">
      <c r="B334" s="116"/>
      <c r="D334" s="116"/>
      <c r="E334" s="121"/>
      <c r="G334" s="116"/>
      <c r="I334" s="116"/>
      <c r="J334" s="116"/>
      <c r="K334" s="121"/>
    </row>
    <row r="335" spans="2:11">
      <c r="B335" s="116"/>
      <c r="D335" s="116"/>
      <c r="E335" s="121"/>
      <c r="G335" s="116"/>
      <c r="I335" s="116"/>
      <c r="J335" s="116"/>
      <c r="K335" s="121"/>
    </row>
    <row r="336" spans="2:11">
      <c r="B336" s="116"/>
      <c r="D336" s="116"/>
      <c r="E336" s="121"/>
      <c r="G336" s="116"/>
      <c r="I336" s="116"/>
      <c r="J336" s="116"/>
      <c r="K336" s="121"/>
    </row>
    <row r="337" spans="2:11">
      <c r="B337" s="116"/>
      <c r="D337" s="116"/>
      <c r="E337" s="121"/>
      <c r="G337" s="116"/>
      <c r="I337" s="116"/>
      <c r="J337" s="116"/>
      <c r="K337" s="121"/>
    </row>
    <row r="338" spans="2:11">
      <c r="B338" s="116"/>
      <c r="D338" s="116"/>
      <c r="E338" s="121"/>
      <c r="G338" s="116"/>
      <c r="I338" s="116"/>
      <c r="J338" s="116"/>
      <c r="K338" s="121"/>
    </row>
    <row r="339" spans="2:11">
      <c r="B339" s="116"/>
      <c r="D339" s="116"/>
      <c r="E339" s="121"/>
      <c r="G339" s="116"/>
      <c r="I339" s="116"/>
      <c r="J339" s="116"/>
      <c r="K339" s="121"/>
    </row>
    <row r="340" spans="2:11">
      <c r="B340" s="116"/>
      <c r="D340" s="116"/>
      <c r="E340" s="121"/>
      <c r="G340" s="116"/>
      <c r="I340" s="116"/>
      <c r="J340" s="116"/>
      <c r="K340" s="121"/>
    </row>
    <row r="341" spans="2:11">
      <c r="B341" s="116"/>
      <c r="D341" s="116"/>
      <c r="E341" s="121"/>
      <c r="G341" s="116"/>
      <c r="I341" s="116"/>
      <c r="J341" s="116"/>
      <c r="K341" s="121"/>
    </row>
    <row r="342" spans="2:11">
      <c r="B342" s="116"/>
      <c r="D342" s="116"/>
      <c r="E342" s="121"/>
      <c r="G342" s="116"/>
      <c r="I342" s="116"/>
      <c r="J342" s="116"/>
      <c r="K342" s="121"/>
    </row>
    <row r="343" spans="2:11">
      <c r="B343" s="116"/>
      <c r="D343" s="116"/>
      <c r="E343" s="121"/>
      <c r="G343" s="116"/>
      <c r="I343" s="116"/>
      <c r="J343" s="116"/>
      <c r="K343" s="121"/>
    </row>
    <row r="344" spans="2:11">
      <c r="B344" s="116"/>
      <c r="D344" s="116"/>
      <c r="E344" s="121"/>
      <c r="G344" s="116"/>
      <c r="I344" s="116"/>
      <c r="J344" s="116"/>
      <c r="K344" s="121"/>
    </row>
    <row r="345" spans="2:11">
      <c r="B345" s="116"/>
      <c r="D345" s="116"/>
      <c r="E345" s="121"/>
      <c r="G345" s="116"/>
      <c r="I345" s="116"/>
      <c r="J345" s="116"/>
      <c r="K345" s="121"/>
    </row>
    <row r="346" spans="2:11">
      <c r="B346" s="116"/>
      <c r="D346" s="116"/>
      <c r="E346" s="121"/>
      <c r="G346" s="116"/>
      <c r="I346" s="116"/>
      <c r="J346" s="116"/>
      <c r="K346" s="121"/>
    </row>
    <row r="347" spans="2:11">
      <c r="B347" s="116"/>
      <c r="D347" s="116"/>
      <c r="E347" s="121"/>
      <c r="G347" s="116"/>
      <c r="I347" s="116"/>
      <c r="J347" s="116"/>
      <c r="K347" s="121"/>
    </row>
    <row r="348" spans="2:11">
      <c r="B348" s="116"/>
      <c r="D348" s="116"/>
      <c r="E348" s="121"/>
      <c r="G348" s="116"/>
      <c r="I348" s="116"/>
      <c r="J348" s="116"/>
      <c r="K348" s="121"/>
    </row>
    <row r="349" spans="2:11">
      <c r="B349" s="116"/>
      <c r="D349" s="116"/>
      <c r="E349" s="121"/>
      <c r="G349" s="116"/>
      <c r="I349" s="116"/>
      <c r="J349" s="116"/>
      <c r="K349" s="121"/>
    </row>
    <row r="350" spans="2:11">
      <c r="B350" s="116"/>
      <c r="D350" s="116"/>
      <c r="E350" s="121"/>
      <c r="G350" s="116"/>
      <c r="I350" s="116"/>
      <c r="J350" s="116"/>
      <c r="K350" s="121"/>
    </row>
    <row r="351" spans="2:11">
      <c r="B351" s="116"/>
      <c r="D351" s="116"/>
      <c r="E351" s="121"/>
      <c r="G351" s="116"/>
      <c r="I351" s="116"/>
      <c r="J351" s="116"/>
      <c r="K351" s="121"/>
    </row>
    <row r="352" spans="2:11">
      <c r="B352" s="116"/>
      <c r="D352" s="116"/>
      <c r="E352" s="121"/>
      <c r="G352" s="116"/>
      <c r="I352" s="116"/>
      <c r="J352" s="116"/>
      <c r="K352" s="121"/>
    </row>
    <row r="353" spans="2:11">
      <c r="B353" s="116"/>
      <c r="D353" s="116"/>
      <c r="E353" s="121"/>
      <c r="G353" s="116"/>
      <c r="I353" s="116"/>
      <c r="J353" s="116"/>
      <c r="K353" s="121"/>
    </row>
    <row r="354" spans="2:11">
      <c r="B354" s="116"/>
      <c r="D354" s="116"/>
      <c r="E354" s="121"/>
      <c r="G354" s="116"/>
      <c r="I354" s="116"/>
      <c r="J354" s="116"/>
      <c r="K354" s="121"/>
    </row>
    <row r="355" spans="2:11">
      <c r="B355" s="116"/>
      <c r="D355" s="116"/>
      <c r="E355" s="121"/>
      <c r="G355" s="116"/>
      <c r="I355" s="116"/>
      <c r="J355" s="116"/>
      <c r="K355" s="121"/>
    </row>
    <row r="356" spans="2:11">
      <c r="B356" s="116"/>
      <c r="D356" s="116"/>
      <c r="E356" s="121"/>
      <c r="G356" s="116"/>
      <c r="I356" s="116"/>
      <c r="J356" s="116"/>
      <c r="K356" s="121"/>
    </row>
    <row r="357" spans="2:11">
      <c r="B357" s="116"/>
      <c r="D357" s="116"/>
      <c r="E357" s="121"/>
      <c r="G357" s="116"/>
      <c r="I357" s="116"/>
      <c r="J357" s="116"/>
      <c r="K357" s="121"/>
    </row>
    <row r="358" spans="2:11">
      <c r="B358" s="116"/>
      <c r="D358" s="116"/>
      <c r="E358" s="121"/>
      <c r="G358" s="116"/>
      <c r="I358" s="116"/>
      <c r="J358" s="116"/>
      <c r="K358" s="121"/>
    </row>
    <row r="359" spans="2:11">
      <c r="B359" s="116"/>
      <c r="D359" s="116"/>
      <c r="E359" s="121"/>
      <c r="G359" s="116"/>
      <c r="I359" s="116"/>
      <c r="J359" s="116"/>
      <c r="K359" s="121"/>
    </row>
    <row r="360" spans="2:11">
      <c r="B360" s="116"/>
      <c r="D360" s="116"/>
      <c r="E360" s="121"/>
      <c r="G360" s="116"/>
      <c r="I360" s="116"/>
      <c r="J360" s="116"/>
      <c r="K360" s="121"/>
    </row>
    <row r="361" spans="2:11">
      <c r="B361" s="116"/>
      <c r="D361" s="116"/>
      <c r="E361" s="121"/>
      <c r="G361" s="116"/>
      <c r="I361" s="116"/>
      <c r="J361" s="116"/>
      <c r="K361" s="121"/>
    </row>
    <row r="362" spans="2:11">
      <c r="B362" s="116"/>
      <c r="D362" s="116"/>
      <c r="E362" s="121"/>
      <c r="G362" s="116"/>
      <c r="I362" s="116"/>
      <c r="J362" s="116"/>
      <c r="K362" s="121"/>
    </row>
    <row r="363" spans="2:11">
      <c r="B363" s="116"/>
      <c r="D363" s="116"/>
      <c r="E363" s="121"/>
      <c r="G363" s="116"/>
      <c r="I363" s="116"/>
      <c r="J363" s="116"/>
      <c r="K363" s="121"/>
    </row>
    <row r="364" spans="2:11">
      <c r="B364" s="116"/>
      <c r="D364" s="116"/>
      <c r="E364" s="121"/>
      <c r="G364" s="116"/>
      <c r="I364" s="116"/>
      <c r="J364" s="116"/>
      <c r="K364" s="121"/>
    </row>
    <row r="365" spans="2:11">
      <c r="B365" s="116"/>
      <c r="D365" s="116"/>
      <c r="E365" s="121"/>
      <c r="G365" s="116"/>
      <c r="I365" s="116"/>
      <c r="J365" s="116"/>
      <c r="K365" s="121"/>
    </row>
    <row r="366" spans="2:11">
      <c r="B366" s="116"/>
      <c r="D366" s="116"/>
      <c r="E366" s="121"/>
      <c r="G366" s="116"/>
      <c r="I366" s="116"/>
      <c r="J366" s="116"/>
      <c r="K366" s="121"/>
    </row>
    <row r="367" spans="2:11">
      <c r="B367" s="116"/>
      <c r="D367" s="116"/>
      <c r="E367" s="121"/>
      <c r="G367" s="116"/>
      <c r="I367" s="116"/>
      <c r="J367" s="116"/>
      <c r="K367" s="121"/>
    </row>
    <row r="368" spans="2:11">
      <c r="B368" s="116"/>
      <c r="D368" s="116"/>
      <c r="E368" s="121"/>
      <c r="G368" s="116"/>
      <c r="I368" s="116"/>
      <c r="J368" s="116"/>
      <c r="K368" s="121"/>
    </row>
    <row r="369" spans="2:11">
      <c r="B369" s="116"/>
      <c r="D369" s="116"/>
      <c r="E369" s="121"/>
      <c r="G369" s="116"/>
      <c r="I369" s="116"/>
      <c r="J369" s="116"/>
      <c r="K369" s="121"/>
    </row>
    <row r="370" spans="2:11">
      <c r="B370" s="116"/>
      <c r="D370" s="116"/>
      <c r="E370" s="121"/>
      <c r="G370" s="116"/>
      <c r="I370" s="116"/>
      <c r="J370" s="116"/>
      <c r="K370" s="121"/>
    </row>
    <row r="371" spans="2:11">
      <c r="B371" s="116"/>
      <c r="D371" s="116"/>
      <c r="E371" s="121"/>
      <c r="G371" s="116"/>
      <c r="I371" s="116"/>
      <c r="J371" s="116"/>
      <c r="K371" s="121"/>
    </row>
    <row r="372" spans="2:11">
      <c r="B372" s="116"/>
      <c r="D372" s="116"/>
      <c r="E372" s="121"/>
      <c r="G372" s="116"/>
      <c r="I372" s="116"/>
      <c r="J372" s="116"/>
      <c r="K372" s="121"/>
    </row>
    <row r="373" spans="2:11">
      <c r="B373" s="116"/>
      <c r="D373" s="116"/>
      <c r="E373" s="121"/>
      <c r="G373" s="116"/>
      <c r="I373" s="116"/>
      <c r="J373" s="116"/>
      <c r="K373" s="121"/>
    </row>
    <row r="374" spans="2:11">
      <c r="B374" s="116"/>
      <c r="D374" s="116"/>
      <c r="E374" s="121"/>
      <c r="G374" s="116"/>
      <c r="I374" s="116"/>
      <c r="J374" s="116"/>
      <c r="K374" s="121"/>
    </row>
    <row r="375" spans="2:11">
      <c r="B375" s="116"/>
      <c r="D375" s="116"/>
      <c r="E375" s="121"/>
      <c r="G375" s="116"/>
      <c r="I375" s="116"/>
      <c r="J375" s="116"/>
      <c r="K375" s="121"/>
    </row>
    <row r="376" spans="2:11">
      <c r="B376" s="116"/>
      <c r="D376" s="116"/>
      <c r="E376" s="121"/>
      <c r="G376" s="116"/>
      <c r="I376" s="116"/>
      <c r="J376" s="116"/>
      <c r="K376" s="121"/>
    </row>
    <row r="377" spans="2:11">
      <c r="B377" s="116"/>
      <c r="D377" s="116"/>
      <c r="E377" s="121"/>
      <c r="G377" s="116"/>
      <c r="I377" s="116"/>
      <c r="J377" s="116"/>
      <c r="K377" s="121"/>
    </row>
    <row r="378" spans="2:11">
      <c r="B378" s="116"/>
      <c r="D378" s="116"/>
      <c r="E378" s="121"/>
      <c r="G378" s="116"/>
      <c r="I378" s="116"/>
      <c r="J378" s="116"/>
      <c r="K378" s="121"/>
    </row>
    <row r="379" spans="2:11">
      <c r="B379" s="116"/>
      <c r="D379" s="116"/>
      <c r="E379" s="121"/>
      <c r="G379" s="116"/>
      <c r="I379" s="116"/>
      <c r="J379" s="116"/>
      <c r="K379" s="121"/>
    </row>
    <row r="380" spans="2:11">
      <c r="B380" s="116"/>
      <c r="D380" s="116"/>
      <c r="E380" s="121"/>
      <c r="G380" s="116"/>
      <c r="I380" s="116"/>
      <c r="J380" s="116"/>
      <c r="K380" s="121"/>
    </row>
    <row r="381" spans="2:11">
      <c r="B381" s="116"/>
      <c r="D381" s="116"/>
      <c r="E381" s="121"/>
      <c r="G381" s="116"/>
      <c r="I381" s="116"/>
      <c r="J381" s="116"/>
      <c r="K381" s="121"/>
    </row>
    <row r="382" spans="2:11">
      <c r="B382" s="116"/>
      <c r="D382" s="116"/>
      <c r="E382" s="121"/>
      <c r="G382" s="116"/>
      <c r="I382" s="116"/>
      <c r="J382" s="116"/>
      <c r="K382" s="121"/>
    </row>
    <row r="383" spans="2:11">
      <c r="B383" s="116"/>
      <c r="D383" s="116"/>
      <c r="E383" s="121"/>
      <c r="G383" s="116"/>
      <c r="I383" s="116"/>
      <c r="J383" s="116"/>
      <c r="K383" s="121"/>
    </row>
    <row r="384" spans="2:11">
      <c r="B384" s="116"/>
      <c r="D384" s="116"/>
      <c r="E384" s="121"/>
      <c r="G384" s="116"/>
      <c r="I384" s="116"/>
      <c r="J384" s="116"/>
      <c r="K384" s="121"/>
    </row>
    <row r="385" spans="2:11">
      <c r="B385" s="116"/>
      <c r="D385" s="116"/>
      <c r="E385" s="121"/>
      <c r="G385" s="116"/>
      <c r="I385" s="116"/>
      <c r="J385" s="116"/>
      <c r="K385" s="121"/>
    </row>
    <row r="386" spans="2:11">
      <c r="B386" s="116"/>
      <c r="D386" s="116"/>
      <c r="E386" s="121"/>
      <c r="G386" s="116"/>
      <c r="I386" s="116"/>
      <c r="J386" s="116"/>
      <c r="K386" s="121"/>
    </row>
    <row r="387" spans="2:11">
      <c r="B387" s="116"/>
      <c r="D387" s="116"/>
      <c r="E387" s="121"/>
      <c r="G387" s="116"/>
      <c r="I387" s="116"/>
      <c r="J387" s="116"/>
      <c r="K387" s="121"/>
    </row>
    <row r="388" spans="2:11">
      <c r="B388" s="116"/>
      <c r="D388" s="116"/>
      <c r="E388" s="121"/>
      <c r="G388" s="116"/>
      <c r="I388" s="116"/>
      <c r="J388" s="116"/>
      <c r="K388" s="121"/>
    </row>
    <row r="389" spans="2:11">
      <c r="B389" s="116"/>
      <c r="D389" s="116"/>
      <c r="E389" s="121"/>
      <c r="G389" s="116"/>
      <c r="I389" s="116"/>
      <c r="J389" s="116"/>
      <c r="K389" s="121"/>
    </row>
    <row r="390" spans="2:11">
      <c r="B390" s="116"/>
      <c r="D390" s="116"/>
      <c r="E390" s="121"/>
      <c r="G390" s="116"/>
      <c r="I390" s="116"/>
      <c r="J390" s="116"/>
      <c r="K390" s="121"/>
    </row>
    <row r="391" spans="2:11">
      <c r="B391" s="116"/>
      <c r="D391" s="116"/>
      <c r="E391" s="121"/>
      <c r="G391" s="116"/>
      <c r="I391" s="116"/>
      <c r="J391" s="116"/>
      <c r="K391" s="121"/>
    </row>
    <row r="392" spans="2:11">
      <c r="B392" s="116"/>
      <c r="D392" s="116"/>
      <c r="E392" s="121"/>
      <c r="G392" s="116"/>
      <c r="I392" s="116"/>
      <c r="J392" s="116"/>
      <c r="K392" s="121"/>
    </row>
    <row r="393" spans="2:11">
      <c r="B393" s="116"/>
      <c r="D393" s="116"/>
      <c r="E393" s="121"/>
      <c r="G393" s="116"/>
      <c r="I393" s="116"/>
      <c r="J393" s="116"/>
      <c r="K393" s="121"/>
    </row>
    <row r="394" spans="2:11">
      <c r="B394" s="116"/>
      <c r="D394" s="116"/>
      <c r="E394" s="121"/>
      <c r="G394" s="116"/>
      <c r="I394" s="116"/>
      <c r="J394" s="116"/>
      <c r="K394" s="121"/>
    </row>
    <row r="395" spans="2:11">
      <c r="B395" s="116"/>
      <c r="D395" s="116"/>
      <c r="E395" s="121"/>
      <c r="G395" s="116"/>
      <c r="I395" s="116"/>
      <c r="J395" s="116"/>
      <c r="K395" s="121"/>
    </row>
    <row r="396" spans="2:11">
      <c r="B396" s="116"/>
      <c r="D396" s="116"/>
      <c r="E396" s="121"/>
      <c r="G396" s="116"/>
      <c r="I396" s="116"/>
      <c r="J396" s="116"/>
      <c r="K396" s="121"/>
    </row>
    <row r="397" spans="2:11">
      <c r="B397" s="116"/>
      <c r="D397" s="116"/>
      <c r="E397" s="121"/>
      <c r="G397" s="116"/>
      <c r="I397" s="116"/>
      <c r="J397" s="116"/>
      <c r="K397" s="121"/>
    </row>
    <row r="398" spans="2:11">
      <c r="B398" s="116"/>
      <c r="D398" s="116"/>
      <c r="E398" s="121"/>
      <c r="G398" s="116"/>
      <c r="I398" s="116"/>
      <c r="J398" s="116"/>
      <c r="K398" s="121"/>
    </row>
    <row r="399" spans="2:11">
      <c r="B399" s="116"/>
      <c r="D399" s="116"/>
      <c r="E399" s="121"/>
      <c r="G399" s="116"/>
      <c r="I399" s="116"/>
      <c r="J399" s="116"/>
      <c r="K399" s="121"/>
    </row>
    <row r="400" spans="2:11">
      <c r="B400" s="116"/>
      <c r="D400" s="116"/>
      <c r="E400" s="121"/>
      <c r="G400" s="116"/>
      <c r="I400" s="116"/>
      <c r="J400" s="116"/>
      <c r="K400" s="121"/>
    </row>
    <row r="401" spans="2:11">
      <c r="B401" s="116"/>
      <c r="D401" s="116"/>
      <c r="E401" s="121"/>
      <c r="G401" s="116"/>
      <c r="I401" s="116"/>
      <c r="J401" s="116"/>
      <c r="K401" s="121"/>
    </row>
    <row r="402" spans="2:11">
      <c r="B402" s="116"/>
      <c r="D402" s="116"/>
      <c r="E402" s="121"/>
      <c r="G402" s="116"/>
      <c r="I402" s="116"/>
      <c r="J402" s="116"/>
      <c r="K402" s="121"/>
    </row>
    <row r="403" spans="2:11">
      <c r="B403" s="116"/>
      <c r="D403" s="116"/>
      <c r="E403" s="121"/>
      <c r="G403" s="116"/>
      <c r="I403" s="116"/>
      <c r="J403" s="116"/>
      <c r="K403" s="121"/>
    </row>
    <row r="404" spans="2:11">
      <c r="B404" s="116"/>
      <c r="D404" s="116"/>
      <c r="E404" s="121"/>
      <c r="G404" s="116"/>
      <c r="I404" s="116"/>
      <c r="J404" s="116"/>
      <c r="K404" s="121"/>
    </row>
    <row r="405" spans="2:11">
      <c r="B405" s="116"/>
      <c r="D405" s="116"/>
      <c r="E405" s="121"/>
      <c r="G405" s="116"/>
      <c r="I405" s="116"/>
      <c r="J405" s="116"/>
      <c r="K405" s="121"/>
    </row>
    <row r="406" spans="2:11">
      <c r="B406" s="116"/>
      <c r="D406" s="116"/>
      <c r="E406" s="121"/>
      <c r="G406" s="116"/>
      <c r="I406" s="116"/>
      <c r="J406" s="116"/>
      <c r="K406" s="121"/>
    </row>
    <row r="407" spans="2:11">
      <c r="B407" s="116"/>
      <c r="D407" s="116"/>
      <c r="E407" s="121"/>
      <c r="G407" s="116"/>
      <c r="I407" s="116"/>
      <c r="J407" s="116"/>
      <c r="K407" s="121"/>
    </row>
    <row r="408" spans="2:11">
      <c r="B408" s="116"/>
      <c r="D408" s="116"/>
      <c r="E408" s="121"/>
      <c r="G408" s="116"/>
      <c r="I408" s="116"/>
      <c r="J408" s="116"/>
      <c r="K408" s="121"/>
    </row>
    <row r="409" spans="2:11">
      <c r="B409" s="116"/>
      <c r="D409" s="116"/>
      <c r="E409" s="121"/>
      <c r="G409" s="116"/>
      <c r="I409" s="116"/>
      <c r="J409" s="116"/>
      <c r="K409" s="121"/>
    </row>
    <row r="410" spans="2:11">
      <c r="B410" s="116"/>
      <c r="D410" s="116"/>
      <c r="E410" s="121"/>
      <c r="G410" s="116"/>
      <c r="I410" s="116"/>
      <c r="J410" s="116"/>
      <c r="K410" s="121"/>
    </row>
    <row r="411" spans="2:11">
      <c r="B411" s="116"/>
      <c r="D411" s="116"/>
      <c r="E411" s="121"/>
      <c r="G411" s="116"/>
      <c r="I411" s="116"/>
      <c r="J411" s="116"/>
      <c r="K411" s="121"/>
    </row>
    <row r="412" spans="2:11">
      <c r="B412" s="116"/>
      <c r="D412" s="116"/>
      <c r="E412" s="121"/>
      <c r="G412" s="116"/>
      <c r="I412" s="116"/>
      <c r="J412" s="116"/>
      <c r="K412" s="121"/>
    </row>
    <row r="413" spans="2:11">
      <c r="B413" s="116"/>
      <c r="D413" s="116"/>
      <c r="E413" s="121"/>
      <c r="G413" s="116"/>
      <c r="I413" s="116"/>
      <c r="J413" s="116"/>
      <c r="K413" s="121"/>
    </row>
    <row r="414" spans="2:11">
      <c r="B414" s="116"/>
      <c r="D414" s="116"/>
      <c r="E414" s="121"/>
      <c r="G414" s="116"/>
      <c r="I414" s="116"/>
      <c r="J414" s="116"/>
      <c r="K414" s="121"/>
    </row>
    <row r="415" spans="2:11">
      <c r="B415" s="116"/>
      <c r="D415" s="116"/>
      <c r="E415" s="121"/>
      <c r="G415" s="116"/>
      <c r="I415" s="116"/>
      <c r="J415" s="116"/>
      <c r="K415" s="121"/>
    </row>
    <row r="416" spans="2:11">
      <c r="B416" s="116"/>
      <c r="D416" s="116"/>
      <c r="E416" s="121"/>
      <c r="G416" s="116"/>
      <c r="I416" s="116"/>
      <c r="J416" s="116"/>
      <c r="K416" s="121"/>
    </row>
    <row r="417" spans="2:11">
      <c r="B417" s="116"/>
      <c r="D417" s="116"/>
      <c r="E417" s="121"/>
      <c r="G417" s="116"/>
      <c r="I417" s="116"/>
      <c r="J417" s="116"/>
      <c r="K417" s="121"/>
    </row>
    <row r="418" spans="2:11">
      <c r="B418" s="116"/>
      <c r="D418" s="116"/>
      <c r="E418" s="121"/>
      <c r="G418" s="116"/>
      <c r="I418" s="116"/>
      <c r="J418" s="116"/>
      <c r="K418" s="121"/>
    </row>
    <row r="419" spans="2:11">
      <c r="B419" s="116"/>
      <c r="D419" s="116"/>
      <c r="E419" s="121"/>
      <c r="G419" s="116"/>
      <c r="I419" s="116"/>
      <c r="J419" s="116"/>
      <c r="K419" s="121"/>
    </row>
    <row r="420" spans="2:11">
      <c r="B420" s="116"/>
      <c r="D420" s="116"/>
      <c r="E420" s="121"/>
      <c r="G420" s="116"/>
      <c r="I420" s="116"/>
      <c r="J420" s="116"/>
      <c r="K420" s="121"/>
    </row>
    <row r="421" spans="2:11">
      <c r="B421" s="116"/>
      <c r="D421" s="116"/>
      <c r="E421" s="121"/>
      <c r="G421" s="116"/>
      <c r="I421" s="116"/>
      <c r="J421" s="116"/>
      <c r="K421" s="121"/>
    </row>
    <row r="422" spans="2:11">
      <c r="B422" s="116"/>
      <c r="D422" s="116"/>
      <c r="E422" s="121"/>
      <c r="G422" s="116"/>
      <c r="I422" s="116"/>
      <c r="J422" s="116"/>
      <c r="K422" s="121"/>
    </row>
    <row r="423" spans="2:11">
      <c r="B423" s="116"/>
      <c r="D423" s="116"/>
      <c r="E423" s="121"/>
      <c r="G423" s="116"/>
      <c r="I423" s="116"/>
      <c r="J423" s="116"/>
      <c r="K423" s="121"/>
    </row>
    <row r="424" spans="2:11">
      <c r="B424" s="116"/>
      <c r="D424" s="116"/>
      <c r="E424" s="121"/>
      <c r="G424" s="116"/>
      <c r="I424" s="116"/>
      <c r="J424" s="116"/>
      <c r="K424" s="121"/>
    </row>
    <row r="425" spans="2:11">
      <c r="B425" s="116"/>
      <c r="D425" s="116"/>
      <c r="E425" s="121"/>
      <c r="G425" s="116"/>
      <c r="I425" s="116"/>
      <c r="J425" s="116"/>
      <c r="K425" s="121"/>
    </row>
    <row r="426" spans="2:11">
      <c r="B426" s="116"/>
      <c r="D426" s="116"/>
      <c r="E426" s="121"/>
      <c r="G426" s="116"/>
      <c r="I426" s="116"/>
      <c r="J426" s="116"/>
      <c r="K426" s="121"/>
    </row>
    <row r="427" spans="2:11">
      <c r="B427" s="116"/>
      <c r="D427" s="116"/>
      <c r="E427" s="121"/>
      <c r="G427" s="116"/>
      <c r="I427" s="116"/>
      <c r="J427" s="116"/>
      <c r="K427" s="121"/>
    </row>
    <row r="428" spans="2:11">
      <c r="B428" s="116"/>
      <c r="D428" s="116"/>
      <c r="E428" s="121"/>
      <c r="G428" s="116"/>
      <c r="I428" s="116"/>
      <c r="J428" s="116"/>
      <c r="K428" s="121"/>
    </row>
    <row r="429" spans="2:11">
      <c r="B429" s="116"/>
      <c r="D429" s="116"/>
      <c r="E429" s="121"/>
      <c r="G429" s="116"/>
      <c r="I429" s="116"/>
      <c r="J429" s="116"/>
      <c r="K429" s="121"/>
    </row>
    <row r="430" spans="2:11">
      <c r="B430" s="116"/>
      <c r="D430" s="116"/>
      <c r="E430" s="121"/>
      <c r="G430" s="116"/>
      <c r="I430" s="116"/>
      <c r="J430" s="116"/>
      <c r="K430" s="121"/>
    </row>
    <row r="431" spans="2:11">
      <c r="B431" s="116"/>
      <c r="D431" s="116"/>
      <c r="E431" s="121"/>
      <c r="G431" s="116"/>
      <c r="I431" s="116"/>
      <c r="J431" s="116"/>
      <c r="K431" s="121"/>
    </row>
    <row r="432" spans="2:11">
      <c r="B432" s="116"/>
      <c r="D432" s="116"/>
      <c r="E432" s="121"/>
      <c r="G432" s="116"/>
      <c r="I432" s="116"/>
      <c r="J432" s="116"/>
      <c r="K432" s="121"/>
    </row>
    <row r="433" spans="2:11">
      <c r="B433" s="116"/>
      <c r="D433" s="116"/>
      <c r="E433" s="121"/>
      <c r="G433" s="116"/>
      <c r="I433" s="116"/>
      <c r="J433" s="116"/>
      <c r="K433" s="121"/>
    </row>
    <row r="434" spans="2:11">
      <c r="B434" s="116"/>
      <c r="D434" s="116"/>
      <c r="E434" s="121"/>
      <c r="G434" s="116"/>
      <c r="I434" s="116"/>
      <c r="J434" s="116"/>
      <c r="K434" s="121"/>
    </row>
    <row r="435" spans="2:11">
      <c r="B435" s="116"/>
      <c r="D435" s="116"/>
      <c r="E435" s="121"/>
      <c r="G435" s="116"/>
      <c r="I435" s="116"/>
      <c r="J435" s="116"/>
      <c r="K435" s="121"/>
    </row>
    <row r="436" spans="2:11">
      <c r="B436" s="116"/>
      <c r="D436" s="116"/>
      <c r="E436" s="121"/>
      <c r="G436" s="116"/>
      <c r="I436" s="116"/>
      <c r="J436" s="116"/>
      <c r="K436" s="121"/>
    </row>
    <row r="437" spans="2:11">
      <c r="B437" s="116"/>
      <c r="D437" s="116"/>
      <c r="E437" s="121"/>
      <c r="G437" s="116"/>
      <c r="I437" s="116"/>
      <c r="J437" s="116"/>
      <c r="K437" s="121"/>
    </row>
    <row r="438" spans="2:11">
      <c r="B438" s="116"/>
      <c r="D438" s="116"/>
      <c r="E438" s="121"/>
      <c r="G438" s="116"/>
      <c r="I438" s="116"/>
      <c r="J438" s="116"/>
      <c r="K438" s="121"/>
    </row>
    <row r="439" spans="2:11">
      <c r="B439" s="116"/>
      <c r="D439" s="116"/>
      <c r="E439" s="121"/>
      <c r="G439" s="116"/>
      <c r="I439" s="116"/>
      <c r="J439" s="116"/>
      <c r="K439" s="121"/>
    </row>
    <row r="440" spans="2:11">
      <c r="B440" s="116"/>
      <c r="D440" s="116"/>
      <c r="E440" s="121"/>
      <c r="G440" s="116"/>
      <c r="I440" s="116"/>
      <c r="J440" s="116"/>
      <c r="K440" s="121"/>
    </row>
    <row r="441" spans="2:11">
      <c r="B441" s="116"/>
      <c r="D441" s="116"/>
      <c r="E441" s="121"/>
      <c r="G441" s="116"/>
      <c r="I441" s="116"/>
      <c r="J441" s="116"/>
      <c r="K441" s="121"/>
    </row>
    <row r="442" spans="2:11">
      <c r="B442" s="116"/>
      <c r="D442" s="116"/>
      <c r="E442" s="121"/>
      <c r="G442" s="116"/>
      <c r="I442" s="116"/>
      <c r="J442" s="116"/>
      <c r="K442" s="121"/>
    </row>
    <row r="443" spans="2:11">
      <c r="B443" s="116"/>
      <c r="D443" s="116"/>
      <c r="E443" s="121"/>
      <c r="G443" s="116"/>
      <c r="I443" s="116"/>
      <c r="J443" s="116"/>
      <c r="K443" s="121"/>
    </row>
    <row r="444" spans="2:11">
      <c r="B444" s="116"/>
      <c r="D444" s="116"/>
      <c r="E444" s="121"/>
      <c r="G444" s="116"/>
      <c r="I444" s="116"/>
      <c r="J444" s="116"/>
      <c r="K444" s="121"/>
    </row>
    <row r="445" spans="2:11">
      <c r="B445" s="116"/>
      <c r="D445" s="116"/>
      <c r="E445" s="121"/>
      <c r="G445" s="116"/>
      <c r="I445" s="116"/>
      <c r="J445" s="116"/>
      <c r="K445" s="121"/>
    </row>
    <row r="446" spans="2:11">
      <c r="B446" s="116"/>
      <c r="D446" s="116"/>
      <c r="E446" s="121"/>
      <c r="G446" s="116"/>
      <c r="I446" s="116"/>
      <c r="J446" s="116"/>
      <c r="K446" s="121"/>
    </row>
    <row r="447" spans="2:11">
      <c r="B447" s="116"/>
      <c r="D447" s="116"/>
      <c r="E447" s="121"/>
      <c r="G447" s="116"/>
      <c r="I447" s="116"/>
      <c r="J447" s="116"/>
      <c r="K447" s="121"/>
    </row>
    <row r="448" spans="2:11">
      <c r="B448" s="116"/>
      <c r="D448" s="116"/>
      <c r="E448" s="121"/>
      <c r="G448" s="116"/>
      <c r="I448" s="116"/>
      <c r="J448" s="116"/>
      <c r="K448" s="121"/>
    </row>
    <row r="449" spans="2:11">
      <c r="B449" s="116"/>
      <c r="D449" s="116"/>
      <c r="E449" s="121"/>
      <c r="G449" s="116"/>
      <c r="I449" s="116"/>
      <c r="J449" s="116"/>
      <c r="K449" s="121"/>
    </row>
    <row r="450" spans="2:11">
      <c r="B450" s="116"/>
      <c r="D450" s="116"/>
      <c r="E450" s="121"/>
      <c r="G450" s="116"/>
      <c r="I450" s="116"/>
      <c r="J450" s="116"/>
      <c r="K450" s="121"/>
    </row>
    <row r="451" spans="2:11">
      <c r="B451" s="116"/>
      <c r="D451" s="116"/>
      <c r="E451" s="121"/>
      <c r="G451" s="116"/>
      <c r="I451" s="116"/>
      <c r="J451" s="116"/>
      <c r="K451" s="121"/>
    </row>
    <row r="452" spans="2:11">
      <c r="B452" s="116"/>
      <c r="D452" s="116"/>
      <c r="E452" s="121"/>
      <c r="G452" s="116"/>
      <c r="I452" s="116"/>
      <c r="J452" s="116"/>
      <c r="K452" s="121"/>
    </row>
    <row r="453" spans="2:11">
      <c r="B453" s="116"/>
      <c r="D453" s="116"/>
      <c r="E453" s="121"/>
      <c r="G453" s="116"/>
      <c r="I453" s="116"/>
      <c r="J453" s="116"/>
      <c r="K453" s="121"/>
    </row>
    <row r="454" spans="2:11">
      <c r="B454" s="116"/>
      <c r="D454" s="116"/>
      <c r="E454" s="121"/>
      <c r="G454" s="116"/>
      <c r="I454" s="116"/>
      <c r="J454" s="116"/>
      <c r="K454" s="121"/>
    </row>
    <row r="455" spans="2:11">
      <c r="B455" s="116"/>
      <c r="D455" s="116"/>
      <c r="E455" s="121"/>
      <c r="G455" s="116"/>
      <c r="I455" s="116"/>
      <c r="J455" s="116"/>
      <c r="K455" s="121"/>
    </row>
    <row r="456" spans="2:11">
      <c r="B456" s="116"/>
      <c r="D456" s="116"/>
      <c r="E456" s="121"/>
      <c r="G456" s="116"/>
      <c r="I456" s="116"/>
      <c r="J456" s="116"/>
      <c r="K456" s="121"/>
    </row>
    <row r="457" spans="2:11">
      <c r="B457" s="116"/>
      <c r="D457" s="116"/>
      <c r="E457" s="121"/>
      <c r="G457" s="116"/>
      <c r="I457" s="116"/>
      <c r="J457" s="116"/>
      <c r="K457" s="121"/>
    </row>
    <row r="458" spans="2:11">
      <c r="B458" s="116"/>
      <c r="D458" s="116"/>
      <c r="E458" s="121"/>
      <c r="G458" s="116"/>
      <c r="I458" s="116"/>
      <c r="J458" s="116"/>
      <c r="K458" s="121"/>
    </row>
    <row r="459" spans="2:11">
      <c r="B459" s="116"/>
      <c r="D459" s="116"/>
      <c r="E459" s="121"/>
      <c r="G459" s="116"/>
      <c r="I459" s="116"/>
      <c r="J459" s="116"/>
      <c r="K459" s="121"/>
    </row>
    <row r="460" spans="2:11">
      <c r="B460" s="116"/>
      <c r="D460" s="116"/>
      <c r="E460" s="121"/>
      <c r="G460" s="116"/>
      <c r="I460" s="116"/>
      <c r="J460" s="116"/>
      <c r="K460" s="121"/>
    </row>
    <row r="461" spans="2:11">
      <c r="B461" s="116"/>
      <c r="D461" s="116"/>
      <c r="E461" s="121"/>
      <c r="G461" s="116"/>
      <c r="I461" s="116"/>
      <c r="J461" s="116"/>
      <c r="K461" s="121"/>
    </row>
    <row r="462" spans="2:11">
      <c r="B462" s="116"/>
      <c r="D462" s="116"/>
      <c r="E462" s="121"/>
      <c r="G462" s="116"/>
      <c r="I462" s="116"/>
      <c r="J462" s="116"/>
      <c r="K462" s="121"/>
    </row>
    <row r="463" spans="2:11">
      <c r="B463" s="116"/>
      <c r="D463" s="116"/>
      <c r="E463" s="121"/>
      <c r="G463" s="116"/>
      <c r="I463" s="116"/>
      <c r="J463" s="116"/>
      <c r="K463" s="121"/>
    </row>
    <row r="464" spans="2:11">
      <c r="B464" s="116"/>
      <c r="D464" s="116"/>
      <c r="E464" s="121"/>
      <c r="G464" s="116"/>
      <c r="I464" s="116"/>
      <c r="J464" s="116"/>
      <c r="K464" s="121"/>
    </row>
    <row r="465" spans="2:11">
      <c r="B465" s="116"/>
      <c r="D465" s="116"/>
      <c r="E465" s="121"/>
      <c r="G465" s="116"/>
      <c r="I465" s="116"/>
      <c r="J465" s="116"/>
      <c r="K465" s="121"/>
    </row>
    <row r="466" spans="2:11">
      <c r="B466" s="116"/>
      <c r="D466" s="116"/>
      <c r="E466" s="121"/>
      <c r="G466" s="116"/>
      <c r="I466" s="116"/>
      <c r="J466" s="116"/>
      <c r="K466" s="121"/>
    </row>
    <row r="467" spans="2:11">
      <c r="B467" s="116"/>
      <c r="D467" s="116"/>
      <c r="E467" s="121"/>
      <c r="G467" s="116"/>
      <c r="I467" s="116"/>
      <c r="J467" s="116"/>
      <c r="K467" s="121"/>
    </row>
    <row r="468" spans="2:11">
      <c r="B468" s="116"/>
      <c r="D468" s="116"/>
      <c r="E468" s="121"/>
      <c r="G468" s="116"/>
      <c r="I468" s="116"/>
      <c r="J468" s="116"/>
      <c r="K468" s="121"/>
    </row>
    <row r="469" spans="2:11">
      <c r="B469" s="116"/>
      <c r="D469" s="116"/>
      <c r="E469" s="121"/>
      <c r="G469" s="116"/>
      <c r="I469" s="116"/>
      <c r="J469" s="116"/>
      <c r="K469" s="121"/>
    </row>
    <row r="470" spans="2:11">
      <c r="B470" s="116"/>
      <c r="D470" s="116"/>
      <c r="E470" s="121"/>
      <c r="G470" s="116"/>
      <c r="I470" s="116"/>
      <c r="J470" s="116"/>
      <c r="K470" s="121"/>
    </row>
    <row r="471" spans="2:11">
      <c r="B471" s="116"/>
      <c r="D471" s="116"/>
      <c r="E471" s="121"/>
      <c r="G471" s="116"/>
      <c r="I471" s="116"/>
      <c r="J471" s="116"/>
      <c r="K471" s="121"/>
    </row>
    <row r="472" spans="2:11">
      <c r="B472" s="116"/>
      <c r="D472" s="116"/>
      <c r="E472" s="121"/>
      <c r="G472" s="116"/>
      <c r="I472" s="116"/>
      <c r="J472" s="116"/>
      <c r="K472" s="121"/>
    </row>
    <row r="473" spans="2:11">
      <c r="B473" s="116"/>
      <c r="D473" s="116"/>
      <c r="E473" s="121"/>
      <c r="G473" s="116"/>
      <c r="I473" s="116"/>
      <c r="J473" s="116"/>
      <c r="K473" s="121"/>
    </row>
    <row r="474" spans="2:11">
      <c r="B474" s="116"/>
      <c r="D474" s="116"/>
      <c r="E474" s="121"/>
      <c r="G474" s="116"/>
      <c r="I474" s="116"/>
      <c r="J474" s="116"/>
      <c r="K474" s="121"/>
    </row>
    <row r="475" spans="2:11">
      <c r="B475" s="116"/>
      <c r="D475" s="116"/>
      <c r="E475" s="121"/>
      <c r="G475" s="116"/>
      <c r="I475" s="116"/>
      <c r="J475" s="116"/>
      <c r="K475" s="121"/>
    </row>
    <row r="476" spans="2:11">
      <c r="B476" s="116"/>
      <c r="D476" s="116"/>
      <c r="E476" s="121"/>
      <c r="G476" s="116"/>
      <c r="I476" s="116"/>
      <c r="J476" s="116"/>
      <c r="K476" s="121"/>
    </row>
    <row r="477" spans="2:11">
      <c r="B477" s="116"/>
      <c r="D477" s="116"/>
      <c r="E477" s="121"/>
      <c r="G477" s="116"/>
      <c r="I477" s="116"/>
      <c r="J477" s="116"/>
      <c r="K477" s="121"/>
    </row>
    <row r="478" spans="2:11">
      <c r="B478" s="116"/>
      <c r="D478" s="116"/>
      <c r="E478" s="121"/>
      <c r="G478" s="116"/>
      <c r="I478" s="116"/>
      <c r="J478" s="116"/>
      <c r="K478" s="121"/>
    </row>
    <row r="479" spans="2:11">
      <c r="B479" s="116"/>
      <c r="D479" s="116"/>
      <c r="E479" s="121"/>
      <c r="G479" s="116"/>
      <c r="I479" s="116"/>
      <c r="J479" s="116"/>
      <c r="K479" s="121"/>
    </row>
    <row r="480" spans="2:11">
      <c r="B480" s="116"/>
      <c r="D480" s="116"/>
      <c r="E480" s="121"/>
      <c r="G480" s="116"/>
      <c r="I480" s="116"/>
      <c r="J480" s="116"/>
      <c r="K480" s="121"/>
    </row>
    <row r="481" spans="2:11">
      <c r="B481" s="116"/>
      <c r="D481" s="116"/>
      <c r="E481" s="121"/>
      <c r="G481" s="116"/>
      <c r="I481" s="116"/>
      <c r="J481" s="116"/>
      <c r="K481" s="121"/>
    </row>
    <row r="482" spans="2:11">
      <c r="B482" s="116"/>
      <c r="D482" s="116"/>
      <c r="E482" s="121"/>
      <c r="G482" s="116"/>
      <c r="I482" s="116"/>
      <c r="J482" s="116"/>
      <c r="K482" s="121"/>
    </row>
    <row r="483" spans="2:11">
      <c r="B483" s="116"/>
      <c r="D483" s="116"/>
      <c r="E483" s="121"/>
      <c r="G483" s="116"/>
      <c r="I483" s="116"/>
      <c r="J483" s="116"/>
      <c r="K483" s="121"/>
    </row>
    <row r="484" spans="2:11">
      <c r="B484" s="116"/>
      <c r="D484" s="116"/>
      <c r="E484" s="121"/>
      <c r="G484" s="116"/>
      <c r="I484" s="116"/>
      <c r="J484" s="116"/>
      <c r="K484" s="121"/>
    </row>
    <row r="485" spans="2:11">
      <c r="B485" s="116"/>
      <c r="D485" s="116"/>
      <c r="E485" s="121"/>
      <c r="G485" s="116"/>
      <c r="I485" s="116"/>
      <c r="J485" s="116"/>
      <c r="K485" s="121"/>
    </row>
    <row r="486" spans="2:11">
      <c r="B486" s="116"/>
      <c r="D486" s="116"/>
      <c r="E486" s="121"/>
      <c r="G486" s="116"/>
      <c r="I486" s="116"/>
      <c r="J486" s="116"/>
      <c r="K486" s="121"/>
    </row>
    <row r="487" spans="2:11">
      <c r="B487" s="116"/>
      <c r="D487" s="116"/>
      <c r="E487" s="121"/>
      <c r="G487" s="116"/>
      <c r="I487" s="116"/>
      <c r="J487" s="116"/>
      <c r="K487" s="121"/>
    </row>
    <row r="488" spans="2:11">
      <c r="B488" s="116"/>
      <c r="D488" s="116"/>
      <c r="E488" s="121"/>
      <c r="G488" s="116"/>
      <c r="I488" s="116"/>
      <c r="J488" s="116"/>
      <c r="K488" s="121"/>
    </row>
    <row r="489" spans="2:11">
      <c r="B489" s="116"/>
      <c r="D489" s="116"/>
      <c r="E489" s="121"/>
      <c r="G489" s="116"/>
      <c r="I489" s="116"/>
      <c r="J489" s="116"/>
      <c r="K489" s="121"/>
    </row>
    <row r="490" spans="2:11">
      <c r="B490" s="116"/>
      <c r="D490" s="116"/>
      <c r="E490" s="121"/>
      <c r="G490" s="116"/>
      <c r="I490" s="116"/>
      <c r="J490" s="116"/>
      <c r="K490" s="121"/>
    </row>
    <row r="491" spans="2:11">
      <c r="B491" s="116"/>
      <c r="D491" s="116"/>
      <c r="E491" s="121"/>
      <c r="G491" s="116"/>
      <c r="I491" s="116"/>
      <c r="J491" s="116"/>
      <c r="K491" s="121"/>
    </row>
    <row r="492" spans="2:11">
      <c r="B492" s="116"/>
      <c r="D492" s="116"/>
      <c r="E492" s="121"/>
      <c r="G492" s="116"/>
      <c r="I492" s="116"/>
      <c r="J492" s="116"/>
      <c r="K492" s="121"/>
    </row>
    <row r="493" spans="2:11">
      <c r="B493" s="116"/>
      <c r="D493" s="116"/>
      <c r="E493" s="121"/>
      <c r="G493" s="116"/>
      <c r="I493" s="116"/>
      <c r="J493" s="116"/>
      <c r="K493" s="121"/>
    </row>
    <row r="494" spans="2:11">
      <c r="B494" s="116"/>
      <c r="D494" s="116"/>
      <c r="E494" s="121"/>
      <c r="G494" s="116"/>
      <c r="I494" s="116"/>
      <c r="J494" s="116"/>
      <c r="K494" s="121"/>
    </row>
    <row r="495" spans="2:11">
      <c r="B495" s="116"/>
      <c r="D495" s="116"/>
      <c r="E495" s="121"/>
      <c r="G495" s="116"/>
      <c r="I495" s="116"/>
      <c r="J495" s="116"/>
      <c r="K495" s="121"/>
    </row>
    <row r="496" spans="2:11">
      <c r="B496" s="116"/>
      <c r="D496" s="116"/>
      <c r="E496" s="121"/>
      <c r="G496" s="116"/>
      <c r="I496" s="116"/>
      <c r="J496" s="116"/>
      <c r="K496" s="121"/>
    </row>
    <row r="497" spans="2:11">
      <c r="B497" s="116"/>
      <c r="D497" s="116"/>
      <c r="E497" s="121"/>
      <c r="G497" s="116"/>
      <c r="I497" s="116"/>
      <c r="J497" s="116"/>
      <c r="K497" s="121"/>
    </row>
    <row r="498" spans="2:11">
      <c r="B498" s="116"/>
      <c r="D498" s="116"/>
      <c r="E498" s="121"/>
      <c r="G498" s="116"/>
      <c r="I498" s="116"/>
      <c r="J498" s="116"/>
      <c r="K498" s="121"/>
    </row>
    <row r="499" spans="2:11">
      <c r="B499" s="116"/>
      <c r="D499" s="116"/>
      <c r="E499" s="121"/>
      <c r="G499" s="116"/>
      <c r="I499" s="116"/>
      <c r="J499" s="116"/>
      <c r="K499" s="121"/>
    </row>
    <row r="500" spans="2:11">
      <c r="B500" s="116"/>
      <c r="D500" s="116"/>
      <c r="E500" s="121"/>
      <c r="G500" s="116"/>
      <c r="I500" s="116"/>
      <c r="J500" s="116"/>
      <c r="K500" s="121"/>
    </row>
    <row r="501" spans="2:11">
      <c r="B501" s="116"/>
      <c r="D501" s="116"/>
      <c r="E501" s="121"/>
      <c r="G501" s="116"/>
      <c r="I501" s="116"/>
      <c r="J501" s="116"/>
      <c r="K501" s="121"/>
    </row>
    <row r="502" spans="2:11">
      <c r="B502" s="116"/>
      <c r="D502" s="116"/>
      <c r="E502" s="121"/>
      <c r="G502" s="116"/>
      <c r="I502" s="116"/>
      <c r="J502" s="116"/>
      <c r="K502" s="121"/>
    </row>
    <row r="503" spans="2:11">
      <c r="B503" s="116"/>
      <c r="D503" s="116"/>
      <c r="E503" s="121"/>
      <c r="G503" s="116"/>
      <c r="I503" s="116"/>
      <c r="J503" s="116"/>
      <c r="K503" s="121"/>
    </row>
    <row r="504" spans="2:11">
      <c r="B504" s="116"/>
      <c r="D504" s="116"/>
      <c r="E504" s="121"/>
      <c r="G504" s="116"/>
      <c r="I504" s="116"/>
      <c r="J504" s="116"/>
      <c r="K504" s="121"/>
    </row>
    <row r="505" spans="2:11">
      <c r="B505" s="116"/>
      <c r="D505" s="116"/>
      <c r="E505" s="121"/>
      <c r="G505" s="116"/>
      <c r="I505" s="116"/>
      <c r="J505" s="116"/>
      <c r="K505" s="121"/>
    </row>
    <row r="506" spans="2:11">
      <c r="B506" s="116"/>
      <c r="D506" s="116"/>
      <c r="E506" s="121"/>
      <c r="G506" s="116"/>
      <c r="I506" s="116"/>
      <c r="J506" s="116"/>
      <c r="K506" s="121"/>
    </row>
    <row r="507" spans="2:11">
      <c r="B507" s="116"/>
      <c r="D507" s="116"/>
      <c r="E507" s="121"/>
      <c r="G507" s="116"/>
      <c r="I507" s="116"/>
      <c r="J507" s="116"/>
      <c r="K507" s="121"/>
    </row>
    <row r="508" spans="2:11">
      <c r="B508" s="116"/>
      <c r="D508" s="116"/>
      <c r="E508" s="121"/>
      <c r="G508" s="116"/>
      <c r="I508" s="116"/>
      <c r="J508" s="116"/>
      <c r="K508" s="121"/>
    </row>
    <row r="509" spans="2:11">
      <c r="B509" s="116"/>
      <c r="D509" s="116"/>
      <c r="E509" s="121"/>
      <c r="G509" s="116"/>
      <c r="I509" s="116"/>
      <c r="J509" s="116"/>
      <c r="K509" s="121"/>
    </row>
    <row r="510" spans="2:11">
      <c r="B510" s="116"/>
      <c r="D510" s="116"/>
      <c r="E510" s="121"/>
      <c r="G510" s="116"/>
      <c r="I510" s="116"/>
      <c r="J510" s="116"/>
      <c r="K510" s="121"/>
    </row>
    <row r="511" spans="2:11">
      <c r="B511" s="116"/>
      <c r="D511" s="116"/>
      <c r="E511" s="121"/>
      <c r="G511" s="116"/>
      <c r="I511" s="116"/>
      <c r="J511" s="116"/>
      <c r="K511" s="121"/>
    </row>
    <row r="512" spans="2:11">
      <c r="B512" s="116"/>
      <c r="D512" s="116"/>
      <c r="E512" s="121"/>
      <c r="G512" s="116"/>
      <c r="I512" s="116"/>
      <c r="J512" s="116"/>
      <c r="K512" s="121"/>
    </row>
    <row r="513" spans="2:11">
      <c r="B513" s="116"/>
      <c r="D513" s="116"/>
      <c r="E513" s="121"/>
      <c r="G513" s="116"/>
      <c r="I513" s="116"/>
      <c r="J513" s="116"/>
      <c r="K513" s="121"/>
    </row>
    <row r="514" spans="2:11">
      <c r="B514" s="116"/>
      <c r="D514" s="116"/>
      <c r="E514" s="121"/>
      <c r="G514" s="116"/>
      <c r="I514" s="116"/>
      <c r="J514" s="116"/>
      <c r="K514" s="121"/>
    </row>
    <row r="515" spans="2:11">
      <c r="B515" s="116"/>
      <c r="D515" s="116"/>
      <c r="E515" s="121"/>
      <c r="G515" s="116"/>
      <c r="I515" s="116"/>
      <c r="J515" s="116"/>
      <c r="K515" s="121"/>
    </row>
    <row r="516" spans="2:11">
      <c r="B516" s="116"/>
      <c r="D516" s="116"/>
      <c r="E516" s="121"/>
      <c r="G516" s="116"/>
      <c r="I516" s="116"/>
      <c r="J516" s="116"/>
      <c r="K516" s="121"/>
    </row>
    <row r="517" spans="2:11">
      <c r="B517" s="116"/>
      <c r="D517" s="116"/>
      <c r="E517" s="121"/>
      <c r="G517" s="116"/>
      <c r="I517" s="116"/>
      <c r="J517" s="116"/>
      <c r="K517" s="121"/>
    </row>
    <row r="518" spans="2:11">
      <c r="B518" s="116"/>
      <c r="D518" s="116"/>
      <c r="E518" s="121"/>
      <c r="G518" s="116"/>
      <c r="I518" s="116"/>
      <c r="J518" s="116"/>
      <c r="K518" s="121"/>
    </row>
    <row r="519" spans="2:11">
      <c r="B519" s="116"/>
      <c r="D519" s="116"/>
      <c r="E519" s="121"/>
      <c r="G519" s="116"/>
      <c r="I519" s="116"/>
      <c r="J519" s="116"/>
      <c r="K519" s="121"/>
    </row>
    <row r="520" spans="2:11">
      <c r="B520" s="116"/>
      <c r="D520" s="116"/>
      <c r="E520" s="121"/>
      <c r="G520" s="116"/>
      <c r="I520" s="116"/>
      <c r="J520" s="116"/>
      <c r="K520" s="121"/>
    </row>
    <row r="521" spans="2:11">
      <c r="B521" s="116"/>
      <c r="D521" s="116"/>
      <c r="E521" s="121"/>
      <c r="G521" s="116"/>
      <c r="I521" s="116"/>
      <c r="J521" s="116"/>
      <c r="K521" s="121"/>
    </row>
    <row r="522" spans="2:11">
      <c r="B522" s="116"/>
      <c r="D522" s="116"/>
      <c r="E522" s="121"/>
      <c r="G522" s="116"/>
      <c r="I522" s="116"/>
      <c r="J522" s="116"/>
      <c r="K522" s="121"/>
    </row>
    <row r="523" spans="2:11">
      <c r="B523" s="116"/>
      <c r="D523" s="116"/>
      <c r="E523" s="121"/>
      <c r="G523" s="116"/>
      <c r="I523" s="116"/>
      <c r="J523" s="116"/>
      <c r="K523" s="121"/>
    </row>
    <row r="524" spans="2:11">
      <c r="B524" s="116"/>
      <c r="D524" s="116"/>
      <c r="E524" s="121"/>
      <c r="G524" s="116"/>
      <c r="I524" s="116"/>
      <c r="J524" s="116"/>
      <c r="K524" s="121"/>
    </row>
    <row r="525" spans="2:11">
      <c r="B525" s="116"/>
      <c r="D525" s="116"/>
      <c r="E525" s="121"/>
      <c r="G525" s="116"/>
      <c r="I525" s="116"/>
      <c r="J525" s="116"/>
      <c r="K525" s="121"/>
    </row>
    <row r="526" spans="2:11">
      <c r="B526" s="116"/>
      <c r="D526" s="116"/>
      <c r="E526" s="121"/>
      <c r="G526" s="116"/>
      <c r="I526" s="116"/>
      <c r="J526" s="116"/>
      <c r="K526" s="121"/>
    </row>
    <row r="527" spans="2:11">
      <c r="B527" s="116"/>
      <c r="D527" s="116"/>
      <c r="E527" s="121"/>
      <c r="G527" s="116"/>
      <c r="I527" s="116"/>
      <c r="J527" s="116"/>
      <c r="K527" s="121"/>
    </row>
    <row r="528" spans="2:11">
      <c r="B528" s="116"/>
      <c r="D528" s="116"/>
      <c r="E528" s="121"/>
      <c r="G528" s="116"/>
      <c r="I528" s="116"/>
      <c r="J528" s="116"/>
      <c r="K528" s="121"/>
    </row>
    <row r="529" spans="2:11">
      <c r="B529" s="116"/>
      <c r="D529" s="116"/>
      <c r="E529" s="121"/>
      <c r="G529" s="116"/>
      <c r="I529" s="116"/>
      <c r="J529" s="116"/>
      <c r="K529" s="121"/>
    </row>
    <row r="530" spans="2:11">
      <c r="B530" s="116"/>
      <c r="D530" s="116"/>
      <c r="E530" s="121"/>
      <c r="G530" s="116"/>
      <c r="I530" s="116"/>
      <c r="J530" s="116"/>
      <c r="K530" s="121"/>
    </row>
    <row r="531" spans="2:11">
      <c r="B531" s="116"/>
      <c r="D531" s="116"/>
      <c r="E531" s="121"/>
      <c r="G531" s="116"/>
      <c r="I531" s="116"/>
      <c r="J531" s="116"/>
      <c r="K531" s="121"/>
    </row>
    <row r="532" spans="2:11">
      <c r="B532" s="116"/>
      <c r="D532" s="116"/>
      <c r="E532" s="121"/>
      <c r="G532" s="116"/>
      <c r="I532" s="116"/>
      <c r="J532" s="116"/>
      <c r="K532" s="121"/>
    </row>
    <row r="533" spans="2:11">
      <c r="B533" s="116"/>
      <c r="D533" s="116"/>
      <c r="E533" s="121"/>
      <c r="G533" s="116"/>
      <c r="I533" s="116"/>
      <c r="J533" s="116"/>
      <c r="K533" s="121"/>
    </row>
    <row r="534" spans="2:11">
      <c r="B534" s="116"/>
      <c r="D534" s="116"/>
      <c r="E534" s="121"/>
      <c r="G534" s="116"/>
      <c r="I534" s="116"/>
      <c r="J534" s="116"/>
      <c r="K534" s="121"/>
    </row>
    <row r="535" spans="2:11">
      <c r="B535" s="116"/>
      <c r="D535" s="116"/>
      <c r="E535" s="121"/>
      <c r="G535" s="116"/>
      <c r="I535" s="116"/>
      <c r="J535" s="116"/>
      <c r="K535" s="121"/>
    </row>
    <row r="536" spans="2:11">
      <c r="B536" s="116"/>
      <c r="D536" s="116"/>
      <c r="E536" s="121"/>
      <c r="G536" s="116"/>
      <c r="I536" s="116"/>
      <c r="J536" s="116"/>
      <c r="K536" s="121"/>
    </row>
    <row r="537" spans="2:11">
      <c r="B537" s="116"/>
      <c r="D537" s="116"/>
      <c r="E537" s="121"/>
      <c r="G537" s="116"/>
      <c r="I537" s="116"/>
      <c r="J537" s="116"/>
      <c r="K537" s="121"/>
    </row>
    <row r="538" spans="2:11">
      <c r="B538" s="116"/>
      <c r="D538" s="116"/>
      <c r="E538" s="121"/>
      <c r="G538" s="116"/>
      <c r="I538" s="116"/>
      <c r="J538" s="116"/>
      <c r="K538" s="121"/>
    </row>
    <row r="539" spans="2:11">
      <c r="B539" s="116"/>
      <c r="D539" s="116"/>
      <c r="E539" s="121"/>
      <c r="G539" s="116"/>
      <c r="I539" s="116"/>
      <c r="J539" s="116"/>
      <c r="K539" s="121"/>
    </row>
    <row r="540" spans="2:11">
      <c r="B540" s="116"/>
      <c r="D540" s="116"/>
      <c r="E540" s="121"/>
      <c r="G540" s="116"/>
      <c r="I540" s="116"/>
      <c r="J540" s="116"/>
      <c r="K540" s="121"/>
    </row>
    <row r="541" spans="2:11">
      <c r="B541" s="116"/>
      <c r="D541" s="116"/>
      <c r="E541" s="121"/>
      <c r="G541" s="116"/>
      <c r="I541" s="116"/>
      <c r="J541" s="116"/>
      <c r="K541" s="121"/>
    </row>
    <row r="542" spans="2:11">
      <c r="B542" s="116"/>
      <c r="D542" s="116"/>
      <c r="E542" s="121"/>
      <c r="G542" s="116"/>
      <c r="I542" s="116"/>
      <c r="J542" s="116"/>
      <c r="K542" s="121"/>
    </row>
    <row r="543" spans="2:11">
      <c r="B543" s="116"/>
      <c r="D543" s="116"/>
      <c r="E543" s="121"/>
      <c r="G543" s="116"/>
      <c r="I543" s="116"/>
      <c r="J543" s="116"/>
      <c r="K543" s="121"/>
    </row>
    <row r="544" spans="2:11">
      <c r="B544" s="116"/>
      <c r="D544" s="116"/>
      <c r="E544" s="121"/>
      <c r="G544" s="116"/>
      <c r="I544" s="116"/>
      <c r="J544" s="116"/>
      <c r="K544" s="121"/>
    </row>
    <row r="545" spans="2:11">
      <c r="B545" s="116"/>
      <c r="D545" s="116"/>
      <c r="E545" s="121"/>
      <c r="G545" s="116"/>
      <c r="I545" s="116"/>
      <c r="J545" s="116"/>
      <c r="K545" s="121"/>
    </row>
    <row r="546" spans="2:11">
      <c r="B546" s="116"/>
      <c r="D546" s="116"/>
      <c r="E546" s="121"/>
      <c r="G546" s="116"/>
      <c r="I546" s="116"/>
      <c r="J546" s="116"/>
      <c r="K546" s="121"/>
    </row>
    <row r="547" spans="2:11">
      <c r="B547" s="116"/>
      <c r="D547" s="116"/>
      <c r="E547" s="121"/>
      <c r="G547" s="116"/>
      <c r="I547" s="116"/>
      <c r="J547" s="116"/>
      <c r="K547" s="121"/>
    </row>
    <row r="548" spans="2:11">
      <c r="B548" s="116"/>
      <c r="D548" s="116"/>
      <c r="E548" s="121"/>
      <c r="G548" s="116"/>
      <c r="I548" s="116"/>
      <c r="J548" s="116"/>
      <c r="K548" s="121"/>
    </row>
    <row r="549" spans="2:11">
      <c r="B549" s="116"/>
      <c r="D549" s="116"/>
      <c r="E549" s="121"/>
      <c r="G549" s="116"/>
      <c r="I549" s="116"/>
      <c r="J549" s="116"/>
      <c r="K549" s="121"/>
    </row>
    <row r="550" spans="2:11">
      <c r="B550" s="116"/>
      <c r="D550" s="116"/>
      <c r="E550" s="121"/>
      <c r="G550" s="116"/>
      <c r="I550" s="116"/>
      <c r="J550" s="116"/>
      <c r="K550" s="121"/>
    </row>
    <row r="551" spans="2:11">
      <c r="B551" s="116"/>
      <c r="D551" s="116"/>
      <c r="E551" s="121"/>
      <c r="G551" s="116"/>
      <c r="I551" s="116"/>
      <c r="J551" s="116"/>
      <c r="K551" s="121"/>
    </row>
    <row r="552" spans="2:11">
      <c r="B552" s="116"/>
      <c r="D552" s="116"/>
      <c r="E552" s="121"/>
      <c r="G552" s="116"/>
      <c r="I552" s="116"/>
      <c r="J552" s="116"/>
      <c r="K552" s="121"/>
    </row>
    <row r="553" spans="2:11">
      <c r="B553" s="116"/>
      <c r="D553" s="116"/>
      <c r="E553" s="121"/>
      <c r="G553" s="116"/>
      <c r="I553" s="116"/>
      <c r="J553" s="116"/>
      <c r="K553" s="121"/>
    </row>
    <row r="554" spans="2:11">
      <c r="B554" s="116"/>
      <c r="D554" s="116"/>
      <c r="E554" s="121"/>
      <c r="G554" s="116"/>
      <c r="I554" s="116"/>
      <c r="J554" s="116"/>
      <c r="K554" s="121"/>
    </row>
    <row r="555" spans="2:11">
      <c r="B555" s="116"/>
      <c r="D555" s="116"/>
      <c r="E555" s="121"/>
      <c r="G555" s="116"/>
      <c r="I555" s="116"/>
      <c r="J555" s="116"/>
      <c r="K555" s="121"/>
    </row>
    <row r="556" spans="2:11">
      <c r="B556" s="116"/>
      <c r="D556" s="116"/>
      <c r="E556" s="121"/>
      <c r="G556" s="116"/>
      <c r="I556" s="116"/>
      <c r="J556" s="116"/>
      <c r="K556" s="121"/>
    </row>
    <row r="557" spans="2:11">
      <c r="B557" s="116"/>
      <c r="D557" s="116"/>
      <c r="E557" s="121"/>
      <c r="G557" s="116"/>
      <c r="I557" s="116"/>
      <c r="J557" s="116"/>
      <c r="K557" s="121"/>
    </row>
    <row r="558" spans="2:11">
      <c r="B558" s="116"/>
      <c r="D558" s="116"/>
      <c r="E558" s="121"/>
      <c r="G558" s="116"/>
      <c r="I558" s="116"/>
      <c r="J558" s="116"/>
      <c r="K558" s="121"/>
    </row>
    <row r="559" spans="2:11">
      <c r="B559" s="116"/>
      <c r="D559" s="116"/>
      <c r="E559" s="121"/>
      <c r="G559" s="116"/>
      <c r="I559" s="116"/>
      <c r="J559" s="116"/>
      <c r="K559" s="121"/>
    </row>
    <row r="560" spans="2:11">
      <c r="B560" s="116"/>
      <c r="D560" s="116"/>
      <c r="E560" s="121"/>
      <c r="G560" s="116"/>
      <c r="I560" s="116"/>
      <c r="J560" s="116"/>
      <c r="K560" s="121"/>
    </row>
    <row r="561" spans="2:11">
      <c r="B561" s="116"/>
      <c r="D561" s="116"/>
      <c r="E561" s="121"/>
      <c r="G561" s="116"/>
      <c r="I561" s="116"/>
      <c r="J561" s="116"/>
      <c r="K561" s="121"/>
    </row>
    <row r="562" spans="2:11">
      <c r="B562" s="116"/>
      <c r="D562" s="116"/>
      <c r="E562" s="121"/>
      <c r="G562" s="116"/>
      <c r="I562" s="116"/>
      <c r="J562" s="116"/>
      <c r="K562" s="121"/>
    </row>
    <row r="563" spans="2:11">
      <c r="B563" s="116"/>
      <c r="D563" s="116"/>
      <c r="E563" s="121"/>
      <c r="G563" s="116"/>
      <c r="I563" s="116"/>
      <c r="J563" s="116"/>
      <c r="K563" s="121"/>
    </row>
    <row r="564" spans="2:11">
      <c r="B564" s="116"/>
      <c r="D564" s="116"/>
      <c r="E564" s="121"/>
      <c r="G564" s="116"/>
      <c r="I564" s="116"/>
      <c r="J564" s="116"/>
      <c r="K564" s="121"/>
    </row>
    <row r="565" spans="2:11">
      <c r="B565" s="116"/>
      <c r="D565" s="116"/>
      <c r="E565" s="121"/>
      <c r="G565" s="116"/>
      <c r="I565" s="116"/>
      <c r="J565" s="116"/>
      <c r="K565" s="121"/>
    </row>
    <row r="566" spans="2:11">
      <c r="B566" s="116"/>
      <c r="D566" s="116"/>
      <c r="E566" s="121"/>
      <c r="G566" s="116"/>
      <c r="I566" s="116"/>
      <c r="J566" s="116"/>
      <c r="K566" s="121"/>
    </row>
    <row r="567" spans="2:11">
      <c r="B567" s="116"/>
      <c r="D567" s="116"/>
      <c r="E567" s="121"/>
      <c r="G567" s="116"/>
      <c r="I567" s="116"/>
      <c r="J567" s="116"/>
      <c r="K567" s="121"/>
    </row>
    <row r="568" spans="2:11">
      <c r="B568" s="116"/>
      <c r="D568" s="116"/>
      <c r="E568" s="121"/>
      <c r="G568" s="116"/>
      <c r="I568" s="116"/>
      <c r="J568" s="116"/>
      <c r="K568" s="121"/>
    </row>
    <row r="569" spans="2:11">
      <c r="B569" s="116"/>
      <c r="D569" s="116"/>
      <c r="E569" s="121"/>
      <c r="G569" s="116"/>
      <c r="I569" s="116"/>
      <c r="J569" s="116"/>
      <c r="K569" s="121"/>
    </row>
    <row r="570" spans="2:11">
      <c r="B570" s="116"/>
      <c r="D570" s="116"/>
      <c r="E570" s="121"/>
      <c r="G570" s="116"/>
      <c r="I570" s="116"/>
      <c r="J570" s="116"/>
      <c r="K570" s="121"/>
    </row>
    <row r="571" spans="2:11">
      <c r="B571" s="116"/>
      <c r="D571" s="116"/>
      <c r="E571" s="121"/>
      <c r="G571" s="116"/>
      <c r="I571" s="116"/>
      <c r="J571" s="116"/>
      <c r="K571" s="121"/>
    </row>
    <row r="572" spans="2:11">
      <c r="B572" s="116"/>
      <c r="D572" s="116"/>
      <c r="E572" s="121"/>
      <c r="G572" s="116"/>
      <c r="I572" s="116"/>
      <c r="J572" s="116"/>
      <c r="K572" s="121"/>
    </row>
    <row r="573" spans="2:11">
      <c r="B573" s="116"/>
      <c r="D573" s="116"/>
      <c r="E573" s="121"/>
      <c r="G573" s="116"/>
      <c r="I573" s="116"/>
      <c r="J573" s="116"/>
      <c r="K573" s="121"/>
    </row>
    <row r="574" spans="2:11">
      <c r="B574" s="116"/>
      <c r="D574" s="116"/>
      <c r="E574" s="121"/>
      <c r="G574" s="116"/>
      <c r="I574" s="116"/>
      <c r="J574" s="116"/>
      <c r="K574" s="121"/>
    </row>
    <row r="575" spans="2:11">
      <c r="B575" s="116"/>
      <c r="D575" s="116"/>
      <c r="E575" s="121"/>
      <c r="G575" s="116"/>
      <c r="I575" s="116"/>
      <c r="J575" s="116"/>
      <c r="K575" s="121"/>
    </row>
    <row r="576" spans="2:11">
      <c r="B576" s="116"/>
      <c r="D576" s="116"/>
      <c r="E576" s="121"/>
      <c r="G576" s="116"/>
      <c r="I576" s="116"/>
      <c r="J576" s="116"/>
      <c r="K576" s="121"/>
    </row>
    <row r="577" spans="2:11">
      <c r="B577" s="116"/>
      <c r="D577" s="116"/>
      <c r="E577" s="121"/>
      <c r="G577" s="116"/>
      <c r="I577" s="116"/>
      <c r="J577" s="116"/>
      <c r="K577" s="121"/>
    </row>
    <row r="578" spans="2:11">
      <c r="B578" s="116"/>
      <c r="D578" s="116"/>
      <c r="E578" s="121"/>
      <c r="G578" s="116"/>
      <c r="I578" s="116"/>
      <c r="J578" s="116"/>
      <c r="K578" s="121"/>
    </row>
    <row r="579" spans="2:11">
      <c r="B579" s="116"/>
      <c r="D579" s="116"/>
      <c r="E579" s="121"/>
      <c r="G579" s="116"/>
      <c r="I579" s="116"/>
      <c r="J579" s="116"/>
      <c r="K579" s="121"/>
    </row>
    <row r="580" spans="2:11">
      <c r="B580" s="116"/>
      <c r="D580" s="116"/>
      <c r="E580" s="121"/>
      <c r="G580" s="116"/>
      <c r="I580" s="116"/>
      <c r="J580" s="116"/>
      <c r="K580" s="121"/>
    </row>
    <row r="581" spans="2:11">
      <c r="B581" s="116"/>
      <c r="D581" s="116"/>
      <c r="E581" s="121"/>
      <c r="G581" s="116"/>
      <c r="I581" s="116"/>
      <c r="J581" s="116"/>
      <c r="K581" s="121"/>
    </row>
    <row r="582" spans="2:11">
      <c r="B582" s="116"/>
      <c r="D582" s="116"/>
      <c r="E582" s="121"/>
      <c r="G582" s="116"/>
      <c r="I582" s="116"/>
      <c r="J582" s="116"/>
      <c r="K582" s="121"/>
    </row>
    <row r="583" spans="2:11">
      <c r="B583" s="116"/>
      <c r="D583" s="116"/>
      <c r="E583" s="121"/>
      <c r="G583" s="116"/>
      <c r="I583" s="116"/>
      <c r="J583" s="116"/>
      <c r="K583" s="121"/>
    </row>
    <row r="584" spans="2:11">
      <c r="B584" s="116"/>
      <c r="D584" s="116"/>
      <c r="E584" s="121"/>
      <c r="G584" s="116"/>
      <c r="I584" s="116"/>
      <c r="J584" s="116"/>
      <c r="K584" s="121"/>
    </row>
    <row r="585" spans="2:11">
      <c r="B585" s="116"/>
      <c r="D585" s="116"/>
      <c r="E585" s="121"/>
      <c r="G585" s="116"/>
      <c r="I585" s="116"/>
      <c r="J585" s="116"/>
      <c r="K585" s="121"/>
    </row>
    <row r="586" spans="2:11">
      <c r="B586" s="116"/>
      <c r="D586" s="116"/>
      <c r="E586" s="121"/>
      <c r="G586" s="116"/>
      <c r="I586" s="116"/>
      <c r="J586" s="116"/>
      <c r="K586" s="121"/>
    </row>
    <row r="587" spans="2:11">
      <c r="B587" s="116"/>
      <c r="D587" s="116"/>
      <c r="E587" s="121"/>
      <c r="G587" s="116"/>
      <c r="I587" s="116"/>
      <c r="J587" s="116"/>
      <c r="K587" s="121"/>
    </row>
    <row r="588" spans="2:11">
      <c r="B588" s="116"/>
      <c r="D588" s="116"/>
      <c r="E588" s="121"/>
      <c r="G588" s="116"/>
      <c r="I588" s="116"/>
      <c r="J588" s="116"/>
      <c r="K588" s="121"/>
    </row>
    <row r="589" spans="2:11">
      <c r="B589" s="116"/>
      <c r="D589" s="116"/>
      <c r="E589" s="121"/>
      <c r="G589" s="116"/>
      <c r="I589" s="116"/>
      <c r="J589" s="116"/>
      <c r="K589" s="121"/>
    </row>
    <row r="590" spans="2:11">
      <c r="B590" s="116"/>
      <c r="D590" s="116"/>
      <c r="E590" s="121"/>
      <c r="G590" s="116"/>
      <c r="I590" s="116"/>
      <c r="J590" s="116"/>
      <c r="K590" s="121"/>
    </row>
    <row r="591" spans="2:11">
      <c r="B591" s="116"/>
      <c r="D591" s="116"/>
      <c r="E591" s="121"/>
      <c r="G591" s="116"/>
      <c r="I591" s="116"/>
      <c r="J591" s="116"/>
      <c r="K591" s="121"/>
    </row>
    <row r="592" spans="2:11">
      <c r="B592" s="116"/>
      <c r="D592" s="116"/>
      <c r="E592" s="121"/>
      <c r="G592" s="116"/>
      <c r="I592" s="116"/>
      <c r="J592" s="116"/>
      <c r="K592" s="121"/>
    </row>
    <row r="593" spans="2:11">
      <c r="B593" s="116"/>
      <c r="D593" s="116"/>
      <c r="E593" s="121"/>
      <c r="G593" s="116"/>
      <c r="I593" s="116"/>
      <c r="J593" s="116"/>
      <c r="K593" s="121"/>
    </row>
    <row r="594" spans="2:11">
      <c r="B594" s="116"/>
      <c r="D594" s="116"/>
      <c r="E594" s="121"/>
      <c r="G594" s="116"/>
      <c r="I594" s="116"/>
      <c r="J594" s="116"/>
      <c r="K594" s="121"/>
    </row>
    <row r="595" spans="2:11">
      <c r="B595" s="116"/>
      <c r="D595" s="116"/>
      <c r="E595" s="121"/>
      <c r="G595" s="116"/>
      <c r="I595" s="116"/>
      <c r="J595" s="116"/>
      <c r="K595" s="121"/>
    </row>
    <row r="596" spans="2:11">
      <c r="B596" s="116"/>
      <c r="D596" s="116"/>
      <c r="E596" s="121"/>
      <c r="G596" s="116"/>
      <c r="I596" s="116"/>
      <c r="J596" s="116"/>
      <c r="K596" s="121"/>
    </row>
    <row r="597" spans="2:11">
      <c r="B597" s="116"/>
      <c r="D597" s="116"/>
      <c r="E597" s="121"/>
      <c r="G597" s="116"/>
      <c r="I597" s="116"/>
      <c r="J597" s="116"/>
      <c r="K597" s="121"/>
    </row>
    <row r="598" spans="2:11">
      <c r="B598" s="116"/>
      <c r="D598" s="116"/>
      <c r="E598" s="121"/>
      <c r="G598" s="116"/>
      <c r="I598" s="116"/>
      <c r="J598" s="116"/>
      <c r="K598" s="121"/>
    </row>
    <row r="599" spans="2:11">
      <c r="B599" s="116"/>
      <c r="D599" s="116"/>
      <c r="E599" s="121"/>
      <c r="G599" s="116"/>
      <c r="I599" s="116"/>
      <c r="J599" s="116"/>
      <c r="K599" s="121"/>
    </row>
    <row r="600" spans="2:11">
      <c r="B600" s="116"/>
      <c r="D600" s="116"/>
      <c r="E600" s="121"/>
      <c r="G600" s="116"/>
      <c r="I600" s="116"/>
      <c r="J600" s="116"/>
      <c r="K600" s="121"/>
    </row>
    <row r="601" spans="2:11">
      <c r="B601" s="116"/>
      <c r="D601" s="116"/>
      <c r="E601" s="121"/>
      <c r="G601" s="116"/>
      <c r="I601" s="116"/>
      <c r="J601" s="116"/>
      <c r="K601" s="121"/>
    </row>
    <row r="602" spans="2:11">
      <c r="B602" s="116"/>
      <c r="D602" s="116"/>
      <c r="E602" s="121"/>
      <c r="G602" s="116"/>
      <c r="I602" s="116"/>
      <c r="J602" s="116"/>
      <c r="K602" s="121"/>
    </row>
    <row r="603" spans="2:11">
      <c r="B603" s="116"/>
      <c r="D603" s="116"/>
      <c r="E603" s="121"/>
      <c r="G603" s="116"/>
      <c r="I603" s="116"/>
      <c r="J603" s="116"/>
      <c r="K603" s="121"/>
    </row>
    <row r="604" spans="2:11">
      <c r="B604" s="116"/>
      <c r="D604" s="116"/>
      <c r="E604" s="121"/>
      <c r="G604" s="116"/>
      <c r="I604" s="116"/>
      <c r="J604" s="116"/>
      <c r="K604" s="121"/>
    </row>
    <row r="605" spans="2:11">
      <c r="B605" s="116"/>
      <c r="D605" s="116"/>
      <c r="E605" s="121"/>
      <c r="G605" s="116"/>
      <c r="I605" s="116"/>
      <c r="J605" s="116"/>
      <c r="K605" s="121"/>
    </row>
    <row r="606" spans="2:11">
      <c r="B606" s="116"/>
      <c r="D606" s="116"/>
      <c r="E606" s="121"/>
      <c r="G606" s="116"/>
      <c r="I606" s="116"/>
      <c r="J606" s="116"/>
      <c r="K606" s="121"/>
    </row>
    <row r="607" spans="2:11">
      <c r="B607" s="116"/>
      <c r="D607" s="116"/>
      <c r="E607" s="121"/>
      <c r="G607" s="116"/>
      <c r="I607" s="116"/>
      <c r="J607" s="116"/>
      <c r="K607" s="121"/>
    </row>
    <row r="608" spans="2:11">
      <c r="B608" s="116"/>
      <c r="D608" s="116"/>
      <c r="E608" s="121"/>
      <c r="G608" s="116"/>
      <c r="I608" s="116"/>
      <c r="J608" s="116"/>
      <c r="K608" s="121"/>
    </row>
    <row r="609" spans="2:11">
      <c r="B609" s="116"/>
      <c r="D609" s="116"/>
      <c r="E609" s="121"/>
      <c r="G609" s="116"/>
      <c r="I609" s="116"/>
      <c r="J609" s="116"/>
      <c r="K609" s="121"/>
    </row>
    <row r="610" spans="2:11">
      <c r="B610" s="116"/>
      <c r="D610" s="116"/>
      <c r="E610" s="121"/>
      <c r="G610" s="116"/>
      <c r="I610" s="116"/>
      <c r="J610" s="116"/>
      <c r="K610" s="121"/>
    </row>
    <row r="611" spans="2:11">
      <c r="B611" s="116"/>
      <c r="D611" s="116"/>
      <c r="E611" s="121"/>
      <c r="G611" s="116"/>
      <c r="I611" s="116"/>
      <c r="J611" s="116"/>
      <c r="K611" s="121"/>
    </row>
    <row r="612" spans="2:11">
      <c r="B612" s="116"/>
      <c r="D612" s="116"/>
      <c r="E612" s="121"/>
      <c r="G612" s="116"/>
      <c r="I612" s="116"/>
      <c r="J612" s="116"/>
      <c r="K612" s="121"/>
    </row>
    <row r="613" spans="2:11">
      <c r="B613" s="116"/>
      <c r="D613" s="116"/>
      <c r="E613" s="121"/>
      <c r="G613" s="116"/>
      <c r="I613" s="116"/>
      <c r="J613" s="116"/>
      <c r="K613" s="121"/>
    </row>
    <row r="614" spans="2:11">
      <c r="B614" s="116"/>
      <c r="D614" s="116"/>
      <c r="E614" s="121"/>
      <c r="G614" s="116"/>
      <c r="I614" s="116"/>
      <c r="J614" s="116"/>
      <c r="K614" s="121"/>
    </row>
    <row r="615" spans="2:11">
      <c r="B615" s="116"/>
      <c r="D615" s="116"/>
      <c r="E615" s="121"/>
      <c r="G615" s="116"/>
      <c r="I615" s="116"/>
      <c r="J615" s="116"/>
      <c r="K615" s="121"/>
    </row>
    <row r="616" spans="2:11">
      <c r="B616" s="116"/>
      <c r="D616" s="116"/>
      <c r="E616" s="121"/>
      <c r="G616" s="116"/>
      <c r="I616" s="116"/>
      <c r="J616" s="116"/>
      <c r="K616" s="121"/>
    </row>
    <row r="617" spans="2:11">
      <c r="B617" s="116"/>
      <c r="D617" s="116"/>
      <c r="E617" s="121"/>
      <c r="G617" s="116"/>
      <c r="I617" s="116"/>
      <c r="J617" s="116"/>
      <c r="K617" s="121"/>
    </row>
    <row r="618" spans="2:11">
      <c r="B618" s="116"/>
      <c r="D618" s="116"/>
      <c r="E618" s="121"/>
      <c r="G618" s="116"/>
      <c r="I618" s="116"/>
      <c r="J618" s="116"/>
      <c r="K618" s="121"/>
    </row>
    <row r="619" spans="2:11">
      <c r="B619" s="116"/>
      <c r="D619" s="116"/>
      <c r="E619" s="121"/>
      <c r="G619" s="116"/>
      <c r="I619" s="116"/>
      <c r="J619" s="116"/>
      <c r="K619" s="121"/>
    </row>
    <row r="620" spans="2:11">
      <c r="B620" s="116"/>
      <c r="D620" s="116"/>
      <c r="E620" s="121"/>
      <c r="G620" s="116"/>
      <c r="I620" s="116"/>
      <c r="J620" s="116"/>
      <c r="K620" s="121"/>
    </row>
    <row r="621" spans="2:11">
      <c r="B621" s="116"/>
      <c r="D621" s="116"/>
      <c r="E621" s="121"/>
      <c r="G621" s="116"/>
      <c r="I621" s="116"/>
      <c r="J621" s="116"/>
      <c r="K621" s="121"/>
    </row>
    <row r="622" spans="2:11">
      <c r="B622" s="116"/>
      <c r="D622" s="116"/>
      <c r="E622" s="121"/>
      <c r="G622" s="116"/>
      <c r="I622" s="116"/>
      <c r="J622" s="116"/>
      <c r="K622" s="121"/>
    </row>
    <row r="623" spans="2:11">
      <c r="B623" s="116"/>
      <c r="D623" s="116"/>
      <c r="E623" s="121"/>
      <c r="G623" s="116"/>
      <c r="I623" s="116"/>
      <c r="J623" s="116"/>
      <c r="K623" s="121"/>
    </row>
    <row r="624" spans="2:11">
      <c r="B624" s="116"/>
      <c r="D624" s="116"/>
      <c r="E624" s="121"/>
      <c r="G624" s="116"/>
      <c r="I624" s="116"/>
      <c r="J624" s="116"/>
      <c r="K624" s="121"/>
    </row>
    <row r="625" spans="2:11">
      <c r="B625" s="116"/>
      <c r="D625" s="116"/>
      <c r="E625" s="121"/>
      <c r="G625" s="116"/>
      <c r="I625" s="116"/>
      <c r="J625" s="116"/>
      <c r="K625" s="121"/>
    </row>
    <row r="626" spans="2:11">
      <c r="B626" s="116"/>
      <c r="D626" s="116"/>
      <c r="E626" s="121"/>
      <c r="G626" s="116"/>
      <c r="I626" s="116"/>
      <c r="J626" s="116"/>
      <c r="K626" s="121"/>
    </row>
    <row r="627" spans="2:11">
      <c r="B627" s="116"/>
      <c r="D627" s="116"/>
      <c r="E627" s="121"/>
      <c r="G627" s="116"/>
      <c r="I627" s="116"/>
      <c r="J627" s="116"/>
      <c r="K627" s="121"/>
    </row>
    <row r="628" spans="2:11">
      <c r="B628" s="116"/>
      <c r="D628" s="116"/>
      <c r="E628" s="121"/>
      <c r="G628" s="116"/>
      <c r="I628" s="116"/>
      <c r="J628" s="116"/>
      <c r="K628" s="121"/>
    </row>
    <row r="629" spans="2:11">
      <c r="B629" s="116"/>
      <c r="D629" s="116"/>
      <c r="E629" s="121"/>
      <c r="G629" s="116"/>
      <c r="I629" s="116"/>
      <c r="J629" s="116"/>
      <c r="K629" s="121"/>
    </row>
    <row r="630" spans="2:11">
      <c r="B630" s="116"/>
      <c r="D630" s="116"/>
      <c r="E630" s="121"/>
      <c r="G630" s="116"/>
      <c r="I630" s="116"/>
      <c r="J630" s="116"/>
      <c r="K630" s="121"/>
    </row>
    <row r="631" spans="2:11">
      <c r="B631" s="116"/>
      <c r="D631" s="116"/>
      <c r="E631" s="121"/>
      <c r="G631" s="116"/>
      <c r="I631" s="116"/>
      <c r="J631" s="116"/>
      <c r="K631" s="121"/>
    </row>
    <row r="632" spans="2:11">
      <c r="B632" s="116"/>
      <c r="D632" s="116"/>
      <c r="E632" s="121"/>
      <c r="G632" s="116"/>
      <c r="I632" s="116"/>
      <c r="J632" s="116"/>
      <c r="K632" s="121"/>
    </row>
    <row r="633" spans="2:11">
      <c r="B633" s="116"/>
      <c r="D633" s="116"/>
      <c r="E633" s="121"/>
      <c r="G633" s="116"/>
      <c r="I633" s="116"/>
      <c r="J633" s="116"/>
      <c r="K633" s="121"/>
    </row>
    <row r="634" spans="2:11">
      <c r="B634" s="116"/>
      <c r="D634" s="116"/>
      <c r="E634" s="121"/>
      <c r="G634" s="116"/>
      <c r="I634" s="116"/>
      <c r="J634" s="116"/>
      <c r="K634" s="121"/>
    </row>
    <row r="635" spans="2:11">
      <c r="B635" s="116"/>
      <c r="D635" s="116"/>
      <c r="E635" s="121"/>
      <c r="G635" s="116"/>
      <c r="I635" s="116"/>
      <c r="J635" s="116"/>
      <c r="K635" s="121"/>
    </row>
    <row r="636" spans="2:11">
      <c r="B636" s="116"/>
      <c r="D636" s="116"/>
      <c r="E636" s="121"/>
      <c r="G636" s="116"/>
      <c r="I636" s="116"/>
      <c r="J636" s="116"/>
      <c r="K636" s="121"/>
    </row>
    <row r="637" spans="2:11">
      <c r="B637" s="116"/>
      <c r="D637" s="116"/>
      <c r="E637" s="121"/>
      <c r="G637" s="116"/>
      <c r="I637" s="116"/>
      <c r="J637" s="116"/>
      <c r="K637" s="121"/>
    </row>
    <row r="638" spans="2:11">
      <c r="B638" s="116"/>
      <c r="D638" s="116"/>
      <c r="E638" s="121"/>
      <c r="G638" s="116"/>
      <c r="I638" s="116"/>
      <c r="J638" s="116"/>
      <c r="K638" s="121"/>
    </row>
    <row r="639" spans="2:11">
      <c r="B639" s="116"/>
      <c r="D639" s="116"/>
      <c r="E639" s="121"/>
      <c r="G639" s="116"/>
      <c r="I639" s="116"/>
      <c r="J639" s="116"/>
      <c r="K639" s="121"/>
    </row>
    <row r="640" spans="2:11">
      <c r="B640" s="116"/>
      <c r="D640" s="116"/>
      <c r="E640" s="121"/>
      <c r="G640" s="116"/>
      <c r="I640" s="116"/>
      <c r="J640" s="116"/>
      <c r="K640" s="121"/>
    </row>
    <row r="641" spans="2:11">
      <c r="B641" s="116"/>
      <c r="D641" s="116"/>
      <c r="E641" s="121"/>
      <c r="G641" s="116"/>
      <c r="I641" s="116"/>
      <c r="J641" s="116"/>
      <c r="K641" s="121"/>
    </row>
    <row r="642" spans="2:11">
      <c r="B642" s="116"/>
      <c r="D642" s="116"/>
      <c r="E642" s="121"/>
      <c r="G642" s="116"/>
      <c r="I642" s="116"/>
      <c r="J642" s="116"/>
      <c r="K642" s="121"/>
    </row>
    <row r="643" spans="2:11">
      <c r="B643" s="116"/>
      <c r="D643" s="116"/>
      <c r="E643" s="121"/>
      <c r="G643" s="116"/>
      <c r="I643" s="116"/>
      <c r="J643" s="116"/>
      <c r="K643" s="121"/>
    </row>
    <row r="644" spans="2:11">
      <c r="B644" s="116"/>
      <c r="D644" s="116"/>
      <c r="E644" s="121"/>
      <c r="G644" s="116"/>
      <c r="I644" s="116"/>
      <c r="J644" s="116"/>
      <c r="K644" s="121"/>
    </row>
    <row r="645" spans="2:11">
      <c r="B645" s="116"/>
      <c r="D645" s="116"/>
      <c r="E645" s="121"/>
      <c r="G645" s="116"/>
      <c r="I645" s="116"/>
      <c r="J645" s="116"/>
      <c r="K645" s="121"/>
    </row>
    <row r="646" spans="2:11">
      <c r="B646" s="116"/>
      <c r="D646" s="116"/>
      <c r="E646" s="121"/>
      <c r="G646" s="116"/>
      <c r="I646" s="116"/>
      <c r="J646" s="116"/>
      <c r="K646" s="121"/>
    </row>
    <row r="647" spans="2:11">
      <c r="B647" s="116"/>
      <c r="D647" s="116"/>
      <c r="E647" s="121"/>
      <c r="G647" s="116"/>
      <c r="I647" s="116"/>
      <c r="J647" s="116"/>
      <c r="K647" s="121"/>
    </row>
    <row r="648" spans="2:11">
      <c r="B648" s="116"/>
      <c r="D648" s="116"/>
      <c r="E648" s="121"/>
      <c r="G648" s="116"/>
      <c r="I648" s="116"/>
      <c r="J648" s="116"/>
      <c r="K648" s="121"/>
    </row>
    <row r="649" spans="2:11">
      <c r="B649" s="116"/>
      <c r="D649" s="116"/>
      <c r="E649" s="121"/>
      <c r="G649" s="116"/>
      <c r="I649" s="116"/>
      <c r="J649" s="116"/>
      <c r="K649" s="121"/>
    </row>
    <row r="650" spans="2:11">
      <c r="B650" s="116"/>
      <c r="D650" s="116"/>
      <c r="E650" s="121"/>
      <c r="G650" s="116"/>
      <c r="I650" s="116"/>
      <c r="J650" s="116"/>
      <c r="K650" s="121"/>
    </row>
    <row r="651" spans="2:11">
      <c r="B651" s="116"/>
      <c r="D651" s="116"/>
      <c r="E651" s="121"/>
      <c r="G651" s="116"/>
      <c r="I651" s="116"/>
      <c r="J651" s="116"/>
      <c r="K651" s="121"/>
    </row>
    <row r="652" spans="2:11">
      <c r="B652" s="116"/>
      <c r="D652" s="116"/>
      <c r="E652" s="121"/>
      <c r="G652" s="116"/>
      <c r="I652" s="116"/>
      <c r="J652" s="116"/>
      <c r="K652" s="121"/>
    </row>
    <row r="653" spans="2:11">
      <c r="B653" s="116"/>
      <c r="D653" s="116"/>
      <c r="E653" s="121"/>
      <c r="G653" s="116"/>
      <c r="I653" s="116"/>
      <c r="J653" s="116"/>
      <c r="K653" s="121"/>
    </row>
    <row r="654" spans="2:11">
      <c r="B654" s="116"/>
      <c r="D654" s="116"/>
      <c r="E654" s="121"/>
      <c r="G654" s="116"/>
      <c r="I654" s="116"/>
      <c r="J654" s="116"/>
      <c r="K654" s="121"/>
    </row>
    <row r="655" spans="2:11">
      <c r="B655" s="116"/>
      <c r="D655" s="116"/>
      <c r="E655" s="121"/>
      <c r="G655" s="116"/>
      <c r="I655" s="116"/>
      <c r="J655" s="116"/>
      <c r="K655" s="121"/>
    </row>
    <row r="656" spans="2:11">
      <c r="B656" s="116"/>
      <c r="D656" s="116"/>
      <c r="E656" s="121"/>
      <c r="G656" s="116"/>
      <c r="I656" s="116"/>
      <c r="J656" s="116"/>
      <c r="K656" s="121"/>
    </row>
    <row r="657" spans="2:11">
      <c r="B657" s="116"/>
      <c r="D657" s="116"/>
      <c r="E657" s="121"/>
      <c r="G657" s="116"/>
      <c r="I657" s="116"/>
      <c r="J657" s="116"/>
      <c r="K657" s="121"/>
    </row>
    <row r="658" spans="2:11">
      <c r="B658" s="116"/>
      <c r="D658" s="116"/>
      <c r="E658" s="121"/>
      <c r="G658" s="116"/>
      <c r="I658" s="116"/>
      <c r="J658" s="116"/>
      <c r="K658" s="121"/>
    </row>
    <row r="659" spans="2:11">
      <c r="B659" s="116"/>
      <c r="D659" s="116"/>
      <c r="E659" s="121"/>
      <c r="G659" s="116"/>
      <c r="I659" s="116"/>
      <c r="J659" s="116"/>
      <c r="K659" s="121"/>
    </row>
    <row r="660" spans="2:11">
      <c r="B660" s="116"/>
      <c r="D660" s="116"/>
      <c r="E660" s="121"/>
      <c r="G660" s="116"/>
      <c r="I660" s="116"/>
      <c r="J660" s="116"/>
      <c r="K660" s="121"/>
    </row>
    <row r="661" spans="2:11">
      <c r="B661" s="116"/>
      <c r="D661" s="116"/>
      <c r="E661" s="121"/>
      <c r="G661" s="116"/>
      <c r="I661" s="116"/>
      <c r="J661" s="116"/>
      <c r="K661" s="121"/>
    </row>
    <row r="662" spans="2:11">
      <c r="B662" s="116"/>
      <c r="D662" s="116"/>
      <c r="E662" s="121"/>
      <c r="G662" s="116"/>
      <c r="I662" s="116"/>
      <c r="J662" s="116"/>
      <c r="K662" s="121"/>
    </row>
    <row r="663" spans="2:11">
      <c r="B663" s="116"/>
      <c r="D663" s="116"/>
      <c r="E663" s="121"/>
      <c r="G663" s="116"/>
      <c r="I663" s="116"/>
      <c r="J663" s="116"/>
      <c r="K663" s="121"/>
    </row>
    <row r="664" spans="2:11">
      <c r="B664" s="116"/>
      <c r="D664" s="116"/>
      <c r="E664" s="121"/>
      <c r="G664" s="116"/>
      <c r="I664" s="116"/>
      <c r="J664" s="116"/>
      <c r="K664" s="121"/>
    </row>
    <row r="665" spans="2:11">
      <c r="B665" s="116"/>
      <c r="D665" s="116"/>
      <c r="E665" s="121"/>
      <c r="G665" s="116"/>
      <c r="I665" s="116"/>
      <c r="J665" s="116"/>
      <c r="K665" s="121"/>
    </row>
    <row r="666" spans="2:11">
      <c r="B666" s="116"/>
      <c r="D666" s="116"/>
      <c r="E666" s="121"/>
      <c r="G666" s="116"/>
      <c r="I666" s="116"/>
      <c r="J666" s="116"/>
      <c r="K666" s="121"/>
    </row>
    <row r="667" spans="2:11">
      <c r="B667" s="116"/>
      <c r="D667" s="116"/>
      <c r="E667" s="121"/>
      <c r="G667" s="116"/>
      <c r="I667" s="116"/>
      <c r="J667" s="116"/>
      <c r="K667" s="121"/>
    </row>
    <row r="668" spans="2:11">
      <c r="B668" s="116"/>
      <c r="D668" s="116"/>
      <c r="E668" s="121"/>
      <c r="G668" s="116"/>
      <c r="I668" s="116"/>
      <c r="J668" s="116"/>
      <c r="K668" s="121"/>
    </row>
    <row r="669" spans="2:11">
      <c r="B669" s="116"/>
      <c r="D669" s="116"/>
      <c r="E669" s="121"/>
      <c r="G669" s="116"/>
      <c r="I669" s="116"/>
      <c r="J669" s="116"/>
      <c r="K669" s="121"/>
    </row>
    <row r="670" spans="2:11">
      <c r="B670" s="116"/>
      <c r="D670" s="116"/>
      <c r="E670" s="121"/>
      <c r="G670" s="116"/>
      <c r="I670" s="116"/>
      <c r="J670" s="116"/>
      <c r="K670" s="121"/>
    </row>
    <row r="671" spans="2:11">
      <c r="B671" s="116"/>
      <c r="D671" s="116"/>
      <c r="E671" s="121"/>
      <c r="G671" s="116"/>
      <c r="I671" s="116"/>
      <c r="J671" s="116"/>
      <c r="K671" s="121"/>
    </row>
    <row r="672" spans="2:11">
      <c r="B672" s="116"/>
      <c r="D672" s="116"/>
      <c r="E672" s="121"/>
      <c r="G672" s="116"/>
      <c r="I672" s="116"/>
      <c r="J672" s="116"/>
      <c r="K672" s="121"/>
    </row>
    <row r="673" spans="2:11">
      <c r="B673" s="116"/>
      <c r="D673" s="116"/>
      <c r="E673" s="121"/>
      <c r="G673" s="116"/>
      <c r="I673" s="116"/>
      <c r="J673" s="116"/>
      <c r="K673" s="121"/>
    </row>
    <row r="674" spans="2:11">
      <c r="B674" s="116"/>
      <c r="D674" s="116"/>
      <c r="E674" s="121"/>
      <c r="G674" s="116"/>
      <c r="I674" s="116"/>
      <c r="J674" s="116"/>
      <c r="K674" s="121"/>
    </row>
    <row r="675" spans="2:11">
      <c r="B675" s="116"/>
      <c r="D675" s="116"/>
      <c r="E675" s="121"/>
      <c r="G675" s="116"/>
      <c r="I675" s="116"/>
      <c r="J675" s="116"/>
      <c r="K675" s="121"/>
    </row>
    <row r="676" spans="2:11">
      <c r="B676" s="116"/>
      <c r="D676" s="116"/>
      <c r="E676" s="121"/>
      <c r="G676" s="116"/>
      <c r="I676" s="116"/>
      <c r="J676" s="116"/>
      <c r="K676" s="121"/>
    </row>
    <row r="677" spans="2:11">
      <c r="B677" s="116"/>
      <c r="D677" s="116"/>
      <c r="E677" s="121"/>
      <c r="G677" s="116"/>
      <c r="I677" s="116"/>
      <c r="J677" s="116"/>
      <c r="K677" s="121"/>
    </row>
    <row r="678" spans="2:11">
      <c r="B678" s="116"/>
      <c r="D678" s="116"/>
      <c r="E678" s="121"/>
      <c r="G678" s="116"/>
      <c r="I678" s="116"/>
      <c r="J678" s="116"/>
      <c r="K678" s="121"/>
    </row>
    <row r="679" spans="2:11">
      <c r="B679" s="116"/>
      <c r="D679" s="116"/>
      <c r="E679" s="121"/>
      <c r="G679" s="116"/>
      <c r="I679" s="116"/>
      <c r="J679" s="116"/>
      <c r="K679" s="121"/>
    </row>
    <row r="680" spans="2:11">
      <c r="B680" s="116"/>
      <c r="D680" s="116"/>
      <c r="E680" s="121"/>
      <c r="G680" s="116"/>
      <c r="I680" s="116"/>
      <c r="J680" s="116"/>
      <c r="K680" s="121"/>
    </row>
    <row r="681" spans="2:11">
      <c r="B681" s="116"/>
      <c r="D681" s="116"/>
      <c r="E681" s="121"/>
      <c r="G681" s="116"/>
      <c r="I681" s="116"/>
      <c r="J681" s="116"/>
      <c r="K681" s="121"/>
    </row>
    <row r="682" spans="2:11">
      <c r="B682" s="116"/>
      <c r="D682" s="116"/>
      <c r="E682" s="121"/>
      <c r="G682" s="116"/>
      <c r="I682" s="116"/>
      <c r="J682" s="116"/>
      <c r="K682" s="121"/>
    </row>
    <row r="683" spans="2:11">
      <c r="B683" s="116"/>
      <c r="D683" s="116"/>
      <c r="E683" s="121"/>
      <c r="G683" s="116"/>
      <c r="I683" s="116"/>
      <c r="J683" s="116"/>
      <c r="K683" s="121"/>
    </row>
    <row r="684" spans="2:11">
      <c r="B684" s="116"/>
      <c r="D684" s="116"/>
      <c r="E684" s="121"/>
      <c r="G684" s="116"/>
      <c r="I684" s="116"/>
      <c r="J684" s="116"/>
      <c r="K684" s="121"/>
    </row>
    <row r="685" spans="2:11">
      <c r="B685" s="116"/>
      <c r="D685" s="116"/>
      <c r="E685" s="121"/>
      <c r="G685" s="116"/>
      <c r="I685" s="116"/>
      <c r="J685" s="116"/>
      <c r="K685" s="121"/>
    </row>
    <row r="686" spans="2:11">
      <c r="B686" s="116"/>
      <c r="D686" s="116"/>
      <c r="E686" s="121"/>
      <c r="G686" s="116"/>
      <c r="I686" s="116"/>
      <c r="J686" s="116"/>
      <c r="K686" s="121"/>
    </row>
    <row r="687" spans="2:11">
      <c r="B687" s="116"/>
      <c r="D687" s="116"/>
      <c r="E687" s="121"/>
      <c r="G687" s="116"/>
      <c r="I687" s="116"/>
      <c r="J687" s="116"/>
      <c r="K687" s="121"/>
    </row>
    <row r="688" spans="2:11">
      <c r="B688" s="116"/>
      <c r="D688" s="116"/>
      <c r="E688" s="121"/>
      <c r="G688" s="116"/>
      <c r="I688" s="116"/>
      <c r="J688" s="116"/>
      <c r="K688" s="121"/>
    </row>
    <row r="689" spans="2:11">
      <c r="B689" s="116"/>
      <c r="D689" s="116"/>
      <c r="E689" s="121"/>
      <c r="G689" s="116"/>
      <c r="I689" s="116"/>
      <c r="J689" s="116"/>
      <c r="K689" s="121"/>
    </row>
    <row r="690" spans="2:11">
      <c r="B690" s="116"/>
      <c r="D690" s="116"/>
      <c r="E690" s="121"/>
      <c r="G690" s="116"/>
      <c r="I690" s="116"/>
      <c r="J690" s="116"/>
      <c r="K690" s="121"/>
    </row>
    <row r="691" spans="2:11">
      <c r="B691" s="116"/>
      <c r="D691" s="116"/>
      <c r="E691" s="121"/>
      <c r="G691" s="116"/>
      <c r="I691" s="116"/>
      <c r="J691" s="116"/>
      <c r="K691" s="121"/>
    </row>
    <row r="692" spans="2:11">
      <c r="B692" s="116"/>
      <c r="D692" s="116"/>
      <c r="E692" s="121"/>
      <c r="G692" s="116"/>
      <c r="I692" s="116"/>
      <c r="J692" s="116"/>
      <c r="K692" s="121"/>
    </row>
    <row r="693" spans="2:11">
      <c r="B693" s="116"/>
      <c r="D693" s="116"/>
      <c r="E693" s="121"/>
      <c r="G693" s="116"/>
      <c r="I693" s="116"/>
      <c r="J693" s="116"/>
      <c r="K693" s="121"/>
    </row>
    <row r="694" spans="2:11">
      <c r="B694" s="116"/>
      <c r="D694" s="116"/>
      <c r="E694" s="121"/>
      <c r="G694" s="116"/>
      <c r="I694" s="116"/>
      <c r="J694" s="116"/>
      <c r="K694" s="121"/>
    </row>
    <row r="695" spans="2:11">
      <c r="B695" s="116"/>
      <c r="D695" s="116"/>
      <c r="E695" s="121"/>
      <c r="G695" s="116"/>
      <c r="I695" s="116"/>
      <c r="J695" s="116"/>
      <c r="K695" s="121"/>
    </row>
    <row r="696" spans="2:11">
      <c r="B696" s="116"/>
      <c r="D696" s="116"/>
      <c r="E696" s="121"/>
      <c r="G696" s="116"/>
      <c r="I696" s="116"/>
      <c r="J696" s="116"/>
      <c r="K696" s="121"/>
    </row>
    <row r="697" spans="2:11">
      <c r="B697" s="116"/>
      <c r="D697" s="116"/>
      <c r="E697" s="121"/>
      <c r="G697" s="116"/>
      <c r="I697" s="116"/>
      <c r="J697" s="116"/>
      <c r="K697" s="121"/>
    </row>
    <row r="698" spans="2:11">
      <c r="B698" s="116"/>
      <c r="D698" s="116"/>
      <c r="E698" s="121"/>
      <c r="G698" s="116"/>
      <c r="I698" s="116"/>
      <c r="J698" s="116"/>
      <c r="K698" s="121"/>
    </row>
    <row r="699" spans="2:11">
      <c r="B699" s="116"/>
      <c r="D699" s="116"/>
      <c r="E699" s="121"/>
      <c r="G699" s="116"/>
      <c r="I699" s="116"/>
      <c r="J699" s="116"/>
      <c r="K699" s="121"/>
    </row>
    <row r="700" spans="2:11">
      <c r="B700" s="116"/>
      <c r="D700" s="116"/>
      <c r="E700" s="121"/>
      <c r="G700" s="116"/>
      <c r="I700" s="116"/>
      <c r="J700" s="116"/>
      <c r="K700" s="121"/>
    </row>
    <row r="701" spans="2:11">
      <c r="B701" s="116"/>
      <c r="D701" s="116"/>
      <c r="E701" s="121"/>
      <c r="G701" s="116"/>
      <c r="I701" s="116"/>
      <c r="J701" s="116"/>
      <c r="K701" s="121"/>
    </row>
    <row r="702" spans="2:11">
      <c r="B702" s="116"/>
      <c r="D702" s="116"/>
      <c r="E702" s="121"/>
      <c r="G702" s="116"/>
      <c r="I702" s="116"/>
      <c r="J702" s="116"/>
      <c r="K702" s="121"/>
    </row>
    <row r="703" spans="2:11">
      <c r="B703" s="116"/>
      <c r="D703" s="116"/>
      <c r="E703" s="121"/>
      <c r="G703" s="116"/>
      <c r="I703" s="116"/>
      <c r="J703" s="116"/>
      <c r="K703" s="121"/>
    </row>
    <row r="704" spans="2:11">
      <c r="B704" s="116"/>
      <c r="D704" s="116"/>
      <c r="E704" s="121"/>
      <c r="G704" s="116"/>
      <c r="I704" s="116"/>
      <c r="J704" s="116"/>
      <c r="K704" s="121"/>
    </row>
    <row r="705" spans="2:11">
      <c r="B705" s="116"/>
      <c r="D705" s="116"/>
      <c r="E705" s="121"/>
      <c r="G705" s="116"/>
      <c r="I705" s="116"/>
      <c r="J705" s="116"/>
      <c r="K705" s="121"/>
    </row>
    <row r="706" spans="2:11">
      <c r="B706" s="116"/>
      <c r="D706" s="116"/>
      <c r="E706" s="121"/>
      <c r="G706" s="116"/>
      <c r="I706" s="116"/>
      <c r="J706" s="116"/>
      <c r="K706" s="121"/>
    </row>
    <row r="707" spans="2:11">
      <c r="B707" s="116"/>
      <c r="D707" s="116"/>
      <c r="E707" s="121"/>
      <c r="G707" s="116"/>
      <c r="I707" s="116"/>
      <c r="J707" s="116"/>
      <c r="K707" s="121"/>
    </row>
    <row r="708" spans="2:11">
      <c r="B708" s="116"/>
      <c r="D708" s="116"/>
      <c r="E708" s="121"/>
      <c r="G708" s="116"/>
      <c r="I708" s="116"/>
      <c r="J708" s="116"/>
      <c r="K708" s="121"/>
    </row>
    <row r="709" spans="2:11">
      <c r="B709" s="116"/>
      <c r="D709" s="116"/>
      <c r="E709" s="121"/>
      <c r="G709" s="116"/>
      <c r="I709" s="116"/>
      <c r="J709" s="116"/>
      <c r="K709" s="121"/>
    </row>
    <row r="710" spans="2:11">
      <c r="B710" s="116"/>
      <c r="D710" s="116"/>
      <c r="E710" s="121"/>
      <c r="G710" s="116"/>
      <c r="I710" s="116"/>
      <c r="J710" s="116"/>
      <c r="K710" s="121"/>
    </row>
    <row r="711" spans="2:11">
      <c r="B711" s="116"/>
      <c r="D711" s="116"/>
      <c r="E711" s="121"/>
      <c r="G711" s="116"/>
      <c r="I711" s="116"/>
      <c r="J711" s="116"/>
      <c r="K711" s="121"/>
    </row>
    <row r="712" spans="2:11">
      <c r="B712" s="116"/>
      <c r="D712" s="116"/>
      <c r="E712" s="121"/>
      <c r="G712" s="116"/>
      <c r="I712" s="116"/>
      <c r="J712" s="116"/>
      <c r="K712" s="121"/>
    </row>
    <row r="713" spans="2:11">
      <c r="B713" s="116"/>
      <c r="D713" s="116"/>
      <c r="E713" s="121"/>
      <c r="G713" s="116"/>
      <c r="I713" s="116"/>
      <c r="J713" s="116"/>
      <c r="K713" s="121"/>
    </row>
    <row r="714" spans="2:11">
      <c r="B714" s="116"/>
      <c r="D714" s="116"/>
      <c r="E714" s="121"/>
      <c r="G714" s="116"/>
      <c r="I714" s="116"/>
      <c r="J714" s="116"/>
      <c r="K714" s="121"/>
    </row>
    <row r="715" spans="2:11">
      <c r="B715" s="116"/>
      <c r="D715" s="116"/>
      <c r="E715" s="121"/>
      <c r="G715" s="116"/>
      <c r="I715" s="116"/>
      <c r="J715" s="116"/>
      <c r="K715" s="121"/>
    </row>
    <row r="716" spans="2:11">
      <c r="B716" s="116"/>
      <c r="D716" s="116"/>
      <c r="E716" s="121"/>
      <c r="G716" s="116"/>
      <c r="I716" s="116"/>
      <c r="J716" s="116"/>
      <c r="K716" s="121"/>
    </row>
    <row r="717" spans="2:11">
      <c r="B717" s="116"/>
      <c r="D717" s="116"/>
      <c r="E717" s="121"/>
      <c r="G717" s="116"/>
      <c r="I717" s="116"/>
      <c r="J717" s="116"/>
      <c r="K717" s="121"/>
    </row>
    <row r="718" spans="2:11">
      <c r="B718" s="116"/>
      <c r="D718" s="116"/>
      <c r="E718" s="121"/>
      <c r="G718" s="116"/>
      <c r="I718" s="116"/>
      <c r="J718" s="116"/>
      <c r="K718" s="121"/>
    </row>
    <row r="719" spans="2:11">
      <c r="B719" s="116"/>
      <c r="D719" s="116"/>
      <c r="E719" s="121"/>
      <c r="G719" s="116"/>
      <c r="I719" s="116"/>
      <c r="J719" s="116"/>
      <c r="K719" s="121"/>
    </row>
    <row r="720" spans="2:11">
      <c r="B720" s="116"/>
      <c r="D720" s="116"/>
      <c r="E720" s="121"/>
      <c r="G720" s="116"/>
      <c r="I720" s="116"/>
      <c r="J720" s="116"/>
      <c r="K720" s="121"/>
    </row>
    <row r="721" spans="2:11">
      <c r="B721" s="116"/>
      <c r="D721" s="116"/>
      <c r="E721" s="121"/>
      <c r="G721" s="116"/>
      <c r="I721" s="116"/>
      <c r="J721" s="116"/>
      <c r="K721" s="121"/>
    </row>
    <row r="722" spans="2:11">
      <c r="B722" s="116"/>
      <c r="D722" s="116"/>
      <c r="E722" s="121"/>
      <c r="G722" s="116"/>
      <c r="I722" s="116"/>
      <c r="J722" s="116"/>
      <c r="K722" s="121"/>
    </row>
    <row r="723" spans="2:11">
      <c r="B723" s="116"/>
      <c r="D723" s="116"/>
      <c r="E723" s="121"/>
      <c r="G723" s="116"/>
      <c r="I723" s="116"/>
      <c r="J723" s="116"/>
      <c r="K723" s="121"/>
    </row>
    <row r="724" spans="2:11">
      <c r="B724" s="116"/>
      <c r="D724" s="116"/>
      <c r="E724" s="121"/>
      <c r="G724" s="116"/>
      <c r="I724" s="116"/>
      <c r="J724" s="116"/>
      <c r="K724" s="121"/>
    </row>
    <row r="725" spans="2:11">
      <c r="B725" s="116"/>
      <c r="D725" s="116"/>
      <c r="E725" s="121"/>
      <c r="G725" s="116"/>
      <c r="I725" s="116"/>
      <c r="J725" s="116"/>
      <c r="K725" s="121"/>
    </row>
    <row r="726" spans="2:11">
      <c r="B726" s="116"/>
      <c r="D726" s="116"/>
      <c r="E726" s="121"/>
      <c r="G726" s="116"/>
      <c r="I726" s="116"/>
      <c r="J726" s="116"/>
      <c r="K726" s="121"/>
    </row>
    <row r="727" spans="2:11">
      <c r="B727" s="116"/>
      <c r="D727" s="116"/>
      <c r="E727" s="121"/>
      <c r="G727" s="116"/>
      <c r="I727" s="116"/>
      <c r="J727" s="116"/>
      <c r="K727" s="121"/>
    </row>
    <row r="728" spans="2:11">
      <c r="B728" s="116"/>
      <c r="D728" s="116"/>
      <c r="E728" s="121"/>
      <c r="G728" s="116"/>
      <c r="I728" s="116"/>
      <c r="J728" s="116"/>
      <c r="K728" s="121"/>
    </row>
    <row r="729" spans="2:11">
      <c r="B729" s="116"/>
      <c r="D729" s="116"/>
      <c r="E729" s="121"/>
      <c r="G729" s="116"/>
      <c r="I729" s="116"/>
      <c r="J729" s="116"/>
      <c r="K729" s="121"/>
    </row>
    <row r="730" spans="2:11">
      <c r="B730" s="116"/>
      <c r="D730" s="116"/>
      <c r="E730" s="121"/>
      <c r="G730" s="116"/>
      <c r="I730" s="116"/>
      <c r="J730" s="116"/>
      <c r="K730" s="121"/>
    </row>
    <row r="731" spans="2:11">
      <c r="B731" s="116"/>
      <c r="D731" s="116"/>
      <c r="E731" s="121"/>
      <c r="G731" s="116"/>
      <c r="I731" s="116"/>
      <c r="J731" s="116"/>
      <c r="K731" s="121"/>
    </row>
    <row r="732" spans="2:11">
      <c r="B732" s="116"/>
      <c r="D732" s="116"/>
      <c r="E732" s="121"/>
      <c r="G732" s="116"/>
      <c r="I732" s="116"/>
      <c r="J732" s="116"/>
      <c r="K732" s="121"/>
    </row>
    <row r="733" spans="2:11">
      <c r="B733" s="116"/>
      <c r="D733" s="116"/>
      <c r="E733" s="121"/>
      <c r="G733" s="116"/>
      <c r="I733" s="116"/>
      <c r="J733" s="116"/>
      <c r="K733" s="121"/>
    </row>
    <row r="734" spans="2:11">
      <c r="B734" s="116"/>
      <c r="D734" s="116"/>
      <c r="E734" s="121"/>
      <c r="G734" s="116"/>
      <c r="I734" s="116"/>
      <c r="J734" s="116"/>
      <c r="K734" s="121"/>
    </row>
    <row r="735" spans="2:11">
      <c r="B735" s="116"/>
      <c r="D735" s="116"/>
      <c r="E735" s="121"/>
      <c r="G735" s="116"/>
      <c r="I735" s="116"/>
      <c r="J735" s="116"/>
      <c r="K735" s="121"/>
    </row>
    <row r="736" spans="2:11">
      <c r="B736" s="116"/>
      <c r="D736" s="116"/>
      <c r="E736" s="121"/>
      <c r="G736" s="116"/>
      <c r="I736" s="116"/>
      <c r="J736" s="116"/>
      <c r="K736" s="121"/>
    </row>
    <row r="737" spans="2:11">
      <c r="B737" s="116"/>
      <c r="D737" s="116"/>
      <c r="E737" s="121"/>
      <c r="G737" s="116"/>
      <c r="I737" s="116"/>
      <c r="J737" s="116"/>
      <c r="K737" s="121"/>
    </row>
    <row r="738" spans="2:11">
      <c r="B738" s="116"/>
      <c r="D738" s="116"/>
      <c r="E738" s="121"/>
      <c r="G738" s="116"/>
      <c r="I738" s="116"/>
      <c r="J738" s="116"/>
      <c r="K738" s="121"/>
    </row>
    <row r="739" spans="2:11">
      <c r="B739" s="116"/>
      <c r="D739" s="116"/>
      <c r="E739" s="121"/>
      <c r="G739" s="116"/>
      <c r="I739" s="116"/>
      <c r="J739" s="116"/>
      <c r="K739" s="121"/>
    </row>
    <row r="740" spans="2:11">
      <c r="B740" s="116"/>
      <c r="D740" s="116"/>
      <c r="E740" s="121"/>
      <c r="G740" s="116"/>
      <c r="I740" s="116"/>
      <c r="J740" s="116"/>
      <c r="K740" s="121"/>
    </row>
    <row r="741" spans="2:11">
      <c r="B741" s="116"/>
      <c r="D741" s="116"/>
      <c r="E741" s="121"/>
      <c r="G741" s="116"/>
      <c r="I741" s="116"/>
      <c r="J741" s="116"/>
      <c r="K741" s="121"/>
    </row>
    <row r="742" spans="2:11">
      <c r="B742" s="116"/>
      <c r="D742" s="116"/>
      <c r="E742" s="121"/>
      <c r="G742" s="116"/>
      <c r="I742" s="116"/>
      <c r="J742" s="116"/>
      <c r="K742" s="121"/>
    </row>
    <row r="743" spans="2:11">
      <c r="B743" s="116"/>
      <c r="D743" s="116"/>
      <c r="E743" s="121"/>
      <c r="G743" s="116"/>
      <c r="I743" s="116"/>
      <c r="J743" s="116"/>
      <c r="K743" s="121"/>
    </row>
    <row r="744" spans="2:11">
      <c r="B744" s="116"/>
      <c r="D744" s="116"/>
      <c r="E744" s="121"/>
      <c r="G744" s="116"/>
      <c r="I744" s="116"/>
      <c r="J744" s="116"/>
      <c r="K744" s="121"/>
    </row>
    <row r="745" spans="2:11">
      <c r="B745" s="116"/>
      <c r="D745" s="116"/>
      <c r="E745" s="121"/>
      <c r="G745" s="116"/>
      <c r="I745" s="116"/>
      <c r="J745" s="116"/>
      <c r="K745" s="121"/>
    </row>
    <row r="746" spans="2:11">
      <c r="B746" s="116"/>
      <c r="D746" s="116"/>
      <c r="E746" s="121"/>
      <c r="G746" s="116"/>
      <c r="I746" s="116"/>
      <c r="J746" s="116"/>
      <c r="K746" s="121"/>
    </row>
    <row r="747" spans="2:11">
      <c r="B747" s="116"/>
      <c r="D747" s="116"/>
      <c r="E747" s="121"/>
      <c r="G747" s="116"/>
      <c r="I747" s="116"/>
      <c r="J747" s="116"/>
      <c r="K747" s="121"/>
    </row>
    <row r="748" spans="2:11">
      <c r="B748" s="116"/>
      <c r="D748" s="116"/>
      <c r="E748" s="121"/>
      <c r="G748" s="116"/>
      <c r="I748" s="116"/>
      <c r="J748" s="116"/>
      <c r="K748" s="121"/>
    </row>
    <row r="749" spans="2:11">
      <c r="B749" s="116"/>
      <c r="D749" s="116"/>
      <c r="E749" s="121"/>
      <c r="G749" s="116"/>
      <c r="I749" s="116"/>
      <c r="J749" s="116"/>
      <c r="K749" s="121"/>
    </row>
    <row r="750" spans="2:11">
      <c r="B750" s="116"/>
      <c r="D750" s="116"/>
      <c r="E750" s="121"/>
      <c r="G750" s="116"/>
      <c r="I750" s="116"/>
      <c r="J750" s="116"/>
      <c r="K750" s="121"/>
    </row>
    <row r="751" spans="2:11">
      <c r="B751" s="116"/>
      <c r="D751" s="116"/>
      <c r="E751" s="121"/>
      <c r="G751" s="116"/>
      <c r="I751" s="116"/>
      <c r="J751" s="116"/>
      <c r="K751" s="121"/>
    </row>
    <row r="752" spans="2:11">
      <c r="B752" s="116"/>
      <c r="D752" s="116"/>
      <c r="E752" s="121"/>
      <c r="G752" s="116"/>
      <c r="I752" s="116"/>
      <c r="J752" s="116"/>
      <c r="K752" s="121"/>
    </row>
    <row r="753" spans="2:11">
      <c r="B753" s="116"/>
      <c r="D753" s="116"/>
      <c r="E753" s="121"/>
      <c r="G753" s="116"/>
      <c r="I753" s="116"/>
      <c r="J753" s="116"/>
      <c r="K753" s="121"/>
    </row>
    <row r="754" spans="2:11">
      <c r="B754" s="116"/>
      <c r="D754" s="116"/>
      <c r="E754" s="121"/>
      <c r="G754" s="116"/>
      <c r="I754" s="116"/>
      <c r="J754" s="116"/>
      <c r="K754" s="121"/>
    </row>
    <row r="755" spans="2:11">
      <c r="B755" s="116"/>
      <c r="D755" s="116"/>
      <c r="E755" s="121"/>
      <c r="G755" s="116"/>
      <c r="I755" s="116"/>
      <c r="J755" s="116"/>
      <c r="K755" s="121"/>
    </row>
    <row r="756" spans="2:11">
      <c r="B756" s="116"/>
      <c r="D756" s="116"/>
      <c r="E756" s="121"/>
      <c r="G756" s="116"/>
      <c r="I756" s="116"/>
      <c r="J756" s="116"/>
      <c r="K756" s="121"/>
    </row>
    <row r="757" spans="2:11">
      <c r="B757" s="116"/>
      <c r="D757" s="116"/>
      <c r="E757" s="121"/>
      <c r="G757" s="116"/>
      <c r="I757" s="116"/>
      <c r="J757" s="116"/>
      <c r="K757" s="121"/>
    </row>
    <row r="758" spans="2:11">
      <c r="B758" s="116"/>
      <c r="D758" s="116"/>
      <c r="E758" s="121"/>
      <c r="G758" s="116"/>
      <c r="I758" s="116"/>
      <c r="J758" s="116"/>
      <c r="K758" s="121"/>
    </row>
    <row r="759" spans="2:11">
      <c r="B759" s="116"/>
      <c r="D759" s="116"/>
      <c r="E759" s="121"/>
      <c r="G759" s="116"/>
      <c r="I759" s="116"/>
      <c r="J759" s="116"/>
      <c r="K759" s="121"/>
    </row>
    <row r="760" spans="2:11">
      <c r="B760" s="116"/>
      <c r="D760" s="116"/>
      <c r="E760" s="121"/>
      <c r="G760" s="116"/>
      <c r="I760" s="116"/>
      <c r="J760" s="116"/>
      <c r="K760" s="121"/>
    </row>
    <row r="761" spans="2:11">
      <c r="B761" s="116"/>
      <c r="D761" s="116"/>
      <c r="E761" s="121"/>
      <c r="G761" s="116"/>
      <c r="I761" s="116"/>
      <c r="J761" s="116"/>
      <c r="K761" s="121"/>
    </row>
    <row r="762" spans="2:11">
      <c r="B762" s="116"/>
      <c r="D762" s="116"/>
      <c r="E762" s="121"/>
      <c r="G762" s="116"/>
      <c r="I762" s="116"/>
      <c r="J762" s="116"/>
      <c r="K762" s="121"/>
    </row>
    <row r="763" spans="2:11">
      <c r="B763" s="116"/>
      <c r="D763" s="116"/>
      <c r="E763" s="121"/>
      <c r="G763" s="116"/>
      <c r="I763" s="116"/>
      <c r="J763" s="116"/>
      <c r="K763" s="121"/>
    </row>
    <row r="764" spans="2:11">
      <c r="B764" s="116"/>
      <c r="D764" s="116"/>
      <c r="E764" s="121"/>
      <c r="G764" s="116"/>
      <c r="I764" s="116"/>
      <c r="J764" s="116"/>
      <c r="K764" s="121"/>
    </row>
    <row r="765" spans="2:11">
      <c r="B765" s="116"/>
      <c r="D765" s="116"/>
      <c r="E765" s="121"/>
      <c r="G765" s="116"/>
      <c r="I765" s="116"/>
      <c r="J765" s="116"/>
      <c r="K765" s="121"/>
    </row>
    <row r="766" spans="2:11">
      <c r="B766" s="116"/>
      <c r="D766" s="116"/>
      <c r="E766" s="121"/>
      <c r="G766" s="116"/>
      <c r="I766" s="116"/>
      <c r="J766" s="116"/>
      <c r="K766" s="121"/>
    </row>
    <row r="767" spans="2:11">
      <c r="B767" s="116"/>
      <c r="D767" s="116"/>
      <c r="E767" s="121"/>
      <c r="G767" s="116"/>
      <c r="I767" s="116"/>
      <c r="J767" s="116"/>
      <c r="K767" s="121"/>
    </row>
    <row r="768" spans="2:11">
      <c r="B768" s="116"/>
      <c r="D768" s="116"/>
      <c r="E768" s="121"/>
      <c r="G768" s="116"/>
      <c r="I768" s="116"/>
      <c r="J768" s="116"/>
      <c r="K768" s="121"/>
    </row>
    <row r="769" spans="2:11">
      <c r="B769" s="116"/>
      <c r="D769" s="116"/>
      <c r="E769" s="121"/>
      <c r="G769" s="116"/>
      <c r="I769" s="116"/>
      <c r="J769" s="116"/>
      <c r="K769" s="121"/>
    </row>
    <row r="770" spans="2:11">
      <c r="B770" s="116"/>
      <c r="D770" s="116"/>
      <c r="E770" s="121"/>
      <c r="G770" s="116"/>
      <c r="I770" s="116"/>
      <c r="J770" s="116"/>
      <c r="K770" s="121"/>
    </row>
    <row r="771" spans="2:11">
      <c r="B771" s="116"/>
      <c r="D771" s="116"/>
      <c r="E771" s="121"/>
      <c r="G771" s="116"/>
      <c r="I771" s="116"/>
      <c r="J771" s="116"/>
      <c r="K771" s="121"/>
    </row>
    <row r="772" spans="2:11">
      <c r="B772" s="116"/>
      <c r="D772" s="116"/>
      <c r="E772" s="121"/>
      <c r="G772" s="116"/>
      <c r="I772" s="116"/>
      <c r="J772" s="116"/>
      <c r="K772" s="121"/>
    </row>
    <row r="773" spans="2:11">
      <c r="B773" s="116"/>
      <c r="D773" s="116"/>
      <c r="E773" s="121"/>
      <c r="G773" s="116"/>
      <c r="I773" s="116"/>
      <c r="J773" s="116"/>
      <c r="K773" s="121"/>
    </row>
    <row r="774" spans="2:11">
      <c r="B774" s="116"/>
      <c r="D774" s="116"/>
      <c r="E774" s="121"/>
      <c r="G774" s="116"/>
      <c r="I774" s="116"/>
      <c r="J774" s="116"/>
      <c r="K774" s="121"/>
    </row>
    <row r="775" spans="2:11">
      <c r="B775" s="116"/>
      <c r="D775" s="116"/>
      <c r="E775" s="121"/>
      <c r="G775" s="116"/>
      <c r="I775" s="116"/>
      <c r="J775" s="116"/>
      <c r="K775" s="121"/>
    </row>
    <row r="776" spans="2:11">
      <c r="B776" s="116"/>
      <c r="D776" s="116"/>
      <c r="E776" s="121"/>
      <c r="G776" s="116"/>
      <c r="I776" s="116"/>
      <c r="J776" s="116"/>
      <c r="K776" s="121"/>
    </row>
    <row r="777" spans="2:11">
      <c r="B777" s="116"/>
      <c r="D777" s="116"/>
      <c r="E777" s="121"/>
      <c r="G777" s="116"/>
      <c r="I777" s="116"/>
      <c r="J777" s="116"/>
      <c r="K777" s="121"/>
    </row>
    <row r="778" spans="2:11">
      <c r="B778" s="116"/>
      <c r="D778" s="116"/>
      <c r="E778" s="121"/>
      <c r="G778" s="116"/>
      <c r="I778" s="116"/>
      <c r="J778" s="116"/>
      <c r="K778" s="121"/>
    </row>
    <row r="779" spans="2:11">
      <c r="B779" s="116"/>
      <c r="D779" s="116"/>
      <c r="E779" s="121"/>
      <c r="G779" s="116"/>
      <c r="I779" s="116"/>
      <c r="J779" s="116"/>
      <c r="K779" s="121"/>
    </row>
    <row r="780" spans="2:11">
      <c r="B780" s="116"/>
      <c r="D780" s="116"/>
      <c r="E780" s="121"/>
      <c r="G780" s="116"/>
      <c r="I780" s="116"/>
      <c r="J780" s="116"/>
      <c r="K780" s="121"/>
    </row>
    <row r="781" spans="2:11">
      <c r="B781" s="116"/>
      <c r="D781" s="116"/>
      <c r="E781" s="121"/>
      <c r="G781" s="116"/>
      <c r="I781" s="116"/>
      <c r="J781" s="116"/>
      <c r="K781" s="121"/>
    </row>
    <row r="782" spans="2:11">
      <c r="B782" s="116"/>
      <c r="D782" s="116"/>
      <c r="E782" s="121"/>
      <c r="G782" s="116"/>
      <c r="I782" s="116"/>
      <c r="J782" s="116"/>
      <c r="K782" s="121"/>
    </row>
    <row r="783" spans="2:11">
      <c r="B783" s="116"/>
      <c r="D783" s="116"/>
      <c r="E783" s="121"/>
      <c r="G783" s="116"/>
      <c r="I783" s="116"/>
      <c r="J783" s="116"/>
      <c r="K783" s="121"/>
    </row>
    <row r="784" spans="2:11">
      <c r="B784" s="116"/>
      <c r="D784" s="116"/>
      <c r="E784" s="121"/>
      <c r="G784" s="116"/>
      <c r="I784" s="116"/>
      <c r="J784" s="116"/>
      <c r="K784" s="121"/>
    </row>
    <row r="785" spans="2:11">
      <c r="B785" s="116"/>
      <c r="D785" s="116"/>
      <c r="E785" s="121"/>
      <c r="G785" s="116"/>
      <c r="I785" s="116"/>
      <c r="J785" s="116"/>
      <c r="K785" s="121"/>
    </row>
    <row r="786" spans="2:11">
      <c r="B786" s="116"/>
      <c r="D786" s="116"/>
      <c r="E786" s="121"/>
      <c r="G786" s="116"/>
      <c r="I786" s="116"/>
      <c r="J786" s="116"/>
      <c r="K786" s="121"/>
    </row>
    <row r="787" spans="2:11">
      <c r="B787" s="116"/>
      <c r="D787" s="116"/>
      <c r="E787" s="121"/>
      <c r="G787" s="116"/>
      <c r="I787" s="116"/>
      <c r="J787" s="116"/>
      <c r="K787" s="121"/>
    </row>
    <row r="788" spans="2:11">
      <c r="B788" s="116"/>
      <c r="D788" s="116"/>
      <c r="E788" s="121"/>
      <c r="G788" s="116"/>
      <c r="I788" s="116"/>
      <c r="J788" s="116"/>
      <c r="K788" s="121"/>
    </row>
    <row r="789" spans="2:11">
      <c r="B789" s="116"/>
      <c r="D789" s="116"/>
      <c r="E789" s="121"/>
      <c r="G789" s="116"/>
      <c r="I789" s="116"/>
      <c r="J789" s="116"/>
      <c r="K789" s="121"/>
    </row>
    <row r="790" spans="2:11">
      <c r="B790" s="116"/>
      <c r="D790" s="116"/>
      <c r="E790" s="121"/>
      <c r="G790" s="116"/>
      <c r="I790" s="116"/>
      <c r="J790" s="116"/>
      <c r="K790" s="121"/>
    </row>
    <row r="791" spans="2:11">
      <c r="B791" s="116"/>
      <c r="D791" s="116"/>
      <c r="E791" s="121"/>
      <c r="G791" s="116"/>
      <c r="I791" s="116"/>
      <c r="J791" s="116"/>
      <c r="K791" s="121"/>
    </row>
    <row r="792" spans="2:11">
      <c r="B792" s="116"/>
      <c r="D792" s="116"/>
      <c r="E792" s="121"/>
      <c r="G792" s="116"/>
      <c r="I792" s="116"/>
      <c r="J792" s="116"/>
      <c r="K792" s="121"/>
    </row>
    <row r="793" spans="2:11">
      <c r="B793" s="116"/>
      <c r="D793" s="116"/>
      <c r="E793" s="121"/>
      <c r="G793" s="116"/>
      <c r="I793" s="116"/>
      <c r="J793" s="116"/>
      <c r="K793" s="121"/>
    </row>
    <row r="794" spans="2:11">
      <c r="B794" s="116"/>
      <c r="D794" s="116"/>
      <c r="E794" s="121"/>
      <c r="G794" s="116"/>
      <c r="I794" s="116"/>
      <c r="J794" s="116"/>
      <c r="K794" s="121"/>
    </row>
    <row r="795" spans="2:11">
      <c r="B795" s="116"/>
      <c r="D795" s="116"/>
      <c r="E795" s="121"/>
      <c r="G795" s="116"/>
      <c r="I795" s="116"/>
      <c r="J795" s="116"/>
      <c r="K795" s="121"/>
    </row>
    <row r="796" spans="2:11">
      <c r="B796" s="116"/>
      <c r="D796" s="116"/>
      <c r="E796" s="121"/>
      <c r="G796" s="116"/>
      <c r="I796" s="116"/>
      <c r="J796" s="116"/>
      <c r="K796" s="121"/>
    </row>
    <row r="797" spans="2:11">
      <c r="B797" s="116"/>
      <c r="D797" s="116"/>
      <c r="E797" s="121"/>
      <c r="G797" s="116"/>
      <c r="I797" s="116"/>
      <c r="J797" s="116"/>
      <c r="K797" s="121"/>
    </row>
    <row r="798" spans="2:11">
      <c r="B798" s="116"/>
      <c r="D798" s="116"/>
      <c r="E798" s="121"/>
      <c r="G798" s="116"/>
      <c r="I798" s="116"/>
      <c r="J798" s="116"/>
      <c r="K798" s="121"/>
    </row>
    <row r="799" spans="2:11">
      <c r="B799" s="116"/>
      <c r="D799" s="116"/>
      <c r="E799" s="121"/>
      <c r="G799" s="116"/>
      <c r="I799" s="116"/>
      <c r="J799" s="116"/>
      <c r="K799" s="121"/>
    </row>
    <row r="800" spans="2:11">
      <c r="B800" s="116"/>
      <c r="D800" s="116"/>
      <c r="E800" s="121"/>
      <c r="G800" s="116"/>
      <c r="I800" s="116"/>
      <c r="J800" s="116"/>
      <c r="K800" s="121"/>
    </row>
    <row r="801" spans="2:11">
      <c r="B801" s="116"/>
      <c r="D801" s="116"/>
      <c r="E801" s="121"/>
      <c r="G801" s="116"/>
      <c r="I801" s="116"/>
      <c r="J801" s="116"/>
      <c r="K801" s="121"/>
    </row>
    <row r="802" spans="2:11">
      <c r="B802" s="116"/>
      <c r="D802" s="116"/>
      <c r="E802" s="121"/>
      <c r="G802" s="116"/>
      <c r="I802" s="116"/>
      <c r="J802" s="116"/>
      <c r="K802" s="121"/>
    </row>
    <row r="803" spans="2:11">
      <c r="B803" s="116"/>
      <c r="D803" s="116"/>
      <c r="E803" s="121"/>
      <c r="G803" s="116"/>
      <c r="I803" s="116"/>
      <c r="J803" s="116"/>
      <c r="K803" s="121"/>
    </row>
    <row r="804" spans="2:11">
      <c r="B804" s="116"/>
      <c r="D804" s="116"/>
      <c r="E804" s="121"/>
      <c r="G804" s="116"/>
      <c r="I804" s="116"/>
      <c r="J804" s="116"/>
      <c r="K804" s="121"/>
    </row>
    <row r="805" spans="2:11">
      <c r="B805" s="116"/>
      <c r="D805" s="116"/>
      <c r="E805" s="121"/>
      <c r="G805" s="116"/>
      <c r="I805" s="116"/>
      <c r="J805" s="116"/>
      <c r="K805" s="121"/>
    </row>
    <row r="806" spans="2:11">
      <c r="B806" s="116"/>
      <c r="D806" s="116"/>
      <c r="E806" s="121"/>
      <c r="G806" s="116"/>
      <c r="I806" s="116"/>
      <c r="J806" s="116"/>
      <c r="K806" s="121"/>
    </row>
    <row r="807" spans="2:11">
      <c r="B807" s="116"/>
      <c r="D807" s="116"/>
      <c r="E807" s="121"/>
      <c r="G807" s="116"/>
      <c r="I807" s="116"/>
      <c r="J807" s="116"/>
      <c r="K807" s="121"/>
    </row>
    <row r="808" spans="2:11">
      <c r="B808" s="116"/>
      <c r="D808" s="116"/>
      <c r="E808" s="121"/>
      <c r="G808" s="116"/>
      <c r="I808" s="116"/>
      <c r="J808" s="116"/>
      <c r="K808" s="121"/>
    </row>
    <row r="809" spans="2:11">
      <c r="B809" s="116"/>
      <c r="D809" s="116"/>
      <c r="E809" s="121"/>
      <c r="G809" s="116"/>
      <c r="I809" s="116"/>
      <c r="J809" s="116"/>
      <c r="K809" s="121"/>
    </row>
    <row r="810" spans="2:11">
      <c r="B810" s="116"/>
      <c r="D810" s="116"/>
      <c r="E810" s="121"/>
      <c r="G810" s="116"/>
      <c r="I810" s="116"/>
      <c r="J810" s="116"/>
      <c r="K810" s="121"/>
    </row>
    <row r="811" spans="2:11">
      <c r="B811" s="116"/>
      <c r="D811" s="116"/>
      <c r="E811" s="121"/>
      <c r="G811" s="116"/>
      <c r="I811" s="116"/>
      <c r="J811" s="116"/>
      <c r="K811" s="121"/>
    </row>
    <row r="812" spans="2:11">
      <c r="B812" s="116"/>
      <c r="D812" s="116"/>
      <c r="E812" s="121"/>
      <c r="G812" s="116"/>
      <c r="I812" s="116"/>
      <c r="J812" s="116"/>
      <c r="K812" s="121"/>
    </row>
    <row r="813" spans="2:11">
      <c r="B813" s="116"/>
      <c r="D813" s="116"/>
      <c r="E813" s="121"/>
      <c r="G813" s="116"/>
      <c r="I813" s="116"/>
      <c r="J813" s="116"/>
      <c r="K813" s="121"/>
    </row>
    <row r="814" spans="2:11">
      <c r="B814" s="116"/>
      <c r="D814" s="116"/>
      <c r="E814" s="121"/>
      <c r="G814" s="116"/>
      <c r="I814" s="116"/>
      <c r="J814" s="116"/>
      <c r="K814" s="121"/>
    </row>
    <row r="815" spans="2:11">
      <c r="B815" s="116"/>
      <c r="D815" s="116"/>
      <c r="E815" s="121"/>
      <c r="G815" s="116"/>
      <c r="I815" s="116"/>
      <c r="J815" s="116"/>
      <c r="K815" s="121"/>
    </row>
    <row r="816" spans="2:11">
      <c r="B816" s="116"/>
      <c r="D816" s="116"/>
      <c r="E816" s="121"/>
      <c r="G816" s="116"/>
      <c r="I816" s="116"/>
      <c r="J816" s="116"/>
      <c r="K816" s="121"/>
    </row>
    <row r="817" spans="2:11">
      <c r="B817" s="116"/>
      <c r="D817" s="116"/>
      <c r="E817" s="121"/>
      <c r="G817" s="116"/>
      <c r="I817" s="116"/>
      <c r="J817" s="116"/>
      <c r="K817" s="121"/>
    </row>
    <row r="818" spans="2:11">
      <c r="B818" s="116"/>
      <c r="D818" s="116"/>
      <c r="E818" s="121"/>
      <c r="G818" s="116"/>
      <c r="I818" s="116"/>
      <c r="J818" s="116"/>
      <c r="K818" s="121"/>
    </row>
    <row r="819" spans="2:11">
      <c r="B819" s="116"/>
      <c r="D819" s="116"/>
      <c r="E819" s="121"/>
      <c r="G819" s="116"/>
      <c r="I819" s="116"/>
      <c r="J819" s="116"/>
      <c r="K819" s="121"/>
    </row>
    <row r="820" spans="2:11">
      <c r="B820" s="116"/>
      <c r="D820" s="116"/>
      <c r="E820" s="121"/>
      <c r="G820" s="116"/>
      <c r="I820" s="116"/>
      <c r="J820" s="116"/>
      <c r="K820" s="121"/>
    </row>
    <row r="821" spans="2:11">
      <c r="B821" s="116"/>
      <c r="D821" s="116"/>
      <c r="E821" s="121"/>
      <c r="G821" s="116"/>
      <c r="I821" s="116"/>
      <c r="J821" s="116"/>
      <c r="K821" s="121"/>
    </row>
    <row r="822" spans="2:11">
      <c r="B822" s="116"/>
      <c r="D822" s="116"/>
      <c r="E822" s="121"/>
      <c r="G822" s="116"/>
      <c r="I822" s="116"/>
      <c r="J822" s="116"/>
      <c r="K822" s="121"/>
    </row>
    <row r="823" spans="2:11">
      <c r="B823" s="116"/>
      <c r="D823" s="116"/>
      <c r="E823" s="121"/>
      <c r="G823" s="116"/>
      <c r="I823" s="116"/>
      <c r="J823" s="116"/>
      <c r="K823" s="121"/>
    </row>
    <row r="824" spans="2:11">
      <c r="B824" s="116"/>
      <c r="D824" s="116"/>
      <c r="E824" s="121"/>
      <c r="G824" s="116"/>
      <c r="I824" s="116"/>
      <c r="J824" s="116"/>
      <c r="K824" s="121"/>
    </row>
    <row r="825" spans="2:11">
      <c r="B825" s="116"/>
      <c r="D825" s="116"/>
      <c r="E825" s="121"/>
      <c r="G825" s="116"/>
      <c r="I825" s="116"/>
      <c r="J825" s="116"/>
      <c r="K825" s="121"/>
    </row>
    <row r="826" spans="2:11">
      <c r="B826" s="116"/>
      <c r="D826" s="116"/>
      <c r="E826" s="121"/>
      <c r="G826" s="116"/>
      <c r="I826" s="116"/>
      <c r="J826" s="116"/>
      <c r="K826" s="121"/>
    </row>
    <row r="827" spans="2:11">
      <c r="B827" s="116"/>
      <c r="D827" s="116"/>
      <c r="E827" s="121"/>
      <c r="G827" s="116"/>
      <c r="I827" s="116"/>
      <c r="J827" s="116"/>
      <c r="K827" s="121"/>
    </row>
    <row r="828" spans="2:11">
      <c r="B828" s="116"/>
      <c r="D828" s="116"/>
      <c r="E828" s="121"/>
      <c r="G828" s="116"/>
      <c r="I828" s="116"/>
      <c r="J828" s="116"/>
      <c r="K828" s="121"/>
    </row>
    <row r="829" spans="2:11">
      <c r="B829" s="116"/>
      <c r="D829" s="116"/>
      <c r="E829" s="121"/>
      <c r="G829" s="116"/>
      <c r="I829" s="116"/>
      <c r="J829" s="116"/>
      <c r="K829" s="121"/>
    </row>
    <row r="830" spans="2:11">
      <c r="B830" s="116"/>
      <c r="D830" s="116"/>
      <c r="E830" s="121"/>
      <c r="G830" s="116"/>
      <c r="I830" s="116"/>
      <c r="J830" s="116"/>
      <c r="K830" s="121"/>
    </row>
    <row r="831" spans="2:11">
      <c r="B831" s="116"/>
      <c r="D831" s="116"/>
      <c r="E831" s="121"/>
      <c r="G831" s="116"/>
      <c r="I831" s="116"/>
      <c r="J831" s="116"/>
      <c r="K831" s="121"/>
    </row>
    <row r="832" spans="2:11">
      <c r="B832" s="116"/>
      <c r="D832" s="116"/>
      <c r="E832" s="121"/>
      <c r="G832" s="116"/>
      <c r="I832" s="116"/>
      <c r="J832" s="116"/>
      <c r="K832" s="121"/>
    </row>
    <row r="833" spans="2:11">
      <c r="B833" s="116"/>
      <c r="D833" s="116"/>
      <c r="E833" s="121"/>
      <c r="G833" s="116"/>
      <c r="I833" s="116"/>
      <c r="J833" s="116"/>
      <c r="K833" s="121"/>
    </row>
    <row r="834" spans="2:11">
      <c r="B834" s="116"/>
      <c r="D834" s="116"/>
      <c r="E834" s="121"/>
      <c r="G834" s="116"/>
      <c r="I834" s="116"/>
      <c r="J834" s="116"/>
      <c r="K834" s="121"/>
    </row>
    <row r="835" spans="2:11">
      <c r="B835" s="116"/>
      <c r="D835" s="116"/>
      <c r="E835" s="121"/>
      <c r="G835" s="116"/>
      <c r="I835" s="116"/>
      <c r="J835" s="116"/>
      <c r="K835" s="121"/>
    </row>
    <row r="836" spans="2:11">
      <c r="B836" s="116"/>
      <c r="D836" s="116"/>
      <c r="E836" s="121"/>
      <c r="G836" s="116"/>
      <c r="I836" s="116"/>
      <c r="J836" s="116"/>
      <c r="K836" s="121"/>
    </row>
    <row r="837" spans="2:11">
      <c r="B837" s="116"/>
      <c r="D837" s="116"/>
      <c r="E837" s="121"/>
      <c r="G837" s="116"/>
      <c r="I837" s="116"/>
      <c r="J837" s="116"/>
      <c r="K837" s="121"/>
    </row>
    <row r="838" spans="2:11">
      <c r="B838" s="116"/>
      <c r="D838" s="116"/>
      <c r="E838" s="121"/>
      <c r="G838" s="116"/>
      <c r="I838" s="116"/>
      <c r="J838" s="116"/>
      <c r="K838" s="121"/>
    </row>
    <row r="839" spans="2:11">
      <c r="B839" s="116"/>
      <c r="D839" s="116"/>
      <c r="E839" s="121"/>
      <c r="G839" s="116"/>
      <c r="I839" s="116"/>
      <c r="J839" s="116"/>
      <c r="K839" s="121"/>
    </row>
    <row r="840" spans="2:11">
      <c r="B840" s="116"/>
      <c r="D840" s="116"/>
      <c r="E840" s="121"/>
      <c r="G840" s="116"/>
      <c r="I840" s="116"/>
      <c r="J840" s="116"/>
      <c r="K840" s="121"/>
    </row>
    <row r="841" spans="2:11">
      <c r="B841" s="116"/>
      <c r="D841" s="116"/>
      <c r="E841" s="121"/>
      <c r="G841" s="116"/>
      <c r="I841" s="116"/>
      <c r="J841" s="116"/>
      <c r="K841" s="121"/>
    </row>
    <row r="842" spans="2:11">
      <c r="B842" s="116"/>
      <c r="D842" s="116"/>
      <c r="E842" s="121"/>
      <c r="G842" s="116"/>
      <c r="I842" s="116"/>
      <c r="J842" s="116"/>
      <c r="K842" s="121"/>
    </row>
    <row r="843" spans="2:11">
      <c r="B843" s="116"/>
      <c r="D843" s="116"/>
      <c r="E843" s="121"/>
      <c r="G843" s="116"/>
      <c r="I843" s="116"/>
      <c r="J843" s="116"/>
      <c r="K843" s="121"/>
    </row>
    <row r="844" spans="2:11">
      <c r="B844" s="116"/>
      <c r="D844" s="116"/>
      <c r="E844" s="121"/>
      <c r="G844" s="116"/>
      <c r="I844" s="116"/>
      <c r="J844" s="116"/>
      <c r="K844" s="121"/>
    </row>
    <row r="845" spans="2:11">
      <c r="B845" s="116"/>
      <c r="D845" s="116"/>
      <c r="E845" s="121"/>
      <c r="G845" s="116"/>
      <c r="I845" s="116"/>
      <c r="J845" s="116"/>
      <c r="K845" s="121"/>
    </row>
    <row r="846" spans="2:11">
      <c r="B846" s="116"/>
      <c r="D846" s="116"/>
      <c r="E846" s="121"/>
      <c r="G846" s="116"/>
      <c r="I846" s="116"/>
      <c r="J846" s="116"/>
      <c r="K846" s="121"/>
    </row>
    <row r="847" spans="2:11">
      <c r="B847" s="116"/>
      <c r="D847" s="116"/>
      <c r="E847" s="121"/>
      <c r="G847" s="116"/>
      <c r="I847" s="116"/>
      <c r="J847" s="116"/>
      <c r="K847" s="121"/>
    </row>
    <row r="848" spans="2:11">
      <c r="B848" s="116"/>
      <c r="D848" s="116"/>
      <c r="E848" s="121"/>
      <c r="G848" s="116"/>
      <c r="I848" s="116"/>
      <c r="J848" s="116"/>
      <c r="K848" s="121"/>
    </row>
    <row r="849" spans="2:11">
      <c r="B849" s="116"/>
      <c r="D849" s="116"/>
      <c r="E849" s="121"/>
      <c r="G849" s="116"/>
      <c r="I849" s="116"/>
      <c r="J849" s="116"/>
      <c r="K849" s="121"/>
    </row>
    <row r="850" spans="2:11">
      <c r="B850" s="116"/>
      <c r="D850" s="116"/>
      <c r="E850" s="121"/>
      <c r="G850" s="116"/>
      <c r="I850" s="116"/>
      <c r="J850" s="116"/>
      <c r="K850" s="121"/>
    </row>
    <row r="851" spans="2:11">
      <c r="B851" s="116"/>
      <c r="D851" s="116"/>
      <c r="E851" s="121"/>
      <c r="G851" s="116"/>
      <c r="I851" s="116"/>
      <c r="J851" s="116"/>
      <c r="K851" s="121"/>
    </row>
    <row r="852" spans="2:11">
      <c r="B852" s="116"/>
      <c r="D852" s="116"/>
      <c r="E852" s="121"/>
      <c r="G852" s="116"/>
      <c r="I852" s="116"/>
      <c r="J852" s="116"/>
      <c r="K852" s="121"/>
    </row>
    <row r="853" spans="2:11">
      <c r="B853" s="116"/>
      <c r="D853" s="116"/>
      <c r="E853" s="121"/>
      <c r="G853" s="116"/>
      <c r="I853" s="116"/>
      <c r="J853" s="116"/>
      <c r="K853" s="121"/>
    </row>
    <row r="854" spans="2:11">
      <c r="B854" s="116"/>
      <c r="D854" s="116"/>
      <c r="E854" s="121"/>
      <c r="G854" s="116"/>
      <c r="I854" s="116"/>
      <c r="J854" s="116"/>
      <c r="K854" s="121"/>
    </row>
    <row r="855" spans="2:11">
      <c r="B855" s="116"/>
      <c r="D855" s="116"/>
      <c r="E855" s="121"/>
      <c r="G855" s="116"/>
      <c r="I855" s="116"/>
      <c r="J855" s="116"/>
      <c r="K855" s="121"/>
    </row>
    <row r="856" spans="2:11">
      <c r="B856" s="116"/>
      <c r="D856" s="116"/>
      <c r="E856" s="121"/>
      <c r="G856" s="116"/>
      <c r="I856" s="116"/>
      <c r="J856" s="116"/>
      <c r="K856" s="121"/>
    </row>
    <row r="857" spans="2:11">
      <c r="B857" s="116"/>
      <c r="D857" s="116"/>
      <c r="E857" s="121"/>
      <c r="G857" s="116"/>
      <c r="I857" s="116"/>
      <c r="J857" s="116"/>
      <c r="K857" s="121"/>
    </row>
    <row r="858" spans="2:11">
      <c r="B858" s="116"/>
      <c r="D858" s="116"/>
      <c r="E858" s="121"/>
      <c r="G858" s="116"/>
      <c r="I858" s="116"/>
      <c r="J858" s="116"/>
      <c r="K858" s="121"/>
    </row>
    <row r="859" spans="2:11">
      <c r="B859" s="116"/>
      <c r="D859" s="116"/>
      <c r="E859" s="121"/>
      <c r="G859" s="116"/>
      <c r="I859" s="116"/>
      <c r="J859" s="116"/>
      <c r="K859" s="121"/>
    </row>
    <row r="860" spans="2:11">
      <c r="B860" s="116"/>
      <c r="D860" s="116"/>
      <c r="E860" s="121"/>
      <c r="G860" s="116"/>
      <c r="I860" s="116"/>
      <c r="J860" s="116"/>
      <c r="K860" s="121"/>
    </row>
    <row r="861" spans="2:11">
      <c r="B861" s="116"/>
      <c r="D861" s="116"/>
      <c r="E861" s="121"/>
      <c r="G861" s="116"/>
      <c r="I861" s="116"/>
      <c r="J861" s="116"/>
      <c r="K861" s="121"/>
    </row>
    <row r="862" spans="2:11">
      <c r="B862" s="116"/>
      <c r="D862" s="116"/>
      <c r="E862" s="121"/>
      <c r="G862" s="116"/>
      <c r="I862" s="116"/>
      <c r="J862" s="116"/>
      <c r="K862" s="121"/>
    </row>
    <row r="863" spans="2:11">
      <c r="B863" s="116"/>
      <c r="D863" s="116"/>
      <c r="E863" s="121"/>
      <c r="G863" s="116"/>
      <c r="I863" s="116"/>
      <c r="J863" s="116"/>
      <c r="K863" s="121"/>
    </row>
    <row r="864" spans="2:11">
      <c r="B864" s="116"/>
      <c r="D864" s="116"/>
      <c r="E864" s="121"/>
      <c r="G864" s="116"/>
      <c r="I864" s="116"/>
      <c r="J864" s="116"/>
      <c r="K864" s="121"/>
    </row>
    <row r="865" spans="2:11">
      <c r="B865" s="116"/>
      <c r="D865" s="116"/>
      <c r="E865" s="121"/>
      <c r="G865" s="116"/>
      <c r="I865" s="116"/>
      <c r="J865" s="116"/>
      <c r="K865" s="121"/>
    </row>
    <row r="866" spans="2:11">
      <c r="B866" s="116"/>
      <c r="D866" s="116"/>
      <c r="E866" s="121"/>
      <c r="G866" s="116"/>
      <c r="I866" s="116"/>
      <c r="J866" s="116"/>
      <c r="K866" s="121"/>
    </row>
    <row r="867" spans="2:11">
      <c r="B867" s="116"/>
      <c r="D867" s="116"/>
      <c r="E867" s="121"/>
      <c r="G867" s="116"/>
      <c r="I867" s="116"/>
      <c r="J867" s="116"/>
      <c r="K867" s="121"/>
    </row>
    <row r="868" spans="2:11">
      <c r="B868" s="116"/>
      <c r="D868" s="116"/>
      <c r="E868" s="121"/>
      <c r="G868" s="116"/>
      <c r="I868" s="116"/>
      <c r="J868" s="116"/>
      <c r="K868" s="121"/>
    </row>
    <row r="869" spans="2:11">
      <c r="B869" s="116"/>
      <c r="D869" s="116"/>
      <c r="E869" s="121"/>
      <c r="G869" s="116"/>
      <c r="I869" s="116"/>
      <c r="J869" s="116"/>
      <c r="K869" s="121"/>
    </row>
    <row r="870" spans="2:11">
      <c r="B870" s="116"/>
      <c r="D870" s="116"/>
      <c r="E870" s="121"/>
      <c r="G870" s="116"/>
      <c r="I870" s="116"/>
      <c r="J870" s="116"/>
      <c r="K870" s="121"/>
    </row>
    <row r="871" spans="2:11">
      <c r="B871" s="116"/>
      <c r="D871" s="116"/>
      <c r="E871" s="121"/>
      <c r="G871" s="116"/>
      <c r="I871" s="116"/>
      <c r="J871" s="116"/>
      <c r="K871" s="121"/>
    </row>
    <row r="872" spans="2:11">
      <c r="B872" s="116"/>
      <c r="D872" s="116"/>
      <c r="E872" s="121"/>
      <c r="G872" s="116"/>
      <c r="I872" s="116"/>
      <c r="J872" s="116"/>
      <c r="K872" s="121"/>
    </row>
    <row r="873" spans="2:11">
      <c r="B873" s="116"/>
      <c r="D873" s="116"/>
      <c r="E873" s="121"/>
      <c r="G873" s="116"/>
      <c r="I873" s="116"/>
      <c r="J873" s="116"/>
      <c r="K873" s="121"/>
    </row>
    <row r="874" spans="2:11">
      <c r="B874" s="116"/>
      <c r="D874" s="116"/>
      <c r="E874" s="121"/>
      <c r="G874" s="116"/>
      <c r="I874" s="116"/>
      <c r="J874" s="116"/>
      <c r="K874" s="121"/>
    </row>
    <row r="875" spans="2:11">
      <c r="B875" s="116"/>
      <c r="D875" s="116"/>
      <c r="E875" s="121"/>
      <c r="G875" s="116"/>
      <c r="I875" s="116"/>
      <c r="J875" s="116"/>
      <c r="K875" s="121"/>
    </row>
    <row r="876" spans="2:11">
      <c r="B876" s="116"/>
      <c r="D876" s="116"/>
      <c r="E876" s="121"/>
      <c r="G876" s="116"/>
      <c r="I876" s="116"/>
      <c r="J876" s="116"/>
      <c r="K876" s="121"/>
    </row>
    <row r="877" spans="2:11">
      <c r="B877" s="116"/>
      <c r="D877" s="116"/>
      <c r="E877" s="121"/>
      <c r="G877" s="116"/>
      <c r="I877" s="116"/>
      <c r="J877" s="116"/>
      <c r="K877" s="121"/>
    </row>
    <row r="878" spans="2:11">
      <c r="B878" s="116"/>
      <c r="D878" s="116"/>
      <c r="E878" s="121"/>
      <c r="G878" s="116"/>
      <c r="I878" s="116"/>
      <c r="J878" s="116"/>
      <c r="K878" s="121"/>
    </row>
    <row r="879" spans="2:11">
      <c r="B879" s="116"/>
      <c r="D879" s="116"/>
      <c r="E879" s="121"/>
      <c r="G879" s="116"/>
      <c r="I879" s="116"/>
      <c r="J879" s="116"/>
      <c r="K879" s="121"/>
    </row>
    <row r="880" spans="2:11">
      <c r="B880" s="116"/>
      <c r="D880" s="116"/>
      <c r="E880" s="121"/>
      <c r="G880" s="116"/>
      <c r="I880" s="116"/>
      <c r="J880" s="116"/>
      <c r="K880" s="121"/>
    </row>
    <row r="881" spans="2:11">
      <c r="B881" s="116"/>
      <c r="D881" s="116"/>
      <c r="E881" s="121"/>
      <c r="G881" s="116"/>
      <c r="I881" s="116"/>
      <c r="J881" s="116"/>
      <c r="K881" s="121"/>
    </row>
    <row r="882" spans="2:11">
      <c r="B882" s="116"/>
      <c r="D882" s="116"/>
      <c r="E882" s="121"/>
      <c r="G882" s="116"/>
      <c r="I882" s="116"/>
      <c r="J882" s="116"/>
      <c r="K882" s="121"/>
    </row>
    <row r="883" spans="2:11">
      <c r="B883" s="116"/>
      <c r="D883" s="116"/>
      <c r="E883" s="121"/>
      <c r="G883" s="116"/>
      <c r="I883" s="116"/>
      <c r="J883" s="116"/>
      <c r="K883" s="121"/>
    </row>
    <row r="884" spans="2:11">
      <c r="B884" s="116"/>
      <c r="D884" s="116"/>
      <c r="E884" s="121"/>
      <c r="G884" s="116"/>
      <c r="I884" s="116"/>
      <c r="J884" s="116"/>
      <c r="K884" s="121"/>
    </row>
    <row r="885" spans="2:11">
      <c r="B885" s="116"/>
      <c r="D885" s="116"/>
      <c r="E885" s="121"/>
      <c r="G885" s="116"/>
      <c r="I885" s="116"/>
      <c r="J885" s="116"/>
      <c r="K885" s="121"/>
    </row>
    <row r="886" spans="2:11">
      <c r="B886" s="116"/>
      <c r="D886" s="116"/>
      <c r="E886" s="121"/>
      <c r="G886" s="116"/>
      <c r="I886" s="116"/>
      <c r="J886" s="116"/>
      <c r="K886" s="121"/>
    </row>
    <row r="887" spans="2:11">
      <c r="B887" s="116"/>
      <c r="D887" s="116"/>
      <c r="E887" s="121"/>
      <c r="G887" s="116"/>
      <c r="I887" s="116"/>
      <c r="J887" s="116"/>
      <c r="K887" s="121"/>
    </row>
    <row r="888" spans="2:11">
      <c r="B888" s="116"/>
      <c r="D888" s="116"/>
      <c r="E888" s="121"/>
      <c r="G888" s="116"/>
      <c r="I888" s="116"/>
      <c r="J888" s="116"/>
      <c r="K888" s="121"/>
    </row>
    <row r="889" spans="2:11">
      <c r="B889" s="116"/>
      <c r="D889" s="116"/>
      <c r="E889" s="121"/>
      <c r="G889" s="116"/>
      <c r="I889" s="116"/>
      <c r="J889" s="116"/>
      <c r="K889" s="121"/>
    </row>
    <row r="890" spans="2:11">
      <c r="B890" s="116"/>
      <c r="D890" s="116"/>
      <c r="E890" s="121"/>
      <c r="G890" s="116"/>
      <c r="I890" s="116"/>
      <c r="J890" s="116"/>
      <c r="K890" s="121"/>
    </row>
    <row r="891" spans="2:11">
      <c r="B891" s="116"/>
      <c r="D891" s="116"/>
      <c r="E891" s="121"/>
      <c r="G891" s="116"/>
      <c r="I891" s="116"/>
      <c r="J891" s="116"/>
      <c r="K891" s="121"/>
    </row>
    <row r="892" spans="2:11">
      <c r="B892" s="116"/>
      <c r="D892" s="116"/>
      <c r="E892" s="121"/>
      <c r="G892" s="116"/>
      <c r="I892" s="116"/>
      <c r="J892" s="116"/>
      <c r="K892" s="121"/>
    </row>
    <row r="893" spans="2:11">
      <c r="B893" s="116"/>
      <c r="D893" s="116"/>
      <c r="E893" s="121"/>
      <c r="G893" s="116"/>
      <c r="I893" s="116"/>
      <c r="J893" s="116"/>
      <c r="K893" s="121"/>
    </row>
    <row r="894" spans="2:11">
      <c r="B894" s="116"/>
      <c r="D894" s="116"/>
      <c r="E894" s="121"/>
      <c r="G894" s="116"/>
      <c r="I894" s="116"/>
      <c r="J894" s="116"/>
      <c r="K894" s="121"/>
    </row>
    <row r="895" spans="2:11">
      <c r="B895" s="116"/>
      <c r="D895" s="116"/>
      <c r="E895" s="121"/>
      <c r="G895" s="116"/>
      <c r="I895" s="116"/>
      <c r="J895" s="116"/>
      <c r="K895" s="121"/>
    </row>
    <row r="896" spans="2:11">
      <c r="B896" s="116"/>
      <c r="D896" s="116"/>
      <c r="E896" s="121"/>
      <c r="G896" s="116"/>
      <c r="I896" s="116"/>
      <c r="J896" s="116"/>
      <c r="K896" s="121"/>
    </row>
    <row r="897" spans="2:11">
      <c r="B897" s="116"/>
      <c r="D897" s="116"/>
      <c r="E897" s="121"/>
      <c r="G897" s="116"/>
      <c r="I897" s="116"/>
      <c r="J897" s="116"/>
      <c r="K897" s="121"/>
    </row>
    <row r="898" spans="2:11">
      <c r="B898" s="116"/>
      <c r="D898" s="116"/>
      <c r="E898" s="121"/>
      <c r="G898" s="116"/>
      <c r="I898" s="116"/>
      <c r="J898" s="116"/>
      <c r="K898" s="121"/>
    </row>
    <row r="899" spans="2:11">
      <c r="B899" s="116"/>
      <c r="D899" s="116"/>
      <c r="E899" s="121"/>
      <c r="G899" s="116"/>
      <c r="I899" s="116"/>
      <c r="J899" s="116"/>
      <c r="K899" s="121"/>
    </row>
    <row r="900" spans="2:11">
      <c r="B900" s="116"/>
      <c r="D900" s="116"/>
      <c r="E900" s="121"/>
      <c r="G900" s="116"/>
      <c r="I900" s="116"/>
      <c r="J900" s="116"/>
      <c r="K900" s="121"/>
    </row>
    <row r="901" spans="2:11">
      <c r="B901" s="116"/>
      <c r="D901" s="116"/>
      <c r="E901" s="121"/>
      <c r="G901" s="116"/>
      <c r="I901" s="116"/>
      <c r="J901" s="116"/>
      <c r="K901" s="121"/>
    </row>
    <row r="902" spans="2:11">
      <c r="B902" s="116"/>
      <c r="D902" s="116"/>
      <c r="E902" s="121"/>
      <c r="G902" s="116"/>
      <c r="I902" s="116"/>
      <c r="J902" s="116"/>
      <c r="K902" s="121"/>
    </row>
    <row r="903" spans="2:11">
      <c r="B903" s="116"/>
      <c r="D903" s="116"/>
      <c r="E903" s="121"/>
      <c r="G903" s="116"/>
      <c r="I903" s="116"/>
      <c r="J903" s="116"/>
      <c r="K903" s="121"/>
    </row>
    <row r="904" spans="2:11">
      <c r="B904" s="116"/>
      <c r="D904" s="116"/>
      <c r="E904" s="121"/>
      <c r="G904" s="116"/>
      <c r="I904" s="116"/>
      <c r="J904" s="116"/>
      <c r="K904" s="121"/>
    </row>
    <row r="905" spans="2:11">
      <c r="B905" s="116"/>
      <c r="D905" s="116"/>
      <c r="E905" s="121"/>
      <c r="G905" s="116"/>
      <c r="I905" s="116"/>
      <c r="J905" s="116"/>
      <c r="K905" s="121"/>
    </row>
    <row r="906" spans="2:11">
      <c r="B906" s="116"/>
      <c r="D906" s="116"/>
      <c r="E906" s="121"/>
      <c r="G906" s="116"/>
      <c r="I906" s="116"/>
      <c r="J906" s="116"/>
      <c r="K906" s="121"/>
    </row>
    <row r="907" spans="2:11">
      <c r="B907" s="116"/>
      <c r="D907" s="116"/>
      <c r="E907" s="121"/>
      <c r="G907" s="116"/>
      <c r="I907" s="116"/>
      <c r="J907" s="116"/>
      <c r="K907" s="121"/>
    </row>
    <row r="908" spans="2:11">
      <c r="B908" s="116"/>
      <c r="D908" s="116"/>
      <c r="E908" s="121"/>
      <c r="G908" s="116"/>
      <c r="I908" s="116"/>
      <c r="J908" s="116"/>
      <c r="K908" s="121"/>
    </row>
    <row r="909" spans="2:11">
      <c r="B909" s="116"/>
      <c r="D909" s="116"/>
      <c r="E909" s="121"/>
      <c r="G909" s="116"/>
      <c r="I909" s="116"/>
      <c r="J909" s="116"/>
      <c r="K909" s="121"/>
    </row>
    <row r="910" spans="2:11">
      <c r="B910" s="116"/>
      <c r="D910" s="116"/>
      <c r="E910" s="121"/>
      <c r="G910" s="116"/>
      <c r="I910" s="116"/>
      <c r="J910" s="116"/>
      <c r="K910" s="121"/>
    </row>
    <row r="911" spans="2:11">
      <c r="B911" s="116"/>
      <c r="D911" s="116"/>
      <c r="E911" s="121"/>
      <c r="G911" s="116"/>
      <c r="I911" s="116"/>
      <c r="J911" s="116"/>
      <c r="K911" s="121"/>
    </row>
    <row r="912" spans="2:11">
      <c r="B912" s="116"/>
      <c r="D912" s="116"/>
      <c r="E912" s="121"/>
      <c r="G912" s="116"/>
      <c r="I912" s="116"/>
      <c r="J912" s="116"/>
      <c r="K912" s="121"/>
    </row>
    <row r="913" spans="2:11">
      <c r="B913" s="116"/>
      <c r="D913" s="116"/>
      <c r="E913" s="121"/>
      <c r="G913" s="116"/>
      <c r="I913" s="116"/>
      <c r="J913" s="116"/>
      <c r="K913" s="121"/>
    </row>
    <row r="914" spans="2:11">
      <c r="B914" s="116"/>
      <c r="D914" s="116"/>
      <c r="E914" s="121"/>
      <c r="G914" s="116"/>
      <c r="I914" s="116"/>
      <c r="J914" s="116"/>
      <c r="K914" s="121"/>
    </row>
    <row r="915" spans="2:11">
      <c r="B915" s="116"/>
      <c r="D915" s="116"/>
      <c r="E915" s="121"/>
      <c r="G915" s="116"/>
      <c r="I915" s="116"/>
      <c r="J915" s="116"/>
      <c r="K915" s="121"/>
    </row>
    <row r="916" spans="2:11">
      <c r="B916" s="116"/>
      <c r="D916" s="116"/>
      <c r="E916" s="121"/>
      <c r="G916" s="116"/>
      <c r="I916" s="116"/>
      <c r="J916" s="116"/>
      <c r="K916" s="121"/>
    </row>
    <row r="917" spans="2:11">
      <c r="B917" s="116"/>
      <c r="D917" s="116"/>
      <c r="E917" s="121"/>
      <c r="G917" s="116"/>
      <c r="I917" s="116"/>
      <c r="J917" s="116"/>
      <c r="K917" s="121"/>
    </row>
    <row r="918" spans="2:11">
      <c r="B918" s="116"/>
      <c r="D918" s="116"/>
      <c r="E918" s="121"/>
      <c r="G918" s="116"/>
      <c r="I918" s="116"/>
      <c r="J918" s="116"/>
      <c r="K918" s="121"/>
    </row>
    <row r="919" spans="2:11">
      <c r="B919" s="116"/>
      <c r="D919" s="116"/>
      <c r="E919" s="121"/>
      <c r="G919" s="116"/>
      <c r="I919" s="116"/>
      <c r="J919" s="116"/>
      <c r="K919" s="121"/>
    </row>
    <row r="920" spans="2:11">
      <c r="B920" s="116"/>
      <c r="D920" s="116"/>
      <c r="E920" s="121"/>
      <c r="G920" s="116"/>
      <c r="I920" s="116"/>
      <c r="J920" s="116"/>
      <c r="K920" s="121"/>
    </row>
    <row r="921" spans="2:11">
      <c r="B921" s="116"/>
      <c r="D921" s="116"/>
      <c r="E921" s="121"/>
      <c r="G921" s="116"/>
      <c r="I921" s="116"/>
      <c r="J921" s="116"/>
      <c r="K921" s="121"/>
    </row>
    <row r="922" spans="2:11">
      <c r="B922" s="116"/>
      <c r="D922" s="116"/>
      <c r="E922" s="121"/>
      <c r="G922" s="116"/>
      <c r="I922" s="116"/>
      <c r="J922" s="116"/>
      <c r="K922" s="121"/>
    </row>
    <row r="923" spans="2:11">
      <c r="B923" s="116"/>
      <c r="D923" s="116"/>
      <c r="E923" s="121"/>
      <c r="G923" s="116"/>
      <c r="I923" s="116"/>
      <c r="J923" s="116"/>
      <c r="K923" s="121"/>
    </row>
    <row r="924" spans="2:11">
      <c r="B924" s="116"/>
      <c r="D924" s="116"/>
      <c r="E924" s="121"/>
      <c r="G924" s="116"/>
      <c r="I924" s="116"/>
      <c r="J924" s="116"/>
      <c r="K924" s="121"/>
    </row>
    <row r="925" spans="2:11">
      <c r="B925" s="116"/>
      <c r="D925" s="116"/>
      <c r="E925" s="121"/>
      <c r="G925" s="116"/>
      <c r="I925" s="116"/>
      <c r="J925" s="116"/>
      <c r="K925" s="121"/>
    </row>
    <row r="926" spans="2:11">
      <c r="B926" s="116"/>
      <c r="D926" s="116"/>
      <c r="E926" s="121"/>
      <c r="G926" s="116"/>
      <c r="I926" s="116"/>
      <c r="J926" s="116"/>
      <c r="K926" s="121"/>
    </row>
    <row r="927" spans="2:11">
      <c r="B927" s="116"/>
      <c r="D927" s="116"/>
      <c r="E927" s="121"/>
      <c r="G927" s="116"/>
      <c r="I927" s="116"/>
      <c r="J927" s="116"/>
      <c r="K927" s="121"/>
    </row>
    <row r="928" spans="2:11">
      <c r="B928" s="116"/>
      <c r="D928" s="116"/>
      <c r="E928" s="121"/>
      <c r="G928" s="116"/>
      <c r="I928" s="116"/>
      <c r="J928" s="116"/>
      <c r="K928" s="121"/>
    </row>
    <row r="929" spans="2:11">
      <c r="B929" s="116"/>
      <c r="D929" s="116"/>
      <c r="E929" s="121"/>
      <c r="G929" s="116"/>
      <c r="I929" s="116"/>
      <c r="J929" s="116"/>
      <c r="K929" s="121"/>
    </row>
    <row r="930" spans="2:11">
      <c r="B930" s="116"/>
      <c r="D930" s="116"/>
      <c r="E930" s="121"/>
      <c r="G930" s="116"/>
      <c r="I930" s="116"/>
      <c r="J930" s="116"/>
      <c r="K930" s="121"/>
    </row>
    <row r="931" spans="2:11">
      <c r="B931" s="116"/>
      <c r="D931" s="116"/>
      <c r="E931" s="121"/>
      <c r="G931" s="116"/>
      <c r="I931" s="116"/>
      <c r="J931" s="116"/>
      <c r="K931" s="121"/>
    </row>
    <row r="932" spans="2:11">
      <c r="B932" s="116"/>
      <c r="D932" s="116"/>
      <c r="E932" s="121"/>
      <c r="G932" s="116"/>
      <c r="I932" s="116"/>
      <c r="J932" s="116"/>
      <c r="K932" s="121"/>
    </row>
    <row r="933" spans="2:11">
      <c r="B933" s="116"/>
      <c r="D933" s="116"/>
      <c r="E933" s="121"/>
      <c r="G933" s="116"/>
      <c r="I933" s="116"/>
      <c r="J933" s="116"/>
      <c r="K933" s="121"/>
    </row>
    <row r="934" spans="2:11">
      <c r="B934" s="116"/>
      <c r="D934" s="116"/>
      <c r="E934" s="121"/>
      <c r="G934" s="116"/>
      <c r="I934" s="116"/>
      <c r="J934" s="116"/>
      <c r="K934" s="121"/>
    </row>
    <row r="935" spans="2:11">
      <c r="B935" s="116"/>
      <c r="D935" s="116"/>
      <c r="E935" s="121"/>
      <c r="G935" s="116"/>
      <c r="I935" s="116"/>
      <c r="J935" s="116"/>
      <c r="K935" s="121"/>
    </row>
    <row r="936" spans="2:11">
      <c r="B936" s="116"/>
      <c r="D936" s="116"/>
      <c r="E936" s="121"/>
      <c r="G936" s="116"/>
      <c r="I936" s="116"/>
      <c r="J936" s="116"/>
      <c r="K936" s="121"/>
    </row>
    <row r="937" spans="2:11">
      <c r="B937" s="116"/>
      <c r="D937" s="116"/>
      <c r="E937" s="121"/>
      <c r="G937" s="116"/>
      <c r="I937" s="116"/>
      <c r="J937" s="116"/>
      <c r="K937" s="121"/>
    </row>
    <row r="938" spans="2:11">
      <c r="B938" s="116"/>
      <c r="D938" s="116"/>
      <c r="E938" s="121"/>
      <c r="G938" s="116"/>
      <c r="I938" s="116"/>
      <c r="J938" s="116"/>
      <c r="K938" s="121"/>
    </row>
    <row r="939" spans="2:11">
      <c r="B939" s="116"/>
      <c r="D939" s="116"/>
      <c r="E939" s="121"/>
      <c r="G939" s="116"/>
      <c r="I939" s="116"/>
      <c r="J939" s="116"/>
      <c r="K939" s="121"/>
    </row>
    <row r="940" spans="2:11">
      <c r="B940" s="116"/>
      <c r="D940" s="116"/>
      <c r="E940" s="121"/>
      <c r="G940" s="116"/>
      <c r="I940" s="116"/>
      <c r="J940" s="116"/>
      <c r="K940" s="121"/>
    </row>
    <row r="941" spans="2:11">
      <c r="B941" s="116"/>
      <c r="D941" s="116"/>
      <c r="E941" s="121"/>
      <c r="G941" s="116"/>
      <c r="I941" s="116"/>
      <c r="J941" s="116"/>
      <c r="K941" s="121"/>
    </row>
    <row r="942" spans="2:11">
      <c r="B942" s="116"/>
      <c r="D942" s="116"/>
      <c r="E942" s="121"/>
      <c r="G942" s="116"/>
      <c r="I942" s="116"/>
      <c r="J942" s="116"/>
      <c r="K942" s="121"/>
    </row>
    <row r="943" spans="2:11">
      <c r="B943" s="116"/>
      <c r="D943" s="116"/>
      <c r="E943" s="121"/>
      <c r="G943" s="116"/>
      <c r="I943" s="116"/>
      <c r="J943" s="116"/>
      <c r="K943" s="121"/>
    </row>
    <row r="944" spans="2:11">
      <c r="B944" s="116"/>
      <c r="D944" s="116"/>
      <c r="E944" s="121"/>
      <c r="G944" s="116"/>
      <c r="I944" s="116"/>
      <c r="J944" s="116"/>
      <c r="K944" s="121"/>
    </row>
    <row r="945" spans="2:11">
      <c r="B945" s="116"/>
      <c r="D945" s="116"/>
      <c r="E945" s="121"/>
      <c r="G945" s="116"/>
      <c r="I945" s="116"/>
      <c r="J945" s="116"/>
      <c r="K945" s="121"/>
    </row>
    <row r="946" spans="2:11">
      <c r="B946" s="116"/>
      <c r="D946" s="116"/>
      <c r="E946" s="121"/>
      <c r="G946" s="116"/>
      <c r="I946" s="116"/>
      <c r="J946" s="116"/>
      <c r="K946" s="121"/>
    </row>
    <row r="947" spans="2:11">
      <c r="B947" s="116"/>
      <c r="D947" s="116"/>
      <c r="E947" s="121"/>
      <c r="G947" s="116"/>
      <c r="I947" s="116"/>
      <c r="J947" s="116"/>
      <c r="K947" s="121"/>
    </row>
    <row r="948" spans="2:11">
      <c r="B948" s="116"/>
      <c r="D948" s="116"/>
      <c r="E948" s="121"/>
      <c r="G948" s="116"/>
      <c r="I948" s="116"/>
      <c r="J948" s="116"/>
      <c r="K948" s="121"/>
    </row>
    <row r="949" spans="2:11">
      <c r="B949" s="116"/>
      <c r="D949" s="116"/>
      <c r="E949" s="121"/>
      <c r="G949" s="116"/>
      <c r="I949" s="116"/>
      <c r="J949" s="116"/>
      <c r="K949" s="121"/>
    </row>
    <row r="950" spans="2:11">
      <c r="B950" s="116"/>
      <c r="D950" s="116"/>
      <c r="E950" s="121"/>
      <c r="G950" s="116"/>
      <c r="I950" s="116"/>
      <c r="J950" s="116"/>
      <c r="K950" s="121"/>
    </row>
    <row r="951" spans="2:11">
      <c r="B951" s="116"/>
      <c r="D951" s="116"/>
      <c r="E951" s="121"/>
      <c r="G951" s="116"/>
      <c r="I951" s="116"/>
      <c r="J951" s="116"/>
      <c r="K951" s="121"/>
    </row>
    <row r="952" spans="2:11">
      <c r="B952" s="116"/>
      <c r="D952" s="116"/>
      <c r="E952" s="121"/>
      <c r="G952" s="116"/>
      <c r="I952" s="116"/>
      <c r="J952" s="116"/>
      <c r="K952" s="121"/>
    </row>
    <row r="953" spans="2:11">
      <c r="B953" s="116"/>
      <c r="D953" s="116"/>
      <c r="E953" s="121"/>
      <c r="G953" s="116"/>
      <c r="I953" s="116"/>
      <c r="J953" s="116"/>
      <c r="K953" s="121"/>
    </row>
    <row r="954" spans="2:11">
      <c r="B954" s="116"/>
      <c r="D954" s="116"/>
      <c r="E954" s="121"/>
      <c r="G954" s="116"/>
      <c r="I954" s="116"/>
      <c r="J954" s="116"/>
      <c r="K954" s="121"/>
    </row>
    <row r="955" spans="2:11">
      <c r="B955" s="116"/>
      <c r="D955" s="116"/>
      <c r="E955" s="121"/>
      <c r="G955" s="116"/>
      <c r="I955" s="116"/>
      <c r="J955" s="116"/>
      <c r="K955" s="121"/>
    </row>
    <row r="956" spans="2:11">
      <c r="B956" s="116"/>
      <c r="D956" s="116"/>
      <c r="E956" s="121"/>
      <c r="G956" s="116"/>
      <c r="I956" s="116"/>
      <c r="J956" s="116"/>
      <c r="K956" s="121"/>
    </row>
    <row r="957" spans="2:11">
      <c r="B957" s="116"/>
      <c r="D957" s="116"/>
      <c r="E957" s="121"/>
      <c r="G957" s="116"/>
      <c r="I957" s="116"/>
      <c r="J957" s="116"/>
      <c r="K957" s="121"/>
    </row>
    <row r="958" spans="2:11">
      <c r="B958" s="116"/>
      <c r="D958" s="116"/>
      <c r="E958" s="121"/>
      <c r="G958" s="116"/>
      <c r="I958" s="116"/>
      <c r="J958" s="116"/>
      <c r="K958" s="121"/>
    </row>
    <row r="959" spans="2:11">
      <c r="B959" s="116"/>
      <c r="D959" s="116"/>
      <c r="E959" s="121"/>
      <c r="G959" s="116"/>
      <c r="I959" s="116"/>
      <c r="J959" s="116"/>
      <c r="K959" s="121"/>
    </row>
    <row r="960" spans="2:11">
      <c r="B960" s="116"/>
      <c r="D960" s="116"/>
      <c r="E960" s="121"/>
      <c r="G960" s="116"/>
      <c r="I960" s="116"/>
      <c r="J960" s="116"/>
      <c r="K960" s="121"/>
    </row>
    <row r="961" spans="2:11">
      <c r="B961" s="116"/>
      <c r="D961" s="116"/>
      <c r="E961" s="121"/>
      <c r="G961" s="116"/>
      <c r="I961" s="116"/>
      <c r="J961" s="116"/>
      <c r="K961" s="121"/>
    </row>
    <row r="962" spans="2:11">
      <c r="B962" s="116"/>
      <c r="D962" s="116"/>
      <c r="E962" s="121"/>
      <c r="G962" s="116"/>
      <c r="I962" s="116"/>
      <c r="J962" s="116"/>
      <c r="K962" s="121"/>
    </row>
    <row r="963" spans="2:11">
      <c r="B963" s="116"/>
      <c r="D963" s="116"/>
      <c r="E963" s="121"/>
      <c r="G963" s="116"/>
      <c r="I963" s="116"/>
      <c r="J963" s="116"/>
      <c r="K963" s="121"/>
    </row>
    <row r="964" spans="2:11">
      <c r="B964" s="116"/>
      <c r="D964" s="116"/>
      <c r="E964" s="121"/>
      <c r="G964" s="116"/>
      <c r="I964" s="116"/>
      <c r="J964" s="116"/>
      <c r="K964" s="121"/>
    </row>
    <row r="965" spans="2:11">
      <c r="B965" s="116"/>
      <c r="D965" s="116"/>
      <c r="E965" s="121"/>
      <c r="G965" s="116"/>
      <c r="I965" s="116"/>
      <c r="J965" s="116"/>
      <c r="K965" s="121"/>
    </row>
    <row r="966" spans="2:11">
      <c r="B966" s="116"/>
      <c r="D966" s="116"/>
      <c r="E966" s="121"/>
      <c r="G966" s="116"/>
      <c r="I966" s="116"/>
      <c r="J966" s="116"/>
      <c r="K966" s="121"/>
    </row>
    <row r="967" spans="2:11">
      <c r="B967" s="116"/>
      <c r="D967" s="116"/>
      <c r="E967" s="121"/>
      <c r="G967" s="116"/>
      <c r="I967" s="116"/>
      <c r="J967" s="116"/>
      <c r="K967" s="121"/>
    </row>
    <row r="968" spans="2:11">
      <c r="B968" s="116"/>
      <c r="D968" s="116"/>
      <c r="E968" s="121"/>
      <c r="G968" s="116"/>
      <c r="I968" s="116"/>
      <c r="J968" s="116"/>
      <c r="K968" s="121"/>
    </row>
    <row r="969" spans="2:11">
      <c r="B969" s="116"/>
      <c r="D969" s="116"/>
      <c r="E969" s="121"/>
      <c r="G969" s="116"/>
      <c r="I969" s="116"/>
      <c r="J969" s="116"/>
      <c r="K969" s="121"/>
    </row>
    <row r="970" spans="2:11">
      <c r="B970" s="116"/>
      <c r="D970" s="116"/>
      <c r="E970" s="121"/>
      <c r="G970" s="116"/>
      <c r="I970" s="116"/>
      <c r="J970" s="116"/>
      <c r="K970" s="121"/>
    </row>
    <row r="971" spans="2:11">
      <c r="B971" s="116"/>
      <c r="D971" s="116"/>
      <c r="E971" s="121"/>
      <c r="G971" s="116"/>
      <c r="I971" s="116"/>
      <c r="J971" s="116"/>
      <c r="K971" s="121"/>
    </row>
    <row r="972" spans="2:11">
      <c r="B972" s="116"/>
      <c r="D972" s="116"/>
      <c r="E972" s="121"/>
      <c r="G972" s="116"/>
      <c r="I972" s="116"/>
      <c r="J972" s="116"/>
      <c r="K972" s="121"/>
    </row>
    <row r="973" spans="2:11">
      <c r="B973" s="116"/>
      <c r="D973" s="116"/>
      <c r="E973" s="121"/>
      <c r="G973" s="116"/>
      <c r="I973" s="116"/>
      <c r="J973" s="116"/>
      <c r="K973" s="121"/>
    </row>
    <row r="974" spans="2:11">
      <c r="B974" s="116"/>
      <c r="D974" s="116"/>
      <c r="E974" s="121"/>
      <c r="G974" s="116"/>
      <c r="I974" s="116"/>
      <c r="J974" s="116"/>
      <c r="K974" s="121"/>
    </row>
    <row r="975" spans="2:11">
      <c r="B975" s="116"/>
      <c r="D975" s="116"/>
      <c r="E975" s="121"/>
      <c r="G975" s="116"/>
      <c r="I975" s="116"/>
      <c r="J975" s="116"/>
      <c r="K975" s="121"/>
    </row>
    <row r="976" spans="2:11">
      <c r="B976" s="116"/>
      <c r="D976" s="116"/>
      <c r="E976" s="121"/>
      <c r="G976" s="116"/>
      <c r="I976" s="116"/>
      <c r="J976" s="116"/>
      <c r="K976" s="121"/>
    </row>
    <row r="977" spans="2:11">
      <c r="B977" s="116"/>
      <c r="D977" s="116"/>
      <c r="E977" s="121"/>
      <c r="G977" s="116"/>
      <c r="I977" s="116"/>
      <c r="J977" s="116"/>
      <c r="K977" s="121"/>
    </row>
    <row r="978" spans="2:11">
      <c r="B978" s="116"/>
      <c r="D978" s="116"/>
      <c r="E978" s="121"/>
      <c r="G978" s="116"/>
      <c r="I978" s="116"/>
      <c r="J978" s="116"/>
      <c r="K978" s="121"/>
    </row>
    <row r="979" spans="2:11">
      <c r="B979" s="116"/>
      <c r="D979" s="116"/>
      <c r="E979" s="121"/>
      <c r="G979" s="116"/>
      <c r="I979" s="116"/>
      <c r="J979" s="116"/>
      <c r="K979" s="121"/>
    </row>
    <row r="980" spans="2:11">
      <c r="B980" s="116"/>
      <c r="D980" s="116"/>
      <c r="E980" s="121"/>
      <c r="G980" s="116"/>
      <c r="I980" s="116"/>
      <c r="J980" s="116"/>
      <c r="K980" s="121"/>
    </row>
    <row r="981" spans="2:11">
      <c r="B981" s="116"/>
      <c r="D981" s="116"/>
      <c r="E981" s="121"/>
      <c r="G981" s="116"/>
      <c r="I981" s="116"/>
      <c r="J981" s="116"/>
      <c r="K981" s="121"/>
    </row>
    <row r="982" spans="2:11">
      <c r="B982" s="116"/>
      <c r="D982" s="116"/>
      <c r="E982" s="121"/>
      <c r="G982" s="116"/>
      <c r="I982" s="116"/>
      <c r="J982" s="116"/>
      <c r="K982" s="121"/>
    </row>
    <row r="983" spans="2:11">
      <c r="B983" s="116"/>
      <c r="D983" s="116"/>
      <c r="E983" s="121"/>
      <c r="G983" s="116"/>
      <c r="I983" s="116"/>
      <c r="J983" s="116"/>
      <c r="K983" s="121"/>
    </row>
    <row r="984" spans="2:11">
      <c r="B984" s="116"/>
      <c r="D984" s="116"/>
      <c r="E984" s="121"/>
      <c r="G984" s="116"/>
      <c r="I984" s="116"/>
      <c r="J984" s="116"/>
      <c r="K984" s="121"/>
    </row>
    <row r="985" spans="2:11">
      <c r="B985" s="116"/>
      <c r="D985" s="116"/>
      <c r="E985" s="121"/>
      <c r="G985" s="116"/>
      <c r="I985" s="116"/>
      <c r="J985" s="116"/>
      <c r="K985" s="121"/>
    </row>
    <row r="986" spans="2:11">
      <c r="B986" s="116"/>
      <c r="D986" s="116"/>
      <c r="E986" s="121"/>
      <c r="G986" s="116"/>
      <c r="I986" s="116"/>
      <c r="J986" s="116"/>
      <c r="K986" s="121"/>
    </row>
    <row r="987" spans="2:11">
      <c r="B987" s="116"/>
      <c r="D987" s="116"/>
      <c r="E987" s="121"/>
      <c r="G987" s="116"/>
      <c r="I987" s="116"/>
      <c r="J987" s="116"/>
      <c r="K987" s="121"/>
    </row>
    <row r="988" spans="2:11">
      <c r="B988" s="116"/>
      <c r="D988" s="116"/>
      <c r="E988" s="121"/>
      <c r="G988" s="116"/>
      <c r="I988" s="116"/>
      <c r="J988" s="116"/>
      <c r="K988" s="121"/>
    </row>
    <row r="989" spans="2:11">
      <c r="B989" s="116"/>
      <c r="D989" s="116"/>
      <c r="E989" s="121"/>
      <c r="G989" s="116"/>
      <c r="I989" s="116"/>
      <c r="J989" s="116"/>
      <c r="K989" s="121"/>
    </row>
    <row r="990" spans="2:11">
      <c r="B990" s="116"/>
      <c r="D990" s="116"/>
      <c r="E990" s="121"/>
      <c r="G990" s="116"/>
      <c r="I990" s="116"/>
      <c r="J990" s="116"/>
      <c r="K990" s="121"/>
    </row>
    <row r="991" spans="2:11">
      <c r="B991" s="116"/>
      <c r="D991" s="116"/>
      <c r="E991" s="121"/>
      <c r="G991" s="116"/>
      <c r="I991" s="116"/>
      <c r="J991" s="116"/>
      <c r="K991" s="121"/>
    </row>
    <row r="992" spans="2:11">
      <c r="B992" s="116"/>
      <c r="D992" s="116"/>
      <c r="E992" s="121"/>
      <c r="G992" s="116"/>
      <c r="I992" s="116"/>
      <c r="J992" s="116"/>
      <c r="K992" s="121"/>
    </row>
    <row r="993" spans="2:11">
      <c r="B993" s="116"/>
      <c r="D993" s="116"/>
      <c r="E993" s="121"/>
      <c r="G993" s="116"/>
      <c r="I993" s="116"/>
      <c r="J993" s="116"/>
      <c r="K993" s="121"/>
    </row>
    <row r="994" spans="2:11">
      <c r="B994" s="116"/>
      <c r="D994" s="116"/>
      <c r="E994" s="121"/>
      <c r="G994" s="116"/>
      <c r="I994" s="116"/>
      <c r="J994" s="116"/>
      <c r="K994" s="121"/>
    </row>
    <row r="995" spans="2:11">
      <c r="B995" s="116"/>
      <c r="D995" s="116"/>
      <c r="E995" s="121"/>
      <c r="G995" s="116"/>
      <c r="I995" s="116"/>
      <c r="J995" s="116"/>
      <c r="K995" s="121"/>
    </row>
    <row r="996" spans="2:11">
      <c r="B996" s="116"/>
      <c r="D996" s="116"/>
      <c r="E996" s="121"/>
      <c r="G996" s="116"/>
      <c r="I996" s="116"/>
      <c r="J996" s="116"/>
      <c r="K996" s="121"/>
    </row>
    <row r="997" spans="2:11">
      <c r="B997" s="116"/>
      <c r="D997" s="116"/>
      <c r="E997" s="121"/>
      <c r="G997" s="116"/>
      <c r="I997" s="116"/>
      <c r="J997" s="116"/>
      <c r="K997" s="121"/>
    </row>
    <row r="998" spans="2:11">
      <c r="B998" s="116"/>
      <c r="D998" s="116"/>
      <c r="E998" s="121"/>
      <c r="G998" s="116"/>
      <c r="I998" s="116"/>
      <c r="J998" s="116"/>
      <c r="K998" s="121"/>
    </row>
    <row r="999" spans="2:11">
      <c r="B999" s="116"/>
      <c r="D999" s="116"/>
      <c r="E999" s="121"/>
      <c r="G999" s="116"/>
      <c r="I999" s="116"/>
      <c r="J999" s="116"/>
      <c r="K999" s="121"/>
    </row>
    <row r="1000" spans="2:11">
      <c r="B1000" s="116"/>
      <c r="D1000" s="116"/>
      <c r="E1000" s="121"/>
      <c r="G1000" s="116"/>
      <c r="I1000" s="116"/>
      <c r="J1000" s="116"/>
      <c r="K1000" s="121"/>
    </row>
    <row r="1001" spans="2:11">
      <c r="B1001" s="116"/>
      <c r="D1001" s="116"/>
      <c r="E1001" s="121"/>
      <c r="G1001" s="116"/>
      <c r="I1001" s="116"/>
      <c r="J1001" s="116"/>
      <c r="K1001" s="121"/>
    </row>
    <row r="1002" spans="2:11">
      <c r="B1002" s="116"/>
      <c r="D1002" s="116"/>
      <c r="E1002" s="121"/>
      <c r="G1002" s="116"/>
      <c r="I1002" s="116"/>
      <c r="J1002" s="116"/>
      <c r="K1002" s="121"/>
    </row>
    <row r="1003" spans="2:11">
      <c r="B1003" s="116"/>
      <c r="D1003" s="116"/>
      <c r="E1003" s="121"/>
      <c r="G1003" s="116"/>
      <c r="I1003" s="116"/>
      <c r="J1003" s="116"/>
      <c r="K1003" s="121"/>
    </row>
    <row r="1004" spans="2:11">
      <c r="B1004" s="116"/>
      <c r="D1004" s="116"/>
      <c r="E1004" s="121"/>
      <c r="G1004" s="116"/>
      <c r="I1004" s="116"/>
      <c r="J1004" s="116"/>
      <c r="K1004" s="121"/>
    </row>
    <row r="1005" spans="2:11">
      <c r="B1005" s="116"/>
      <c r="D1005" s="116"/>
      <c r="E1005" s="121"/>
      <c r="G1005" s="116"/>
      <c r="I1005" s="116"/>
      <c r="J1005" s="116"/>
      <c r="K1005" s="121"/>
    </row>
    <row r="1006" spans="2:11">
      <c r="B1006" s="116"/>
      <c r="D1006" s="116"/>
      <c r="E1006" s="121"/>
      <c r="G1006" s="116"/>
      <c r="I1006" s="116"/>
      <c r="J1006" s="116"/>
      <c r="K1006" s="121"/>
    </row>
    <row r="1007" spans="2:11">
      <c r="B1007" s="116"/>
      <c r="D1007" s="116"/>
      <c r="E1007" s="121"/>
      <c r="G1007" s="116"/>
      <c r="I1007" s="116"/>
      <c r="J1007" s="116"/>
      <c r="K1007" s="121"/>
    </row>
    <row r="1008" spans="2:11">
      <c r="B1008" s="116"/>
      <c r="D1008" s="116"/>
      <c r="E1008" s="121"/>
      <c r="G1008" s="116"/>
      <c r="I1008" s="116"/>
      <c r="J1008" s="116"/>
      <c r="K1008" s="121"/>
    </row>
    <row r="1009" spans="2:11">
      <c r="B1009" s="116"/>
      <c r="D1009" s="116"/>
      <c r="E1009" s="121"/>
      <c r="G1009" s="116"/>
      <c r="I1009" s="116"/>
      <c r="J1009" s="116"/>
      <c r="K1009" s="121"/>
    </row>
    <row r="1010" spans="2:11">
      <c r="B1010" s="116"/>
      <c r="D1010" s="116"/>
      <c r="E1010" s="121"/>
      <c r="G1010" s="116"/>
      <c r="I1010" s="116"/>
      <c r="J1010" s="116"/>
      <c r="K1010" s="121"/>
    </row>
    <row r="1011" spans="2:11">
      <c r="B1011" s="116"/>
      <c r="D1011" s="116"/>
      <c r="E1011" s="121"/>
      <c r="G1011" s="116"/>
      <c r="I1011" s="116"/>
      <c r="J1011" s="116"/>
      <c r="K1011" s="121"/>
    </row>
    <row r="1012" spans="2:11">
      <c r="B1012" s="116"/>
      <c r="D1012" s="116"/>
      <c r="E1012" s="121"/>
      <c r="G1012" s="116"/>
      <c r="I1012" s="116"/>
      <c r="J1012" s="116"/>
      <c r="K1012" s="121"/>
    </row>
    <row r="1013" spans="2:11">
      <c r="B1013" s="116"/>
      <c r="D1013" s="116"/>
      <c r="E1013" s="121"/>
      <c r="G1013" s="116"/>
      <c r="I1013" s="116"/>
      <c r="J1013" s="116"/>
      <c r="K1013" s="121"/>
    </row>
    <row r="1014" spans="2:11">
      <c r="B1014" s="116"/>
      <c r="D1014" s="116"/>
      <c r="E1014" s="121"/>
      <c r="G1014" s="116"/>
      <c r="I1014" s="116"/>
      <c r="J1014" s="116"/>
      <c r="K1014" s="121"/>
    </row>
    <row r="1015" spans="2:11">
      <c r="B1015" s="116"/>
      <c r="D1015" s="116"/>
      <c r="E1015" s="121"/>
      <c r="G1015" s="116"/>
      <c r="I1015" s="116"/>
      <c r="J1015" s="116"/>
      <c r="K1015" s="121"/>
    </row>
    <row r="1016" spans="2:11">
      <c r="B1016" s="116"/>
      <c r="D1016" s="116"/>
      <c r="E1016" s="121"/>
      <c r="G1016" s="116"/>
      <c r="I1016" s="116"/>
      <c r="J1016" s="116"/>
      <c r="K1016" s="121"/>
    </row>
    <row r="1017" spans="2:11">
      <c r="B1017" s="116"/>
      <c r="D1017" s="116"/>
      <c r="E1017" s="121"/>
      <c r="G1017" s="116"/>
      <c r="I1017" s="116"/>
      <c r="J1017" s="116"/>
      <c r="K1017" s="121"/>
    </row>
    <row r="1018" spans="2:11">
      <c r="B1018" s="116"/>
      <c r="D1018" s="116"/>
      <c r="E1018" s="121"/>
      <c r="G1018" s="116"/>
      <c r="I1018" s="116"/>
      <c r="J1018" s="116"/>
      <c r="K1018" s="121"/>
    </row>
    <row r="1019" spans="2:11">
      <c r="B1019" s="116"/>
      <c r="D1019" s="116"/>
      <c r="E1019" s="121"/>
      <c r="G1019" s="116"/>
      <c r="I1019" s="116"/>
      <c r="J1019" s="116"/>
      <c r="K1019" s="121"/>
    </row>
    <row r="1020" spans="2:11">
      <c r="B1020" s="116"/>
      <c r="D1020" s="116"/>
      <c r="E1020" s="121"/>
      <c r="G1020" s="116"/>
      <c r="I1020" s="116"/>
      <c r="J1020" s="116"/>
      <c r="K1020" s="121"/>
    </row>
    <row r="1021" spans="2:11">
      <c r="B1021" s="116"/>
      <c r="D1021" s="116"/>
      <c r="E1021" s="121"/>
      <c r="G1021" s="116"/>
      <c r="I1021" s="116"/>
      <c r="J1021" s="116"/>
      <c r="K1021" s="121"/>
    </row>
    <row r="1022" spans="2:11">
      <c r="B1022" s="116"/>
      <c r="D1022" s="116"/>
      <c r="E1022" s="121"/>
      <c r="G1022" s="116"/>
      <c r="I1022" s="116"/>
      <c r="J1022" s="116"/>
      <c r="K1022" s="121"/>
    </row>
    <row r="1023" spans="2:11">
      <c r="B1023" s="116"/>
      <c r="D1023" s="116"/>
      <c r="E1023" s="121"/>
      <c r="G1023" s="116"/>
      <c r="I1023" s="116"/>
      <c r="J1023" s="116"/>
      <c r="K1023" s="121"/>
    </row>
    <row r="1024" spans="2:11">
      <c r="B1024" s="116"/>
      <c r="D1024" s="116"/>
      <c r="E1024" s="121"/>
      <c r="G1024" s="116"/>
      <c r="I1024" s="116"/>
      <c r="J1024" s="116"/>
      <c r="K1024" s="121"/>
    </row>
    <row r="1025" spans="2:11">
      <c r="B1025" s="116"/>
      <c r="D1025" s="116"/>
      <c r="E1025" s="121"/>
      <c r="G1025" s="116"/>
      <c r="I1025" s="116"/>
      <c r="J1025" s="116"/>
      <c r="K1025" s="121"/>
    </row>
    <row r="1026" spans="2:11">
      <c r="B1026" s="116"/>
      <c r="D1026" s="116"/>
      <c r="E1026" s="121"/>
      <c r="G1026" s="116"/>
      <c r="I1026" s="116"/>
      <c r="J1026" s="116"/>
      <c r="K1026" s="121"/>
    </row>
    <row r="1027" spans="2:11">
      <c r="B1027" s="116"/>
      <c r="D1027" s="116"/>
      <c r="E1027" s="121"/>
      <c r="G1027" s="116"/>
      <c r="I1027" s="116"/>
      <c r="J1027" s="116"/>
      <c r="K1027" s="121"/>
    </row>
    <row r="1028" spans="2:11">
      <c r="B1028" s="116"/>
      <c r="D1028" s="116"/>
      <c r="E1028" s="121"/>
      <c r="G1028" s="116"/>
      <c r="I1028" s="116"/>
      <c r="J1028" s="116"/>
      <c r="K1028" s="121"/>
    </row>
    <row r="1029" spans="2:11">
      <c r="B1029" s="116"/>
      <c r="D1029" s="116"/>
      <c r="E1029" s="121"/>
      <c r="G1029" s="116"/>
      <c r="I1029" s="116"/>
      <c r="J1029" s="116"/>
      <c r="K1029" s="121"/>
    </row>
    <row r="1030" spans="2:11">
      <c r="B1030" s="116"/>
      <c r="D1030" s="116"/>
      <c r="E1030" s="121"/>
      <c r="G1030" s="116"/>
      <c r="I1030" s="116"/>
      <c r="J1030" s="116"/>
      <c r="K1030" s="121"/>
    </row>
    <row r="1031" spans="2:11">
      <c r="B1031" s="116"/>
      <c r="D1031" s="116"/>
      <c r="E1031" s="121"/>
      <c r="G1031" s="116"/>
      <c r="I1031" s="116"/>
      <c r="J1031" s="116"/>
      <c r="K1031" s="121"/>
    </row>
    <row r="1032" spans="2:11">
      <c r="B1032" s="116"/>
      <c r="D1032" s="116"/>
      <c r="E1032" s="121"/>
      <c r="G1032" s="116"/>
      <c r="I1032" s="116"/>
      <c r="J1032" s="116"/>
      <c r="K1032" s="121"/>
    </row>
    <row r="1033" spans="2:11">
      <c r="B1033" s="116"/>
      <c r="D1033" s="116"/>
      <c r="E1033" s="121"/>
      <c r="G1033" s="116"/>
      <c r="I1033" s="116"/>
      <c r="J1033" s="116"/>
      <c r="K1033" s="121"/>
    </row>
    <row r="1034" spans="2:11">
      <c r="B1034" s="116"/>
      <c r="D1034" s="116"/>
      <c r="E1034" s="121"/>
      <c r="G1034" s="116"/>
      <c r="I1034" s="116"/>
      <c r="J1034" s="116"/>
      <c r="K1034" s="121"/>
    </row>
    <row r="1035" spans="2:11">
      <c r="B1035" s="116"/>
      <c r="D1035" s="116"/>
      <c r="E1035" s="121"/>
      <c r="G1035" s="116"/>
      <c r="I1035" s="116"/>
      <c r="J1035" s="116"/>
      <c r="K1035" s="121"/>
    </row>
    <row r="1036" spans="2:11">
      <c r="B1036" s="116"/>
      <c r="D1036" s="116"/>
      <c r="E1036" s="121"/>
      <c r="G1036" s="116"/>
      <c r="I1036" s="116"/>
      <c r="J1036" s="116"/>
      <c r="K1036" s="121"/>
    </row>
    <row r="1037" spans="2:11">
      <c r="B1037" s="116"/>
      <c r="D1037" s="116"/>
      <c r="E1037" s="121"/>
      <c r="G1037" s="116"/>
      <c r="I1037" s="116"/>
      <c r="J1037" s="116"/>
      <c r="K1037" s="121"/>
    </row>
    <row r="1038" spans="2:11">
      <c r="B1038" s="116"/>
      <c r="D1038" s="116"/>
      <c r="E1038" s="121"/>
      <c r="G1038" s="116"/>
      <c r="I1038" s="116"/>
      <c r="J1038" s="116"/>
      <c r="K1038" s="121"/>
    </row>
    <row r="1039" spans="2:11">
      <c r="B1039" s="116"/>
      <c r="D1039" s="116"/>
      <c r="E1039" s="121"/>
      <c r="G1039" s="116"/>
      <c r="I1039" s="116"/>
      <c r="J1039" s="116"/>
      <c r="K1039" s="121"/>
    </row>
    <row r="1040" spans="2:11">
      <c r="B1040" s="116"/>
      <c r="D1040" s="116"/>
      <c r="E1040" s="121"/>
      <c r="G1040" s="116"/>
      <c r="I1040" s="116"/>
      <c r="J1040" s="116"/>
      <c r="K1040" s="121"/>
    </row>
    <row r="1041" spans="2:11">
      <c r="B1041" s="116"/>
      <c r="D1041" s="116"/>
      <c r="E1041" s="121"/>
      <c r="G1041" s="116"/>
      <c r="I1041" s="116"/>
      <c r="J1041" s="116"/>
      <c r="K1041" s="121"/>
    </row>
    <row r="1042" spans="2:11">
      <c r="B1042" s="116"/>
      <c r="D1042" s="116"/>
      <c r="E1042" s="121"/>
      <c r="G1042" s="116"/>
      <c r="I1042" s="116"/>
      <c r="J1042" s="116"/>
      <c r="K1042" s="121"/>
    </row>
    <row r="1043" spans="2:11">
      <c r="B1043" s="116"/>
      <c r="D1043" s="116"/>
      <c r="E1043" s="121"/>
      <c r="G1043" s="116"/>
      <c r="I1043" s="116"/>
      <c r="J1043" s="116"/>
      <c r="K1043" s="121"/>
    </row>
    <row r="1044" spans="2:11">
      <c r="B1044" s="116"/>
      <c r="D1044" s="116"/>
      <c r="E1044" s="121"/>
      <c r="G1044" s="116"/>
      <c r="I1044" s="116"/>
      <c r="J1044" s="116"/>
      <c r="K1044" s="121"/>
    </row>
    <row r="1045" spans="2:11">
      <c r="B1045" s="116"/>
      <c r="D1045" s="116"/>
      <c r="E1045" s="121"/>
      <c r="G1045" s="116"/>
      <c r="I1045" s="116"/>
      <c r="J1045" s="116"/>
      <c r="K1045" s="121"/>
    </row>
    <row r="1046" spans="2:11">
      <c r="B1046" s="116"/>
      <c r="D1046" s="116"/>
      <c r="E1046" s="121"/>
      <c r="G1046" s="116"/>
      <c r="I1046" s="116"/>
      <c r="J1046" s="116"/>
      <c r="K1046" s="121"/>
    </row>
    <row r="1047" spans="2:11">
      <c r="B1047" s="116"/>
      <c r="D1047" s="116"/>
      <c r="E1047" s="121"/>
      <c r="G1047" s="116"/>
      <c r="I1047" s="116"/>
      <c r="J1047" s="116"/>
      <c r="K1047" s="121"/>
    </row>
    <row r="1048" spans="2:11">
      <c r="B1048" s="116"/>
      <c r="D1048" s="116"/>
      <c r="E1048" s="121"/>
      <c r="G1048" s="116"/>
      <c r="I1048" s="116"/>
      <c r="J1048" s="116"/>
      <c r="K1048" s="121"/>
    </row>
    <row r="1049" spans="2:11">
      <c r="B1049" s="116"/>
      <c r="D1049" s="116"/>
      <c r="E1049" s="121"/>
      <c r="G1049" s="116"/>
      <c r="I1049" s="116"/>
      <c r="J1049" s="116"/>
      <c r="K1049" s="121"/>
    </row>
    <row r="1050" spans="2:11">
      <c r="B1050" s="116"/>
      <c r="D1050" s="116"/>
      <c r="E1050" s="121"/>
      <c r="G1050" s="116"/>
      <c r="I1050" s="116"/>
      <c r="J1050" s="116"/>
      <c r="K1050" s="121"/>
    </row>
    <row r="1051" spans="2:11">
      <c r="B1051" s="116"/>
      <c r="D1051" s="116"/>
      <c r="E1051" s="121"/>
      <c r="G1051" s="116"/>
      <c r="I1051" s="116"/>
      <c r="J1051" s="116"/>
      <c r="K1051" s="121"/>
    </row>
    <row r="1052" spans="2:11">
      <c r="B1052" s="116"/>
      <c r="D1052" s="116"/>
      <c r="E1052" s="121"/>
      <c r="G1052" s="116"/>
      <c r="I1052" s="116"/>
      <c r="J1052" s="116"/>
      <c r="K1052" s="121"/>
    </row>
    <row r="1053" spans="2:11">
      <c r="B1053" s="116"/>
      <c r="D1053" s="116"/>
      <c r="E1053" s="121"/>
      <c r="G1053" s="116"/>
      <c r="I1053" s="116"/>
      <c r="J1053" s="116"/>
      <c r="K1053" s="121"/>
    </row>
    <row r="1054" spans="2:11">
      <c r="B1054" s="116"/>
      <c r="D1054" s="116"/>
      <c r="E1054" s="121"/>
      <c r="G1054" s="116"/>
      <c r="I1054" s="116"/>
      <c r="J1054" s="116"/>
      <c r="K1054" s="121"/>
    </row>
    <row r="1055" spans="2:11">
      <c r="B1055" s="116"/>
      <c r="D1055" s="116"/>
      <c r="E1055" s="121"/>
      <c r="G1055" s="116"/>
      <c r="I1055" s="116"/>
      <c r="J1055" s="116"/>
      <c r="K1055" s="121"/>
    </row>
    <row r="1056" spans="2:11">
      <c r="B1056" s="116"/>
      <c r="D1056" s="116"/>
      <c r="E1056" s="121"/>
      <c r="G1056" s="116"/>
      <c r="I1056" s="116"/>
      <c r="J1056" s="116"/>
      <c r="K1056" s="121"/>
    </row>
    <row r="1057" spans="2:11">
      <c r="B1057" s="116"/>
      <c r="D1057" s="116"/>
      <c r="E1057" s="121"/>
      <c r="G1057" s="116"/>
      <c r="I1057" s="116"/>
      <c r="J1057" s="116"/>
      <c r="K1057" s="121"/>
    </row>
    <row r="1058" spans="2:11">
      <c r="B1058" s="116"/>
      <c r="D1058" s="116"/>
      <c r="E1058" s="121"/>
      <c r="G1058" s="116"/>
      <c r="I1058" s="116"/>
      <c r="J1058" s="116"/>
      <c r="K1058" s="121"/>
    </row>
    <row r="1059" spans="2:11">
      <c r="B1059" s="116"/>
      <c r="D1059" s="116"/>
      <c r="E1059" s="121"/>
      <c r="G1059" s="116"/>
      <c r="I1059" s="116"/>
      <c r="J1059" s="116"/>
      <c r="K1059" s="121"/>
    </row>
    <row r="1060" spans="2:11">
      <c r="B1060" s="116"/>
      <c r="D1060" s="116"/>
      <c r="E1060" s="121"/>
      <c r="G1060" s="116"/>
      <c r="I1060" s="116"/>
      <c r="J1060" s="116"/>
      <c r="K1060" s="121"/>
    </row>
    <row r="1061" spans="2:11">
      <c r="B1061" s="116"/>
      <c r="D1061" s="116"/>
      <c r="E1061" s="121"/>
      <c r="G1061" s="116"/>
      <c r="I1061" s="116"/>
      <c r="J1061" s="116"/>
      <c r="K1061" s="121"/>
    </row>
    <row r="1062" spans="2:11">
      <c r="B1062" s="116"/>
      <c r="D1062" s="116"/>
      <c r="E1062" s="121"/>
      <c r="G1062" s="116"/>
      <c r="I1062" s="116"/>
      <c r="J1062" s="116"/>
      <c r="K1062" s="121"/>
    </row>
    <row r="1063" spans="2:11">
      <c r="B1063" s="116"/>
      <c r="D1063" s="116"/>
      <c r="E1063" s="121"/>
      <c r="G1063" s="116"/>
      <c r="I1063" s="116"/>
      <c r="J1063" s="116"/>
      <c r="K1063" s="121"/>
    </row>
    <row r="1064" spans="2:11">
      <c r="B1064" s="116"/>
      <c r="D1064" s="116"/>
      <c r="E1064" s="121"/>
      <c r="G1064" s="116"/>
      <c r="I1064" s="116"/>
      <c r="J1064" s="116"/>
      <c r="K1064" s="121"/>
    </row>
    <row r="1065" spans="2:11">
      <c r="B1065" s="116"/>
      <c r="D1065" s="116"/>
      <c r="E1065" s="121"/>
      <c r="G1065" s="116"/>
      <c r="I1065" s="116"/>
      <c r="J1065" s="116"/>
      <c r="K1065" s="121"/>
    </row>
    <row r="1066" spans="2:11">
      <c r="B1066" s="116"/>
      <c r="D1066" s="116"/>
      <c r="E1066" s="121"/>
      <c r="G1066" s="116"/>
      <c r="I1066" s="116"/>
      <c r="J1066" s="116"/>
      <c r="K1066" s="121"/>
    </row>
    <row r="1067" spans="2:11">
      <c r="B1067" s="116"/>
      <c r="D1067" s="116"/>
      <c r="E1067" s="121"/>
      <c r="G1067" s="116"/>
      <c r="I1067" s="116"/>
      <c r="J1067" s="116"/>
      <c r="K1067" s="121"/>
    </row>
    <row r="1068" spans="2:11">
      <c r="B1068" s="116"/>
      <c r="D1068" s="116"/>
      <c r="E1068" s="121"/>
      <c r="G1068" s="116"/>
      <c r="I1068" s="116"/>
      <c r="J1068" s="116"/>
      <c r="K1068" s="121"/>
    </row>
    <row r="1069" spans="2:11">
      <c r="B1069" s="116"/>
      <c r="D1069" s="116"/>
      <c r="E1069" s="121"/>
      <c r="G1069" s="116"/>
      <c r="I1069" s="116"/>
      <c r="J1069" s="116"/>
      <c r="K1069" s="121"/>
    </row>
    <row r="1070" spans="2:11">
      <c r="B1070" s="116"/>
      <c r="D1070" s="116"/>
      <c r="E1070" s="121"/>
      <c r="G1070" s="116"/>
      <c r="I1070" s="116"/>
      <c r="J1070" s="116"/>
      <c r="K1070" s="121"/>
    </row>
    <row r="1071" spans="2:11">
      <c r="B1071" s="116"/>
      <c r="D1071" s="116"/>
      <c r="E1071" s="121"/>
      <c r="G1071" s="116"/>
      <c r="I1071" s="116"/>
      <c r="J1071" s="116"/>
      <c r="K1071" s="121"/>
    </row>
    <row r="1072" spans="2:11">
      <c r="B1072" s="116"/>
      <c r="D1072" s="116"/>
      <c r="E1072" s="121"/>
      <c r="G1072" s="116"/>
      <c r="I1072" s="116"/>
      <c r="J1072" s="116"/>
      <c r="K1072" s="121"/>
    </row>
    <row r="1073" spans="2:11">
      <c r="B1073" s="116"/>
      <c r="D1073" s="116"/>
      <c r="E1073" s="121"/>
      <c r="G1073" s="116"/>
      <c r="I1073" s="116"/>
      <c r="J1073" s="116"/>
      <c r="K1073" s="121"/>
    </row>
    <row r="1074" spans="2:11">
      <c r="B1074" s="116"/>
      <c r="D1074" s="116"/>
      <c r="E1074" s="121"/>
      <c r="G1074" s="116"/>
      <c r="I1074" s="116"/>
      <c r="J1074" s="116"/>
      <c r="K1074" s="121"/>
    </row>
    <row r="1075" spans="2:11">
      <c r="B1075" s="116"/>
      <c r="D1075" s="116"/>
      <c r="E1075" s="121"/>
      <c r="G1075" s="116"/>
      <c r="I1075" s="116"/>
      <c r="J1075" s="116"/>
      <c r="K1075" s="121"/>
    </row>
    <row r="1076" spans="2:11">
      <c r="B1076" s="116"/>
      <c r="D1076" s="116"/>
      <c r="E1076" s="121"/>
      <c r="G1076" s="116"/>
      <c r="I1076" s="116"/>
      <c r="J1076" s="116"/>
      <c r="K1076" s="121"/>
    </row>
    <row r="1077" spans="2:11">
      <c r="B1077" s="116"/>
      <c r="D1077" s="116"/>
      <c r="E1077" s="121"/>
      <c r="G1077" s="116"/>
      <c r="I1077" s="116"/>
      <c r="J1077" s="116"/>
      <c r="K1077" s="121"/>
    </row>
    <row r="1078" spans="2:11">
      <c r="B1078" s="116"/>
      <c r="D1078" s="116"/>
      <c r="E1078" s="121"/>
      <c r="G1078" s="116"/>
      <c r="I1078" s="116"/>
      <c r="J1078" s="116"/>
      <c r="K1078" s="121"/>
    </row>
    <row r="1079" spans="2:11">
      <c r="B1079" s="116"/>
      <c r="D1079" s="116"/>
      <c r="E1079" s="121"/>
      <c r="G1079" s="116"/>
      <c r="I1079" s="116"/>
      <c r="J1079" s="116"/>
      <c r="K1079" s="121"/>
    </row>
    <row r="1080" spans="2:11">
      <c r="B1080" s="116"/>
      <c r="D1080" s="116"/>
      <c r="E1080" s="121"/>
      <c r="G1080" s="116"/>
      <c r="I1080" s="116"/>
      <c r="J1080" s="116"/>
      <c r="K1080" s="121"/>
    </row>
    <row r="1081" spans="2:11">
      <c r="B1081" s="116"/>
      <c r="D1081" s="116"/>
      <c r="E1081" s="121"/>
      <c r="G1081" s="116"/>
      <c r="I1081" s="116"/>
      <c r="J1081" s="116"/>
      <c r="K1081" s="121"/>
    </row>
    <row r="1082" spans="2:11">
      <c r="B1082" s="116"/>
      <c r="D1082" s="116"/>
      <c r="E1082" s="121"/>
      <c r="G1082" s="116"/>
      <c r="I1082" s="116"/>
      <c r="J1082" s="116"/>
      <c r="K1082" s="121"/>
    </row>
    <row r="1083" spans="2:11">
      <c r="B1083" s="116"/>
      <c r="D1083" s="116"/>
      <c r="E1083" s="121"/>
      <c r="G1083" s="116"/>
      <c r="I1083" s="116"/>
      <c r="J1083" s="116"/>
      <c r="K1083" s="121"/>
    </row>
    <row r="1084" spans="2:11">
      <c r="B1084" s="116"/>
      <c r="D1084" s="116"/>
      <c r="E1084" s="121"/>
      <c r="G1084" s="116"/>
      <c r="I1084" s="116"/>
      <c r="J1084" s="116"/>
      <c r="K1084" s="121"/>
    </row>
    <row r="1085" spans="2:11">
      <c r="B1085" s="116"/>
      <c r="D1085" s="116"/>
      <c r="E1085" s="121"/>
      <c r="G1085" s="116"/>
      <c r="I1085" s="116"/>
      <c r="J1085" s="116"/>
      <c r="K1085" s="121"/>
    </row>
    <row r="1086" spans="2:11">
      <c r="B1086" s="116"/>
      <c r="D1086" s="116"/>
      <c r="E1086" s="121"/>
      <c r="G1086" s="116"/>
      <c r="I1086" s="116"/>
      <c r="J1086" s="116"/>
      <c r="K1086" s="121"/>
    </row>
    <row r="1087" spans="2:11">
      <c r="B1087" s="116"/>
      <c r="D1087" s="116"/>
      <c r="E1087" s="121"/>
      <c r="G1087" s="116"/>
      <c r="I1087" s="116"/>
      <c r="J1087" s="116"/>
      <c r="K1087" s="121"/>
    </row>
    <row r="1088" spans="2:11">
      <c r="B1088" s="116"/>
      <c r="D1088" s="116"/>
      <c r="E1088" s="121"/>
      <c r="G1088" s="116"/>
      <c r="I1088" s="116"/>
      <c r="J1088" s="116"/>
      <c r="K1088" s="121"/>
    </row>
    <row r="1089" spans="2:11">
      <c r="B1089" s="116"/>
      <c r="D1089" s="116"/>
      <c r="E1089" s="121"/>
      <c r="G1089" s="116"/>
      <c r="I1089" s="116"/>
      <c r="J1089" s="116"/>
      <c r="K1089" s="121"/>
    </row>
    <row r="1090" spans="2:11">
      <c r="B1090" s="116"/>
      <c r="D1090" s="116"/>
      <c r="E1090" s="121"/>
      <c r="G1090" s="116"/>
      <c r="I1090" s="116"/>
      <c r="J1090" s="116"/>
      <c r="K1090" s="121"/>
    </row>
    <row r="1091" spans="2:11">
      <c r="B1091" s="116"/>
      <c r="D1091" s="116"/>
      <c r="E1091" s="121"/>
      <c r="G1091" s="116"/>
      <c r="I1091" s="116"/>
      <c r="J1091" s="116"/>
      <c r="K1091" s="121"/>
    </row>
    <row r="1092" spans="2:11">
      <c r="B1092" s="116"/>
      <c r="D1092" s="116"/>
      <c r="E1092" s="121"/>
      <c r="G1092" s="116"/>
      <c r="I1092" s="116"/>
      <c r="J1092" s="116"/>
      <c r="K1092" s="121"/>
    </row>
    <row r="1093" spans="2:11">
      <c r="B1093" s="116"/>
      <c r="D1093" s="116"/>
      <c r="E1093" s="121"/>
      <c r="G1093" s="116"/>
      <c r="I1093" s="116"/>
      <c r="J1093" s="116"/>
      <c r="K1093" s="121"/>
    </row>
    <row r="1094" spans="2:11">
      <c r="B1094" s="116"/>
      <c r="D1094" s="116"/>
      <c r="E1094" s="121"/>
      <c r="G1094" s="116"/>
      <c r="I1094" s="116"/>
      <c r="J1094" s="116"/>
      <c r="K1094" s="121"/>
    </row>
    <row r="1095" spans="2:11">
      <c r="B1095" s="116"/>
      <c r="D1095" s="116"/>
      <c r="E1095" s="121"/>
      <c r="G1095" s="116"/>
      <c r="I1095" s="116"/>
      <c r="J1095" s="116"/>
      <c r="K1095" s="121"/>
    </row>
    <row r="1096" spans="2:11">
      <c r="B1096" s="116"/>
      <c r="D1096" s="116"/>
      <c r="E1096" s="121"/>
      <c r="G1096" s="116"/>
      <c r="I1096" s="116"/>
      <c r="J1096" s="116"/>
      <c r="K1096" s="121"/>
    </row>
    <row r="1097" spans="2:11">
      <c r="B1097" s="116"/>
      <c r="D1097" s="116"/>
      <c r="E1097" s="121"/>
      <c r="G1097" s="116"/>
      <c r="I1097" s="116"/>
      <c r="J1097" s="116"/>
      <c r="K1097" s="121"/>
    </row>
    <row r="1098" spans="2:11">
      <c r="B1098" s="116"/>
      <c r="D1098" s="116"/>
      <c r="E1098" s="121"/>
      <c r="G1098" s="116"/>
      <c r="I1098" s="116"/>
      <c r="J1098" s="116"/>
      <c r="K1098" s="121"/>
    </row>
    <row r="1099" spans="2:11">
      <c r="B1099" s="116"/>
      <c r="D1099" s="116"/>
      <c r="E1099" s="121"/>
      <c r="G1099" s="116"/>
      <c r="I1099" s="116"/>
      <c r="J1099" s="116"/>
      <c r="K1099" s="121"/>
    </row>
    <row r="1100" spans="2:11">
      <c r="B1100" s="116"/>
      <c r="D1100" s="116"/>
      <c r="E1100" s="121"/>
      <c r="G1100" s="116"/>
      <c r="I1100" s="116"/>
      <c r="J1100" s="116"/>
      <c r="K1100" s="121"/>
    </row>
    <row r="1101" spans="2:11">
      <c r="B1101" s="116"/>
      <c r="D1101" s="116"/>
      <c r="E1101" s="121"/>
      <c r="G1101" s="116"/>
      <c r="I1101" s="116"/>
      <c r="J1101" s="116"/>
      <c r="K1101" s="121"/>
    </row>
    <row r="1102" spans="2:11">
      <c r="B1102" s="116"/>
      <c r="D1102" s="116"/>
      <c r="E1102" s="121"/>
      <c r="G1102" s="116"/>
      <c r="I1102" s="116"/>
      <c r="J1102" s="116"/>
      <c r="K1102" s="121"/>
    </row>
    <row r="1103" spans="2:11">
      <c r="B1103" s="116"/>
      <c r="D1103" s="116"/>
      <c r="E1103" s="121"/>
      <c r="G1103" s="116"/>
      <c r="I1103" s="116"/>
      <c r="J1103" s="116"/>
      <c r="K1103" s="121"/>
    </row>
    <row r="1104" spans="2:11">
      <c r="B1104" s="116"/>
      <c r="D1104" s="116"/>
      <c r="E1104" s="121"/>
      <c r="G1104" s="116"/>
      <c r="I1104" s="116"/>
      <c r="J1104" s="116"/>
      <c r="K1104" s="121"/>
    </row>
    <row r="1105" spans="2:11">
      <c r="B1105" s="116"/>
      <c r="D1105" s="116"/>
      <c r="E1105" s="121"/>
      <c r="G1105" s="116"/>
      <c r="I1105" s="116"/>
      <c r="J1105" s="116"/>
      <c r="K1105" s="121"/>
    </row>
    <row r="1106" spans="2:11">
      <c r="B1106" s="116"/>
      <c r="D1106" s="116"/>
      <c r="E1106" s="121"/>
      <c r="G1106" s="116"/>
      <c r="I1106" s="116"/>
      <c r="J1106" s="116"/>
      <c r="K1106" s="121"/>
    </row>
    <row r="1107" spans="2:11">
      <c r="B1107" s="116"/>
      <c r="D1107" s="116"/>
      <c r="E1107" s="121"/>
      <c r="G1107" s="116"/>
      <c r="I1107" s="116"/>
      <c r="J1107" s="116"/>
      <c r="K1107" s="121"/>
    </row>
    <row r="1108" spans="2:11">
      <c r="B1108" s="116"/>
      <c r="D1108" s="116"/>
      <c r="E1108" s="121"/>
      <c r="G1108" s="116"/>
      <c r="I1108" s="116"/>
      <c r="J1108" s="116"/>
      <c r="K1108" s="121"/>
    </row>
    <row r="1109" spans="2:11">
      <c r="B1109" s="116"/>
      <c r="D1109" s="116"/>
      <c r="E1109" s="121"/>
      <c r="G1109" s="116"/>
      <c r="I1109" s="116"/>
      <c r="J1109" s="116"/>
      <c r="K1109" s="121"/>
    </row>
    <row r="1110" spans="2:11">
      <c r="B1110" s="116"/>
      <c r="D1110" s="116"/>
      <c r="E1110" s="121"/>
      <c r="G1110" s="116"/>
      <c r="I1110" s="116"/>
      <c r="J1110" s="116"/>
      <c r="K1110" s="121"/>
    </row>
    <row r="1111" spans="2:11">
      <c r="B1111" s="116"/>
      <c r="D1111" s="116"/>
      <c r="E1111" s="121"/>
      <c r="G1111" s="116"/>
      <c r="I1111" s="116"/>
      <c r="J1111" s="116"/>
      <c r="K1111" s="121"/>
    </row>
  </sheetData>
  <mergeCells count="3">
    <mergeCell ref="B3:D3"/>
    <mergeCell ref="E3:G3"/>
    <mergeCell ref="H3:J3"/>
  </mergeCells>
  <phoneticPr fontId="3" type="noConversion"/>
  <pageMargins left="0.75" right="0.75" top="1" bottom="1" header="0.5" footer="0.5"/>
  <headerFooter alignWithMargins="0"/>
  <legacyDrawing r:id="rId1"/>
  <oleObjects>
    <oleObject progId="Word.Document.8" shapeId="3179" r:id="rId2"/>
  </oleObjects>
</worksheet>
</file>

<file path=xl/worksheets/sheet4.xml><?xml version="1.0" encoding="utf-8"?>
<worksheet xmlns="http://schemas.openxmlformats.org/spreadsheetml/2006/main" xmlns:r="http://schemas.openxmlformats.org/officeDocument/2006/relationships">
  <sheetPr codeName="Sheet4"/>
  <dimension ref="A1:BH119"/>
  <sheetViews>
    <sheetView zoomScale="80" zoomScaleNormal="80" workbookViewId="0">
      <selection activeCell="T18" sqref="T18:T119"/>
    </sheetView>
  </sheetViews>
  <sheetFormatPr defaultRowHeight="12.75"/>
  <cols>
    <col min="1" max="1" width="9.28515625" style="98" customWidth="1"/>
    <col min="2" max="2" width="10.28515625" style="98" customWidth="1"/>
    <col min="3" max="3" width="9.85546875" style="98" customWidth="1"/>
    <col min="4" max="4" width="10" style="98" bestFit="1" customWidth="1"/>
    <col min="5" max="5" width="9" style="98" customWidth="1"/>
    <col min="6" max="6" width="9.85546875" style="98" customWidth="1"/>
    <col min="7" max="7" width="10.28515625" style="98" customWidth="1"/>
    <col min="8" max="17" width="8.28515625" style="98" customWidth="1"/>
    <col min="18" max="18" width="1.5703125" style="98" customWidth="1"/>
    <col min="19" max="20" width="8.28515625" style="98" customWidth="1"/>
    <col min="21" max="21" width="1.7109375" style="98" customWidth="1"/>
    <col min="22" max="106" width="8.28515625" style="98" customWidth="1"/>
    <col min="107" max="16384" width="9.140625" style="98"/>
  </cols>
  <sheetData>
    <row r="1" spans="1:23" ht="15.75">
      <c r="A1" s="118" t="s">
        <v>208</v>
      </c>
      <c r="C1" s="117"/>
    </row>
    <row r="2" spans="1:23">
      <c r="C2" s="117"/>
    </row>
    <row r="3" spans="1:23">
      <c r="A3" s="137" t="s">
        <v>146</v>
      </c>
      <c r="B3" s="119"/>
      <c r="C3" s="117">
        <f>ProductionYears</f>
        <v>25</v>
      </c>
      <c r="D3" s="168" t="s">
        <v>15</v>
      </c>
    </row>
    <row r="4" spans="1:23" ht="14.25">
      <c r="A4" s="137" t="s">
        <v>211</v>
      </c>
      <c r="B4" s="119"/>
      <c r="C4" s="117">
        <f>Scenarios!E26</f>
        <v>426.2765019777334</v>
      </c>
      <c r="D4" s="98" t="s">
        <v>203</v>
      </c>
      <c r="L4" s="129"/>
      <c r="M4" s="130"/>
      <c r="N4" s="131"/>
      <c r="O4" s="131"/>
    </row>
    <row r="5" spans="1:23" ht="14.25">
      <c r="A5" s="137" t="s">
        <v>212</v>
      </c>
      <c r="B5" s="119"/>
      <c r="C5" s="117">
        <f>Scenarios!F26</f>
        <v>348.59907461197861</v>
      </c>
      <c r="D5" s="98" t="s">
        <v>203</v>
      </c>
      <c r="K5" s="117"/>
      <c r="L5" s="133"/>
      <c r="M5" s="133"/>
      <c r="N5" s="133"/>
      <c r="O5" s="133"/>
      <c r="P5" s="133"/>
      <c r="Q5" s="133"/>
      <c r="R5" s="133"/>
      <c r="S5" s="133"/>
    </row>
    <row r="6" spans="1:23" ht="14.25">
      <c r="A6" s="142" t="s">
        <v>202</v>
      </c>
      <c r="C6" s="128">
        <f>Scenarios!G26</f>
        <v>4.0938823698565319</v>
      </c>
      <c r="D6" s="98" t="s">
        <v>204</v>
      </c>
      <c r="F6" s="132"/>
      <c r="G6" s="127"/>
      <c r="H6" s="134"/>
      <c r="I6" s="127"/>
    </row>
    <row r="7" spans="1:23" ht="14.25">
      <c r="A7" s="137" t="s">
        <v>206</v>
      </c>
      <c r="C7" s="117">
        <f>C5*C12/C10</f>
        <v>55.775851937916585</v>
      </c>
      <c r="D7" s="98" t="s">
        <v>204</v>
      </c>
      <c r="F7" s="132"/>
      <c r="G7" s="127"/>
      <c r="H7" s="134"/>
      <c r="I7" s="127"/>
    </row>
    <row r="8" spans="1:23" ht="14.25">
      <c r="A8" s="137" t="s">
        <v>207</v>
      </c>
      <c r="C8" s="117">
        <f>C5*(1-C12)/C11</f>
        <v>3.4859907461197857</v>
      </c>
      <c r="D8" s="98" t="s">
        <v>204</v>
      </c>
      <c r="F8" s="132"/>
      <c r="G8" s="127"/>
      <c r="H8" s="134"/>
      <c r="I8" s="127"/>
    </row>
    <row r="9" spans="1:23" ht="14.25">
      <c r="A9" s="137" t="s">
        <v>209</v>
      </c>
      <c r="C9" s="117">
        <f>-(C4+C5)*PercentRecovery/RecoveryYears</f>
        <v>-12.914592943161866</v>
      </c>
      <c r="D9" s="98" t="s">
        <v>204</v>
      </c>
      <c r="F9" s="132"/>
      <c r="G9" s="127"/>
      <c r="H9" s="134"/>
      <c r="I9" s="127"/>
    </row>
    <row r="10" spans="1:23">
      <c r="A10" s="167" t="s">
        <v>229</v>
      </c>
      <c r="B10" s="119"/>
      <c r="C10" s="117">
        <f>Scenarios!B15</f>
        <v>5</v>
      </c>
      <c r="D10" s="168" t="s">
        <v>15</v>
      </c>
      <c r="E10" s="135" t="s">
        <v>210</v>
      </c>
      <c r="K10" s="133"/>
    </row>
    <row r="11" spans="1:23">
      <c r="A11" s="137" t="s">
        <v>213</v>
      </c>
      <c r="B11" s="119"/>
      <c r="C11" s="117">
        <f>Scenarios!B16</f>
        <v>20</v>
      </c>
      <c r="D11" s="168" t="s">
        <v>15</v>
      </c>
      <c r="E11" s="135"/>
    </row>
    <row r="12" spans="1:23">
      <c r="A12" s="137" t="s">
        <v>128</v>
      </c>
      <c r="B12" s="119"/>
      <c r="C12" s="136">
        <f>Scenarios!B17</f>
        <v>0.8</v>
      </c>
    </row>
    <row r="13" spans="1:23">
      <c r="A13" s="137" t="s">
        <v>143</v>
      </c>
      <c r="B13" s="119"/>
      <c r="C13" s="117">
        <f>Scenarios!B18</f>
        <v>30</v>
      </c>
      <c r="D13" s="168" t="s">
        <v>15</v>
      </c>
      <c r="E13" s="135" t="s">
        <v>150</v>
      </c>
    </row>
    <row r="14" spans="1:23">
      <c r="A14" s="137" t="s">
        <v>144</v>
      </c>
      <c r="B14" s="119"/>
      <c r="C14" s="115">
        <f>Scenarios!B19</f>
        <v>0.5</v>
      </c>
      <c r="E14" s="135"/>
    </row>
    <row r="15" spans="1:23">
      <c r="C15" s="117"/>
      <c r="E15" s="135"/>
      <c r="O15" s="237" t="s">
        <v>86</v>
      </c>
      <c r="P15" s="237"/>
      <c r="Q15" s="237"/>
      <c r="R15" s="237"/>
      <c r="S15" s="237"/>
      <c r="T15" s="237"/>
      <c r="U15" s="237"/>
      <c r="V15" s="237"/>
      <c r="W15" s="237"/>
    </row>
    <row r="16" spans="1:23">
      <c r="O16" s="236" t="s">
        <v>223</v>
      </c>
      <c r="P16" s="236"/>
      <c r="Q16" s="236"/>
      <c r="S16" s="236" t="s">
        <v>2</v>
      </c>
      <c r="T16" s="236"/>
      <c r="V16" s="236" t="s">
        <v>109</v>
      </c>
      <c r="W16" s="236"/>
    </row>
    <row r="17" spans="1:60" ht="26.25">
      <c r="A17" s="103" t="s">
        <v>192</v>
      </c>
      <c r="B17" s="103" t="s">
        <v>191</v>
      </c>
      <c r="C17" s="103" t="s">
        <v>129</v>
      </c>
      <c r="D17" s="103" t="s">
        <v>193</v>
      </c>
      <c r="E17" s="103" t="s">
        <v>194</v>
      </c>
      <c r="F17" s="103" t="s">
        <v>195</v>
      </c>
      <c r="G17" s="103" t="s">
        <v>196</v>
      </c>
      <c r="H17" s="103" t="s">
        <v>182</v>
      </c>
      <c r="I17" s="103" t="s">
        <v>177</v>
      </c>
      <c r="J17" s="103" t="s">
        <v>178</v>
      </c>
      <c r="K17" s="103" t="s">
        <v>179</v>
      </c>
      <c r="L17" s="103" t="s">
        <v>180</v>
      </c>
      <c r="M17" s="103" t="s">
        <v>205</v>
      </c>
      <c r="O17" s="154" t="s">
        <v>0</v>
      </c>
      <c r="P17" s="154" t="s">
        <v>226</v>
      </c>
      <c r="Q17" s="154" t="s">
        <v>225</v>
      </c>
      <c r="S17" s="154" t="s">
        <v>226</v>
      </c>
      <c r="T17" s="154" t="s">
        <v>225</v>
      </c>
      <c r="V17" s="154" t="s">
        <v>226</v>
      </c>
      <c r="W17" s="154" t="s">
        <v>225</v>
      </c>
    </row>
    <row r="18" spans="1:60">
      <c r="A18" s="138">
        <v>2010</v>
      </c>
      <c r="B18" s="108">
        <v>0</v>
      </c>
      <c r="C18" s="108">
        <f t="shared" ref="C18:C49" si="0">IF($B18&gt;=ProductionYears, 0, ProcessEmissions)</f>
        <v>60</v>
      </c>
      <c r="D18" s="139">
        <f>$C$4</f>
        <v>426.2765019777334</v>
      </c>
      <c r="E18" s="108">
        <f>IF($B18&lt;C10,$C$7,$C$8)</f>
        <v>55.775851937916585</v>
      </c>
      <c r="F18" s="108">
        <f t="shared" ref="F18:F49" si="1">IF(AND($C$13&gt;0, $B18&lt;ProductionYears),$C$6,0)</f>
        <v>4.0938823698565319</v>
      </c>
      <c r="G18" s="108">
        <f t="shared" ref="G18:G49" si="2">IF($B18&gt;=ProductionYears+RecoveryYears,0,IF($B18&gt;=ProductionYears,$C$9,0))</f>
        <v>0</v>
      </c>
      <c r="H18" s="140">
        <f>SUM(C18:G18)</f>
        <v>546.14623628550646</v>
      </c>
      <c r="I18" s="108">
        <f>A_0*H18</f>
        <v>118.5137332739549</v>
      </c>
      <c r="J18" s="108">
        <f>A_1*H18</f>
        <v>141.45187519794618</v>
      </c>
      <c r="K18" s="108">
        <f>A_2*H18</f>
        <v>184.59742786450119</v>
      </c>
      <c r="L18" s="108">
        <f>A_3*H18</f>
        <v>101.5831999491042</v>
      </c>
      <c r="M18" s="140">
        <f t="shared" ref="M18:M49" si="3">SUM(I18:L18)</f>
        <v>546.14623628550646</v>
      </c>
      <c r="O18" s="108">
        <f t="shared" ref="O18:O49" si="4">SUM(C18:G18)+IF(B18&gt;=ProductionYears,ProcessEmissions)-G18</f>
        <v>546.14623628550646</v>
      </c>
      <c r="P18" s="108">
        <f>SUM($O$18:$O18)</f>
        <v>546.14623628550646</v>
      </c>
      <c r="Q18" s="108">
        <f>NPV(DiscountRate,$P$18:$P18)</f>
        <v>532.82559637610393</v>
      </c>
      <c r="S18" s="114">
        <f>GasolineGWI</f>
        <v>94</v>
      </c>
      <c r="T18" s="108">
        <f t="shared" ref="T18:T49" si="5">-PV(DiscountRate,$B18+1,GasolineGWI, 0)</f>
        <v>91.707317073170401</v>
      </c>
      <c r="V18" s="109">
        <f>(S18-P18)/S18</f>
        <v>-4.810066343462835</v>
      </c>
      <c r="W18" s="109">
        <f>(T18-Q18)/T18</f>
        <v>-4.8100663434628563</v>
      </c>
      <c r="BD18" s="141"/>
      <c r="BE18" s="141"/>
      <c r="BF18" s="141"/>
      <c r="BG18" s="141"/>
      <c r="BH18" s="141"/>
    </row>
    <row r="19" spans="1:60">
      <c r="A19" s="138">
        <f t="shared" ref="A19:A50" si="6">A18+1</f>
        <v>2011</v>
      </c>
      <c r="B19" s="108">
        <f t="shared" ref="B19:B50" si="7">B18+1</f>
        <v>1</v>
      </c>
      <c r="C19" s="108">
        <f t="shared" si="0"/>
        <v>60</v>
      </c>
      <c r="D19" s="108">
        <v>0</v>
      </c>
      <c r="E19" s="108">
        <f>IF($B19&lt;$C$10,$C$7,IF($B19&lt;$C$10+$C$11,$C$8,0))</f>
        <v>55.775851937916585</v>
      </c>
      <c r="F19" s="108">
        <f t="shared" si="1"/>
        <v>4.0938823698565319</v>
      </c>
      <c r="G19" s="108">
        <f t="shared" si="2"/>
        <v>0</v>
      </c>
      <c r="H19" s="140">
        <f t="shared" ref="H19:H82" si="8">SUM(C19:G19)</f>
        <v>119.86973430777311</v>
      </c>
      <c r="I19" s="108">
        <f t="shared" ref="I19:I50" si="9">MAX(0,A_0*H19+I18)</f>
        <v>144.52546561874166</v>
      </c>
      <c r="J19" s="108">
        <f t="shared" ref="J19:J50" si="10">MAX(0,A_1*H19 + J18*EXP(-1/T_1))</f>
        <v>171.68238389215688</v>
      </c>
      <c r="K19" s="108">
        <f>MAX(0, A_2*H19 + K18*EXP(-1/T_2))</f>
        <v>215.40515383190481</v>
      </c>
      <c r="L19" s="108">
        <f>MAX(0, A_3*H19 + L18*EXP(-1/T_3))</f>
        <v>66.011494227970147</v>
      </c>
      <c r="M19" s="140">
        <f t="shared" si="3"/>
        <v>597.62449757077354</v>
      </c>
      <c r="O19" s="108">
        <f t="shared" si="4"/>
        <v>119.86973430777311</v>
      </c>
      <c r="P19" s="108">
        <f>SUM($O$18:$O19)</f>
        <v>666.01597059327958</v>
      </c>
      <c r="Q19" s="108">
        <f>NPV(DiscountRate,$O$18:$O19)</f>
        <v>646.91933515804146</v>
      </c>
      <c r="S19" s="114">
        <f t="shared" ref="S19:S50" si="11">S18+GasolineGWI</f>
        <v>188</v>
      </c>
      <c r="T19" s="108">
        <f t="shared" si="5"/>
        <v>181.17787031528826</v>
      </c>
      <c r="V19" s="109">
        <f t="shared" ref="V19:V26" si="12">(S19-P19)/S19</f>
        <v>-2.5426381414536148</v>
      </c>
      <c r="W19" s="109">
        <f t="shared" ref="W19:W26" si="13">(T19-Q19)/T19</f>
        <v>-2.5706310822191663</v>
      </c>
    </row>
    <row r="20" spans="1:60">
      <c r="A20" s="138">
        <f t="shared" si="6"/>
        <v>2012</v>
      </c>
      <c r="B20" s="108">
        <f t="shared" si="7"/>
        <v>2</v>
      </c>
      <c r="C20" s="108">
        <f t="shared" si="0"/>
        <v>60</v>
      </c>
      <c r="D20" s="108">
        <v>0</v>
      </c>
      <c r="E20" s="108">
        <f t="shared" ref="E20:E83" si="14">IF($B20&lt;$C$10,$C$7,IF($B20&lt;$C$10+$C$11,$C$8,0))</f>
        <v>55.775851937916585</v>
      </c>
      <c r="F20" s="108">
        <f t="shared" si="1"/>
        <v>4.0938823698565319</v>
      </c>
      <c r="G20" s="108">
        <f t="shared" si="2"/>
        <v>0</v>
      </c>
      <c r="H20" s="140">
        <f t="shared" si="8"/>
        <v>119.86973430777311</v>
      </c>
      <c r="I20" s="108">
        <f t="shared" si="9"/>
        <v>170.53719796352843</v>
      </c>
      <c r="J20" s="108">
        <f t="shared" si="10"/>
        <v>201.73855334376523</v>
      </c>
      <c r="K20" s="108">
        <f t="shared" ref="K20:K83" si="15">MAX(0, A_2*H20 + K19*EXP(-1/T_2))</f>
        <v>244.59265718147432</v>
      </c>
      <c r="L20" s="108">
        <f t="shared" ref="L20:L83" si="16">MAX(0, A_3*H20 + L19*EXP(-1/T_3))</f>
        <v>50.703423033847336</v>
      </c>
      <c r="M20" s="140">
        <f t="shared" si="3"/>
        <v>667.5718315226153</v>
      </c>
      <c r="O20" s="108">
        <f t="shared" si="4"/>
        <v>119.86973430777311</v>
      </c>
      <c r="P20" s="108">
        <f>SUM($O$18:$O20)</f>
        <v>785.88570490105269</v>
      </c>
      <c r="Q20" s="108">
        <f>NPV(DiscountRate,$O$18:$O20)</f>
        <v>758.2302998233464</v>
      </c>
      <c r="S20" s="114">
        <f t="shared" si="11"/>
        <v>282</v>
      </c>
      <c r="T20" s="108">
        <f t="shared" si="5"/>
        <v>268.46621494174451</v>
      </c>
      <c r="V20" s="109">
        <f t="shared" si="12"/>
        <v>-1.7868287407838748</v>
      </c>
      <c r="W20" s="109">
        <f t="shared" si="13"/>
        <v>-1.8243043542289954</v>
      </c>
    </row>
    <row r="21" spans="1:60">
      <c r="A21" s="138">
        <f t="shared" si="6"/>
        <v>2013</v>
      </c>
      <c r="B21" s="108">
        <f t="shared" si="7"/>
        <v>3</v>
      </c>
      <c r="C21" s="108">
        <f t="shared" si="0"/>
        <v>60</v>
      </c>
      <c r="D21" s="108">
        <v>0</v>
      </c>
      <c r="E21" s="108">
        <f t="shared" si="14"/>
        <v>55.775851937916585</v>
      </c>
      <c r="F21" s="108">
        <f t="shared" si="1"/>
        <v>4.0938823698565319</v>
      </c>
      <c r="G21" s="108">
        <f t="shared" si="2"/>
        <v>0</v>
      </c>
      <c r="H21" s="140">
        <f t="shared" si="8"/>
        <v>119.86973430777311</v>
      </c>
      <c r="I21" s="108">
        <f t="shared" si="9"/>
        <v>196.54893030831519</v>
      </c>
      <c r="J21" s="108">
        <f t="shared" si="10"/>
        <v>231.62138896660065</v>
      </c>
      <c r="K21" s="108">
        <f t="shared" si="15"/>
        <v>272.24514775096657</v>
      </c>
      <c r="L21" s="108">
        <f t="shared" si="16"/>
        <v>44.115685984591728</v>
      </c>
      <c r="M21" s="140">
        <f t="shared" si="3"/>
        <v>744.53115301047421</v>
      </c>
      <c r="O21" s="108">
        <f t="shared" si="4"/>
        <v>119.86973430777311</v>
      </c>
      <c r="P21" s="108">
        <f>SUM($O$18:$O21)</f>
        <v>905.75543920882581</v>
      </c>
      <c r="Q21" s="108">
        <f>NPV(DiscountRate,$O$18:$O21)</f>
        <v>866.82636291144877</v>
      </c>
      <c r="S21" s="114">
        <f t="shared" si="11"/>
        <v>376</v>
      </c>
      <c r="T21" s="108">
        <f t="shared" si="5"/>
        <v>353.62557555292113</v>
      </c>
      <c r="V21" s="109">
        <f t="shared" si="12"/>
        <v>-1.4089240404490049</v>
      </c>
      <c r="W21" s="109">
        <f t="shared" si="13"/>
        <v>-1.4512547248770062</v>
      </c>
    </row>
    <row r="22" spans="1:60">
      <c r="A22" s="138">
        <f t="shared" si="6"/>
        <v>2014</v>
      </c>
      <c r="B22" s="108">
        <f t="shared" si="7"/>
        <v>4</v>
      </c>
      <c r="C22" s="108">
        <f t="shared" si="0"/>
        <v>60</v>
      </c>
      <c r="D22" s="108">
        <v>0</v>
      </c>
      <c r="E22" s="108">
        <f t="shared" si="14"/>
        <v>55.775851937916585</v>
      </c>
      <c r="F22" s="108">
        <f t="shared" si="1"/>
        <v>4.0938823698565319</v>
      </c>
      <c r="G22" s="108">
        <f t="shared" si="2"/>
        <v>0</v>
      </c>
      <c r="H22" s="140">
        <f t="shared" si="8"/>
        <v>119.86973430777311</v>
      </c>
      <c r="I22" s="108">
        <f t="shared" si="9"/>
        <v>222.56066265310196</v>
      </c>
      <c r="J22" s="108">
        <f t="shared" si="10"/>
        <v>261.33189037627437</v>
      </c>
      <c r="K22" s="108">
        <f t="shared" si="15"/>
        <v>298.44335407021782</v>
      </c>
      <c r="L22" s="108">
        <f t="shared" si="16"/>
        <v>41.280692674213292</v>
      </c>
      <c r="M22" s="140">
        <f t="shared" si="3"/>
        <v>823.61659977380737</v>
      </c>
      <c r="O22" s="108">
        <f t="shared" si="4"/>
        <v>119.86973430777311</v>
      </c>
      <c r="P22" s="108">
        <f>SUM($O$18:$O22)</f>
        <v>1025.6251735165988</v>
      </c>
      <c r="Q22" s="108">
        <f>NPV(DiscountRate,$O$18:$O22)</f>
        <v>972.77374153398773</v>
      </c>
      <c r="S22" s="114">
        <f t="shared" si="11"/>
        <v>470</v>
      </c>
      <c r="T22" s="108">
        <f t="shared" si="5"/>
        <v>436.70787858821541</v>
      </c>
      <c r="V22" s="109">
        <f t="shared" si="12"/>
        <v>-1.1821812202480826</v>
      </c>
      <c r="W22" s="109">
        <f t="shared" si="13"/>
        <v>-1.2275158961609769</v>
      </c>
    </row>
    <row r="23" spans="1:60">
      <c r="A23" s="138">
        <f t="shared" si="6"/>
        <v>2015</v>
      </c>
      <c r="B23" s="108">
        <f t="shared" si="7"/>
        <v>5</v>
      </c>
      <c r="C23" s="108">
        <f t="shared" si="0"/>
        <v>60</v>
      </c>
      <c r="D23" s="108">
        <v>0</v>
      </c>
      <c r="E23" s="108">
        <f t="shared" si="14"/>
        <v>3.4859907461197857</v>
      </c>
      <c r="F23" s="108">
        <f t="shared" si="1"/>
        <v>4.0938823698565319</v>
      </c>
      <c r="G23" s="108">
        <f t="shared" si="2"/>
        <v>0</v>
      </c>
      <c r="H23" s="140">
        <f t="shared" si="8"/>
        <v>67.579873115976312</v>
      </c>
      <c r="I23" s="108">
        <f t="shared" si="9"/>
        <v>237.22549511926883</v>
      </c>
      <c r="J23" s="108">
        <f t="shared" si="10"/>
        <v>277.32797737494229</v>
      </c>
      <c r="K23" s="108">
        <f t="shared" si="15"/>
        <v>305.58978595674512</v>
      </c>
      <c r="L23" s="108">
        <f t="shared" si="16"/>
        <v>30.334756046318546</v>
      </c>
      <c r="M23" s="140">
        <f t="shared" si="3"/>
        <v>850.47801449727467</v>
      </c>
      <c r="O23" s="108">
        <f t="shared" si="4"/>
        <v>67.579873115976312</v>
      </c>
      <c r="P23" s="108">
        <f>SUM($O$18:$O23)</f>
        <v>1093.2050466325752</v>
      </c>
      <c r="Q23" s="108">
        <f>NPV(DiscountRate,$O$18:$O23)</f>
        <v>1031.0476543239026</v>
      </c>
      <c r="S23" s="114">
        <f t="shared" si="11"/>
        <v>564</v>
      </c>
      <c r="T23" s="108">
        <f t="shared" si="5"/>
        <v>517.76378398850261</v>
      </c>
      <c r="V23" s="109">
        <f t="shared" si="12"/>
        <v>-0.93830682027052337</v>
      </c>
      <c r="W23" s="109">
        <f t="shared" si="13"/>
        <v>-0.99134757240339921</v>
      </c>
    </row>
    <row r="24" spans="1:60">
      <c r="A24" s="138">
        <f t="shared" si="6"/>
        <v>2016</v>
      </c>
      <c r="B24" s="108">
        <f t="shared" si="7"/>
        <v>6</v>
      </c>
      <c r="C24" s="108">
        <f t="shared" si="0"/>
        <v>60</v>
      </c>
      <c r="D24" s="108">
        <v>0</v>
      </c>
      <c r="E24" s="108">
        <f t="shared" si="14"/>
        <v>3.4859907461197857</v>
      </c>
      <c r="F24" s="108">
        <f t="shared" si="1"/>
        <v>4.0938823698565319</v>
      </c>
      <c r="G24" s="108">
        <f t="shared" si="2"/>
        <v>0</v>
      </c>
      <c r="H24" s="140">
        <f t="shared" si="8"/>
        <v>67.579873115976312</v>
      </c>
      <c r="I24" s="108">
        <f t="shared" si="9"/>
        <v>251.8903275854357</v>
      </c>
      <c r="J24" s="108">
        <f t="shared" si="10"/>
        <v>293.23181499335141</v>
      </c>
      <c r="K24" s="108">
        <f t="shared" si="15"/>
        <v>312.36037671200506</v>
      </c>
      <c r="L24" s="108">
        <f t="shared" si="16"/>
        <v>25.62423756571004</v>
      </c>
      <c r="M24" s="140">
        <f t="shared" si="3"/>
        <v>883.10675685650222</v>
      </c>
      <c r="O24" s="108">
        <f t="shared" si="4"/>
        <v>67.579873115976312</v>
      </c>
      <c r="P24" s="108">
        <f>SUM($O$18:$O24)</f>
        <v>1160.7849197485516</v>
      </c>
      <c r="Q24" s="108">
        <f>NPV(DiscountRate,$O$18:$O24)</f>
        <v>1087.9002521677221</v>
      </c>
      <c r="S24" s="114">
        <f t="shared" si="11"/>
        <v>658</v>
      </c>
      <c r="T24" s="108">
        <f t="shared" si="5"/>
        <v>596.84271608634424</v>
      </c>
      <c r="V24" s="109">
        <f t="shared" si="12"/>
        <v>-0.76411082028655264</v>
      </c>
      <c r="W24" s="109">
        <f t="shared" si="13"/>
        <v>-0.82275869813972458</v>
      </c>
    </row>
    <row r="25" spans="1:60">
      <c r="A25" s="138">
        <f t="shared" si="6"/>
        <v>2017</v>
      </c>
      <c r="B25" s="108">
        <f t="shared" si="7"/>
        <v>7</v>
      </c>
      <c r="C25" s="108">
        <f t="shared" si="0"/>
        <v>60</v>
      </c>
      <c r="D25" s="108">
        <v>0</v>
      </c>
      <c r="E25" s="108">
        <f t="shared" si="14"/>
        <v>3.4859907461197857</v>
      </c>
      <c r="F25" s="108">
        <f t="shared" si="1"/>
        <v>4.0938823698565319</v>
      </c>
      <c r="G25" s="108">
        <f t="shared" si="2"/>
        <v>0</v>
      </c>
      <c r="H25" s="140">
        <f t="shared" si="8"/>
        <v>67.579873115976312</v>
      </c>
      <c r="I25" s="108">
        <f t="shared" si="9"/>
        <v>266.55516005160257</v>
      </c>
      <c r="J25" s="108">
        <f t="shared" si="10"/>
        <v>309.04393523336938</v>
      </c>
      <c r="K25" s="108">
        <f t="shared" si="15"/>
        <v>318.77489236164456</v>
      </c>
      <c r="L25" s="108">
        <f t="shared" si="16"/>
        <v>23.597094059360145</v>
      </c>
      <c r="M25" s="140">
        <f t="shared" si="3"/>
        <v>917.97108170597676</v>
      </c>
      <c r="O25" s="108">
        <f t="shared" si="4"/>
        <v>67.579873115976312</v>
      </c>
      <c r="P25" s="108">
        <f>SUM($O$18:$O25)</f>
        <v>1228.364792864528</v>
      </c>
      <c r="Q25" s="108">
        <f>NPV(DiscountRate,$O$18:$O25)</f>
        <v>1143.3662012836435</v>
      </c>
      <c r="S25" s="114">
        <f t="shared" si="11"/>
        <v>752</v>
      </c>
      <c r="T25" s="108">
        <f t="shared" si="5"/>
        <v>673.99289374277453</v>
      </c>
      <c r="V25" s="109">
        <f t="shared" si="12"/>
        <v>-0.63346382029857451</v>
      </c>
      <c r="W25" s="109">
        <f t="shared" si="13"/>
        <v>-0.69640690858678778</v>
      </c>
    </row>
    <row r="26" spans="1:60">
      <c r="A26" s="138">
        <f t="shared" si="6"/>
        <v>2018</v>
      </c>
      <c r="B26" s="108">
        <f t="shared" si="7"/>
        <v>8</v>
      </c>
      <c r="C26" s="108">
        <f t="shared" si="0"/>
        <v>60</v>
      </c>
      <c r="D26" s="108">
        <v>0</v>
      </c>
      <c r="E26" s="108">
        <f t="shared" si="14"/>
        <v>3.4859907461197857</v>
      </c>
      <c r="F26" s="108">
        <f t="shared" si="1"/>
        <v>4.0938823698565319</v>
      </c>
      <c r="G26" s="108">
        <f t="shared" si="2"/>
        <v>0</v>
      </c>
      <c r="H26" s="140">
        <f t="shared" si="8"/>
        <v>67.579873115976312</v>
      </c>
      <c r="I26" s="108">
        <f t="shared" si="9"/>
        <v>281.21999251776941</v>
      </c>
      <c r="J26" s="108">
        <f t="shared" si="10"/>
        <v>324.76486702881084</v>
      </c>
      <c r="K26" s="108">
        <f t="shared" si="15"/>
        <v>324.85205940759306</v>
      </c>
      <c r="L26" s="108">
        <f t="shared" si="16"/>
        <v>22.724724953442596</v>
      </c>
      <c r="M26" s="140">
        <f t="shared" si="3"/>
        <v>953.56164390761592</v>
      </c>
      <c r="O26" s="108">
        <f t="shared" si="4"/>
        <v>67.579873115976312</v>
      </c>
      <c r="P26" s="108">
        <f>SUM($O$18:$O26)</f>
        <v>1295.9446659805044</v>
      </c>
      <c r="Q26" s="108">
        <f>NPV(DiscountRate,$O$18:$O26)</f>
        <v>1197.4793223723473</v>
      </c>
      <c r="S26" s="114">
        <f t="shared" si="11"/>
        <v>846</v>
      </c>
      <c r="T26" s="108">
        <f t="shared" si="5"/>
        <v>749.26135974904787</v>
      </c>
      <c r="V26" s="109">
        <f t="shared" si="12"/>
        <v>-0.53184948697459145</v>
      </c>
      <c r="W26" s="109">
        <f t="shared" si="13"/>
        <v>-0.59821310253263593</v>
      </c>
    </row>
    <row r="27" spans="1:60">
      <c r="A27" s="138">
        <f t="shared" si="6"/>
        <v>2019</v>
      </c>
      <c r="B27" s="108">
        <f t="shared" si="7"/>
        <v>9</v>
      </c>
      <c r="C27" s="108">
        <f t="shared" si="0"/>
        <v>60</v>
      </c>
      <c r="D27" s="108">
        <v>0</v>
      </c>
      <c r="E27" s="108">
        <f t="shared" si="14"/>
        <v>3.4859907461197857</v>
      </c>
      <c r="F27" s="108">
        <f t="shared" si="1"/>
        <v>4.0938823698565319</v>
      </c>
      <c r="G27" s="108">
        <f t="shared" si="2"/>
        <v>0</v>
      </c>
      <c r="H27" s="140">
        <f t="shared" si="8"/>
        <v>67.579873115976312</v>
      </c>
      <c r="I27" s="108">
        <f t="shared" si="9"/>
        <v>295.88482498393626</v>
      </c>
      <c r="J27" s="108">
        <f t="shared" si="10"/>
        <v>340.39513626313084</v>
      </c>
      <c r="K27" s="108">
        <f t="shared" si="15"/>
        <v>330.60961949811031</v>
      </c>
      <c r="L27" s="108">
        <f t="shared" si="16"/>
        <v>22.349306116751698</v>
      </c>
      <c r="M27" s="140">
        <f t="shared" si="3"/>
        <v>989.23888686192913</v>
      </c>
      <c r="O27" s="108">
        <f t="shared" si="4"/>
        <v>67.579873115976312</v>
      </c>
      <c r="P27" s="108">
        <f>SUM($O$18:$O27)</f>
        <v>1363.5245390964808</v>
      </c>
      <c r="Q27" s="108">
        <f>NPV(DiscountRate,$O$18:$O27)</f>
        <v>1250.2726112393755</v>
      </c>
      <c r="S27" s="114">
        <f t="shared" si="11"/>
        <v>940</v>
      </c>
      <c r="T27" s="108">
        <f t="shared" si="5"/>
        <v>822.69400951126613</v>
      </c>
      <c r="V27" s="109">
        <f t="shared" ref="V27:V90" si="17">(S27-P27)/S27</f>
        <v>-0.45055802031540509</v>
      </c>
      <c r="W27" s="109">
        <f t="shared" ref="W27:W90" si="18">(T27-Q27)/T27</f>
        <v>-0.51972981057941448</v>
      </c>
    </row>
    <row r="28" spans="1:60">
      <c r="A28" s="138">
        <f t="shared" si="6"/>
        <v>2020</v>
      </c>
      <c r="B28" s="108">
        <f t="shared" si="7"/>
        <v>10</v>
      </c>
      <c r="C28" s="108">
        <f t="shared" si="0"/>
        <v>60</v>
      </c>
      <c r="D28" s="108">
        <v>0</v>
      </c>
      <c r="E28" s="108">
        <f t="shared" si="14"/>
        <v>3.4859907461197857</v>
      </c>
      <c r="F28" s="108">
        <f t="shared" si="1"/>
        <v>4.0938823698565319</v>
      </c>
      <c r="G28" s="108">
        <f t="shared" si="2"/>
        <v>0</v>
      </c>
      <c r="H28" s="140">
        <f t="shared" si="8"/>
        <v>67.579873115976312</v>
      </c>
      <c r="I28" s="108">
        <f t="shared" si="9"/>
        <v>310.5496574501031</v>
      </c>
      <c r="J28" s="108">
        <f t="shared" si="10"/>
        <v>355.93526578701642</v>
      </c>
      <c r="K28" s="108">
        <f t="shared" si="15"/>
        <v>336.06438122265718</v>
      </c>
      <c r="L28" s="108">
        <f t="shared" si="16"/>
        <v>22.187746861631005</v>
      </c>
      <c r="M28" s="140">
        <f t="shared" si="3"/>
        <v>1024.7370513214078</v>
      </c>
      <c r="O28" s="108">
        <f t="shared" si="4"/>
        <v>67.579873115976312</v>
      </c>
      <c r="P28" s="108">
        <f>SUM($O$18:$O28)</f>
        <v>1431.1044122124572</v>
      </c>
      <c r="Q28" s="108">
        <f>NPV(DiscountRate,$O$18:$O28)</f>
        <v>1301.7782589145249</v>
      </c>
      <c r="S28" s="114">
        <f t="shared" si="11"/>
        <v>1034</v>
      </c>
      <c r="T28" s="108">
        <f t="shared" si="5"/>
        <v>894.33561903538146</v>
      </c>
      <c r="V28" s="109">
        <f t="shared" si="17"/>
        <v>-0.38404682032152532</v>
      </c>
      <c r="W28" s="109">
        <f t="shared" si="18"/>
        <v>-0.4555813625298808</v>
      </c>
    </row>
    <row r="29" spans="1:60">
      <c r="A29" s="138">
        <f t="shared" si="6"/>
        <v>2021</v>
      </c>
      <c r="B29" s="108">
        <f t="shared" si="7"/>
        <v>11</v>
      </c>
      <c r="C29" s="108">
        <f t="shared" si="0"/>
        <v>60</v>
      </c>
      <c r="D29" s="108">
        <v>0</v>
      </c>
      <c r="E29" s="108">
        <f t="shared" si="14"/>
        <v>3.4859907461197857</v>
      </c>
      <c r="F29" s="108">
        <f t="shared" si="1"/>
        <v>4.0938823698565319</v>
      </c>
      <c r="G29" s="108">
        <f t="shared" si="2"/>
        <v>0</v>
      </c>
      <c r="H29" s="140">
        <f t="shared" si="8"/>
        <v>67.579873115976312</v>
      </c>
      <c r="I29" s="108">
        <f t="shared" si="9"/>
        <v>325.21448991626994</v>
      </c>
      <c r="J29" s="108">
        <f t="shared" si="10"/>
        <v>371.38577543587638</v>
      </c>
      <c r="K29" s="108">
        <f t="shared" si="15"/>
        <v>341.23226918279966</v>
      </c>
      <c r="L29" s="108">
        <f t="shared" si="16"/>
        <v>22.11822080069804</v>
      </c>
      <c r="M29" s="140">
        <f t="shared" si="3"/>
        <v>1059.9507553356441</v>
      </c>
      <c r="O29" s="108">
        <f t="shared" si="4"/>
        <v>67.579873115976312</v>
      </c>
      <c r="P29" s="108">
        <f>SUM($O$18:$O29)</f>
        <v>1498.6842853284336</v>
      </c>
      <c r="Q29" s="108">
        <f>NPV(DiscountRate,$O$18:$O29)</f>
        <v>1352.0276712805244</v>
      </c>
      <c r="S29" s="114">
        <f t="shared" si="11"/>
        <v>1128</v>
      </c>
      <c r="T29" s="108">
        <f t="shared" si="5"/>
        <v>964.22987222964025</v>
      </c>
      <c r="V29" s="109">
        <f t="shared" si="17"/>
        <v>-0.32862082032662554</v>
      </c>
      <c r="W29" s="109">
        <f t="shared" si="18"/>
        <v>-0.40218397108374015</v>
      </c>
    </row>
    <row r="30" spans="1:60">
      <c r="A30" s="138">
        <f t="shared" si="6"/>
        <v>2022</v>
      </c>
      <c r="B30" s="108">
        <f t="shared" si="7"/>
        <v>12</v>
      </c>
      <c r="C30" s="108">
        <f t="shared" si="0"/>
        <v>60</v>
      </c>
      <c r="D30" s="108">
        <v>0</v>
      </c>
      <c r="E30" s="108">
        <f t="shared" si="14"/>
        <v>3.4859907461197857</v>
      </c>
      <c r="F30" s="108">
        <f t="shared" si="1"/>
        <v>4.0938823698565319</v>
      </c>
      <c r="G30" s="108">
        <f t="shared" si="2"/>
        <v>0</v>
      </c>
      <c r="H30" s="140">
        <f t="shared" si="8"/>
        <v>67.579873115976312</v>
      </c>
      <c r="I30" s="108">
        <f t="shared" si="9"/>
        <v>339.87932238243678</v>
      </c>
      <c r="J30" s="108">
        <f t="shared" si="10"/>
        <v>386.74718204723041</v>
      </c>
      <c r="K30" s="108">
        <f t="shared" si="15"/>
        <v>346.12837048240397</v>
      </c>
      <c r="L30" s="108">
        <f t="shared" si="16"/>
        <v>22.088300675445893</v>
      </c>
      <c r="M30" s="140">
        <f t="shared" si="3"/>
        <v>1094.843175587517</v>
      </c>
      <c r="O30" s="108">
        <f t="shared" si="4"/>
        <v>67.579873115976312</v>
      </c>
      <c r="P30" s="108">
        <f>SUM($O$18:$O30)</f>
        <v>1566.26415844441</v>
      </c>
      <c r="Q30" s="108">
        <f>NPV(DiscountRate,$O$18:$O30)</f>
        <v>1401.0514882229629</v>
      </c>
      <c r="S30" s="114">
        <f t="shared" si="11"/>
        <v>1222</v>
      </c>
      <c r="T30" s="108">
        <f t="shared" si="5"/>
        <v>1032.4193875411124</v>
      </c>
      <c r="V30" s="109">
        <f t="shared" si="17"/>
        <v>-0.28172189725401797</v>
      </c>
      <c r="W30" s="109">
        <f t="shared" si="18"/>
        <v>-0.35705654613849552</v>
      </c>
    </row>
    <row r="31" spans="1:60">
      <c r="A31" s="138">
        <f t="shared" si="6"/>
        <v>2023</v>
      </c>
      <c r="B31" s="108">
        <f t="shared" si="7"/>
        <v>13</v>
      </c>
      <c r="C31" s="108">
        <f t="shared" si="0"/>
        <v>60</v>
      </c>
      <c r="D31" s="108">
        <v>0</v>
      </c>
      <c r="E31" s="108">
        <f t="shared" si="14"/>
        <v>3.4859907461197857</v>
      </c>
      <c r="F31" s="108">
        <f t="shared" si="1"/>
        <v>4.0938823698565319</v>
      </c>
      <c r="G31" s="108">
        <f t="shared" si="2"/>
        <v>0</v>
      </c>
      <c r="H31" s="140">
        <f t="shared" si="8"/>
        <v>67.579873115976312</v>
      </c>
      <c r="I31" s="108">
        <f t="shared" si="9"/>
        <v>354.54415484860363</v>
      </c>
      <c r="J31" s="108">
        <f t="shared" si="10"/>
        <v>402.01999947799806</v>
      </c>
      <c r="K31" s="108">
        <f t="shared" si="15"/>
        <v>350.76697877284494</v>
      </c>
      <c r="L31" s="108">
        <f t="shared" si="16"/>
        <v>22.075424728166684</v>
      </c>
      <c r="M31" s="140">
        <f t="shared" si="3"/>
        <v>1129.4065578276131</v>
      </c>
      <c r="O31" s="108">
        <f t="shared" si="4"/>
        <v>67.579873115976312</v>
      </c>
      <c r="P31" s="108">
        <f>SUM($O$18:$O31)</f>
        <v>1633.8440315603864</v>
      </c>
      <c r="Q31" s="108">
        <f>NPV(DiscountRate,$O$18:$O31)</f>
        <v>1448.8796023131467</v>
      </c>
      <c r="S31" s="114">
        <f t="shared" si="11"/>
        <v>1316</v>
      </c>
      <c r="T31" s="108">
        <f t="shared" si="5"/>
        <v>1098.9457439425482</v>
      </c>
      <c r="V31" s="109">
        <f t="shared" si="17"/>
        <v>-0.24152282033464012</v>
      </c>
      <c r="W31" s="109">
        <f t="shared" si="18"/>
        <v>-0.31842687439252931</v>
      </c>
    </row>
    <row r="32" spans="1:60">
      <c r="A32" s="138">
        <f t="shared" si="6"/>
        <v>2024</v>
      </c>
      <c r="B32" s="108">
        <f t="shared" si="7"/>
        <v>14</v>
      </c>
      <c r="C32" s="108">
        <f t="shared" si="0"/>
        <v>60</v>
      </c>
      <c r="D32" s="108">
        <v>0</v>
      </c>
      <c r="E32" s="108">
        <f t="shared" si="14"/>
        <v>3.4859907461197857</v>
      </c>
      <c r="F32" s="108">
        <f t="shared" si="1"/>
        <v>4.0938823698565319</v>
      </c>
      <c r="G32" s="108">
        <f t="shared" si="2"/>
        <v>0</v>
      </c>
      <c r="H32" s="140">
        <f t="shared" si="8"/>
        <v>67.579873115976312</v>
      </c>
      <c r="I32" s="108">
        <f t="shared" si="9"/>
        <v>369.20898731477047</v>
      </c>
      <c r="J32" s="108">
        <f t="shared" si="10"/>
        <v>417.20473862168768</v>
      </c>
      <c r="K32" s="108">
        <f t="shared" si="15"/>
        <v>355.16163598181379</v>
      </c>
      <c r="L32" s="108">
        <f t="shared" si="16"/>
        <v>22.069883641124441</v>
      </c>
      <c r="M32" s="140">
        <f t="shared" si="3"/>
        <v>1163.6452455593965</v>
      </c>
      <c r="O32" s="108">
        <f t="shared" si="4"/>
        <v>67.579873115976312</v>
      </c>
      <c r="P32" s="108">
        <f>SUM($O$18:$O32)</f>
        <v>1701.4239046763628</v>
      </c>
      <c r="Q32" s="108">
        <f>NPV(DiscountRate,$O$18:$O32)</f>
        <v>1495.5411770352773</v>
      </c>
      <c r="S32" s="114">
        <f t="shared" si="11"/>
        <v>1410</v>
      </c>
      <c r="T32" s="108">
        <f t="shared" si="5"/>
        <v>1163.8495062854133</v>
      </c>
      <c r="V32" s="109">
        <f t="shared" si="17"/>
        <v>-0.20668362033784593</v>
      </c>
      <c r="W32" s="109">
        <f t="shared" si="18"/>
        <v>-0.28499532710934755</v>
      </c>
    </row>
    <row r="33" spans="1:23">
      <c r="A33" s="138">
        <f t="shared" si="6"/>
        <v>2025</v>
      </c>
      <c r="B33" s="108">
        <f t="shared" si="7"/>
        <v>15</v>
      </c>
      <c r="C33" s="108">
        <f t="shared" si="0"/>
        <v>60</v>
      </c>
      <c r="D33" s="108">
        <v>0</v>
      </c>
      <c r="E33" s="108">
        <f t="shared" si="14"/>
        <v>3.4859907461197857</v>
      </c>
      <c r="F33" s="108">
        <f t="shared" si="1"/>
        <v>4.0938823698565319</v>
      </c>
      <c r="G33" s="108">
        <f t="shared" si="2"/>
        <v>0</v>
      </c>
      <c r="H33" s="140">
        <f t="shared" si="8"/>
        <v>67.579873115976312</v>
      </c>
      <c r="I33" s="108">
        <f t="shared" si="9"/>
        <v>383.87381978093731</v>
      </c>
      <c r="J33" s="108">
        <f t="shared" si="10"/>
        <v>432.30190742548643</v>
      </c>
      <c r="K33" s="108">
        <f t="shared" si="15"/>
        <v>359.32517184754772</v>
      </c>
      <c r="L33" s="108">
        <f t="shared" si="16"/>
        <v>22.067499067396085</v>
      </c>
      <c r="M33" s="140">
        <f t="shared" si="3"/>
        <v>1197.5683981213674</v>
      </c>
      <c r="O33" s="108">
        <f t="shared" si="4"/>
        <v>67.579873115976312</v>
      </c>
      <c r="P33" s="108">
        <f>SUM($O$18:$O33)</f>
        <v>1769.0037777923392</v>
      </c>
      <c r="Q33" s="108">
        <f>NPV(DiscountRate,$O$18:$O33)</f>
        <v>1541.0646645690633</v>
      </c>
      <c r="S33" s="114">
        <f t="shared" si="11"/>
        <v>1504</v>
      </c>
      <c r="T33" s="108">
        <f t="shared" si="5"/>
        <v>1227.1702500345493</v>
      </c>
      <c r="V33" s="109">
        <f t="shared" si="17"/>
        <v>-0.17619932034065106</v>
      </c>
      <c r="W33" s="109">
        <f t="shared" si="18"/>
        <v>-0.25578717747246293</v>
      </c>
    </row>
    <row r="34" spans="1:23">
      <c r="A34" s="138">
        <f t="shared" si="6"/>
        <v>2026</v>
      </c>
      <c r="B34" s="108">
        <f t="shared" si="7"/>
        <v>16</v>
      </c>
      <c r="C34" s="108">
        <f t="shared" si="0"/>
        <v>60</v>
      </c>
      <c r="D34" s="108">
        <v>0</v>
      </c>
      <c r="E34" s="108">
        <f t="shared" si="14"/>
        <v>3.4859907461197857</v>
      </c>
      <c r="F34" s="108">
        <f t="shared" si="1"/>
        <v>4.0938823698565319</v>
      </c>
      <c r="G34" s="108">
        <f t="shared" si="2"/>
        <v>0</v>
      </c>
      <c r="H34" s="140">
        <f t="shared" si="8"/>
        <v>67.579873115976312</v>
      </c>
      <c r="I34" s="108">
        <f t="shared" si="9"/>
        <v>398.53865224710415</v>
      </c>
      <c r="J34" s="108">
        <f t="shared" si="10"/>
        <v>447.31201090725182</v>
      </c>
      <c r="K34" s="108">
        <f t="shared" si="15"/>
        <v>363.26974137389777</v>
      </c>
      <c r="L34" s="108">
        <f t="shared" si="16"/>
        <v>22.066472880327982</v>
      </c>
      <c r="M34" s="140">
        <f t="shared" si="3"/>
        <v>1231.1868774085819</v>
      </c>
      <c r="O34" s="108">
        <f t="shared" si="4"/>
        <v>67.579873115976312</v>
      </c>
      <c r="P34" s="108">
        <f>SUM($O$18:$O34)</f>
        <v>1836.5836509083156</v>
      </c>
      <c r="Q34" s="108">
        <f>NPV(DiscountRate,$O$18:$O34)</f>
        <v>1585.4778231386106</v>
      </c>
      <c r="S34" s="114">
        <f t="shared" si="11"/>
        <v>1598</v>
      </c>
      <c r="T34" s="108">
        <f t="shared" si="5"/>
        <v>1288.94658539956</v>
      </c>
      <c r="V34" s="109">
        <f t="shared" si="17"/>
        <v>-0.14930140857842025</v>
      </c>
      <c r="W34" s="109">
        <f t="shared" si="18"/>
        <v>-0.23005704122884885</v>
      </c>
    </row>
    <row r="35" spans="1:23">
      <c r="A35" s="138">
        <f t="shared" si="6"/>
        <v>2027</v>
      </c>
      <c r="B35" s="108">
        <f t="shared" si="7"/>
        <v>17</v>
      </c>
      <c r="C35" s="108">
        <f t="shared" si="0"/>
        <v>60</v>
      </c>
      <c r="D35" s="108">
        <v>0</v>
      </c>
      <c r="E35" s="108">
        <f t="shared" si="14"/>
        <v>3.4859907461197857</v>
      </c>
      <c r="F35" s="108">
        <f t="shared" si="1"/>
        <v>4.0938823698565319</v>
      </c>
      <c r="G35" s="108">
        <f t="shared" si="2"/>
        <v>0</v>
      </c>
      <c r="H35" s="140">
        <f t="shared" si="8"/>
        <v>67.579873115976312</v>
      </c>
      <c r="I35" s="108">
        <f t="shared" si="9"/>
        <v>413.203484713271</v>
      </c>
      <c r="J35" s="108">
        <f t="shared" si="10"/>
        <v>462.23555117240505</v>
      </c>
      <c r="K35" s="108">
        <f t="shared" si="15"/>
        <v>367.00686031558041</v>
      </c>
      <c r="L35" s="108">
        <f t="shared" si="16"/>
        <v>22.066031266849556</v>
      </c>
      <c r="M35" s="140">
        <f t="shared" si="3"/>
        <v>1264.5119274681058</v>
      </c>
      <c r="O35" s="108">
        <f t="shared" si="4"/>
        <v>67.579873115976312</v>
      </c>
      <c r="P35" s="108">
        <f>SUM($O$18:$O35)</f>
        <v>1904.163524024292</v>
      </c>
      <c r="Q35" s="108">
        <f>NPV(DiscountRate,$O$18:$O35)</f>
        <v>1628.8077339381689</v>
      </c>
      <c r="S35" s="114">
        <f t="shared" si="11"/>
        <v>1692</v>
      </c>
      <c r="T35" s="108">
        <f t="shared" si="5"/>
        <v>1349.2161808776198</v>
      </c>
      <c r="V35" s="109">
        <f t="shared" si="17"/>
        <v>-0.12539215367865955</v>
      </c>
      <c r="W35" s="109">
        <f t="shared" si="18"/>
        <v>-0.20722517045317693</v>
      </c>
    </row>
    <row r="36" spans="1:23">
      <c r="A36" s="138">
        <f t="shared" si="6"/>
        <v>2028</v>
      </c>
      <c r="B36" s="108">
        <f t="shared" si="7"/>
        <v>18</v>
      </c>
      <c r="C36" s="108">
        <f t="shared" si="0"/>
        <v>60</v>
      </c>
      <c r="D36" s="108">
        <v>0</v>
      </c>
      <c r="E36" s="108">
        <f t="shared" si="14"/>
        <v>3.4859907461197857</v>
      </c>
      <c r="F36" s="108">
        <f t="shared" si="1"/>
        <v>4.0938823698565319</v>
      </c>
      <c r="G36" s="108">
        <f t="shared" si="2"/>
        <v>0</v>
      </c>
      <c r="H36" s="140">
        <f t="shared" si="8"/>
        <v>67.579873115976312</v>
      </c>
      <c r="I36" s="108">
        <f t="shared" si="9"/>
        <v>427.86831717943784</v>
      </c>
      <c r="J36" s="108">
        <f t="shared" si="10"/>
        <v>477.07302743072694</v>
      </c>
      <c r="K36" s="108">
        <f t="shared" si="15"/>
        <v>370.547438797209</v>
      </c>
      <c r="L36" s="108">
        <f t="shared" si="16"/>
        <v>22.065841221125545</v>
      </c>
      <c r="M36" s="140">
        <f t="shared" si="3"/>
        <v>1297.5546246284994</v>
      </c>
      <c r="O36" s="108">
        <f t="shared" si="4"/>
        <v>67.579873115976312</v>
      </c>
      <c r="P36" s="108">
        <f>SUM($O$18:$O36)</f>
        <v>1971.7433971402684</v>
      </c>
      <c r="Q36" s="108">
        <f>NPV(DiscountRate,$O$18:$O36)</f>
        <v>1671.080817645055</v>
      </c>
      <c r="S36" s="114">
        <f t="shared" si="11"/>
        <v>1786</v>
      </c>
      <c r="T36" s="108">
        <f t="shared" si="5"/>
        <v>1408.0157862220678</v>
      </c>
      <c r="V36" s="109">
        <f t="shared" si="17"/>
        <v>-0.10399966245255787</v>
      </c>
      <c r="W36" s="109">
        <f t="shared" si="18"/>
        <v>-0.18683386507251659</v>
      </c>
    </row>
    <row r="37" spans="1:23">
      <c r="A37" s="138">
        <f t="shared" si="6"/>
        <v>2029</v>
      </c>
      <c r="B37" s="108">
        <f t="shared" si="7"/>
        <v>19</v>
      </c>
      <c r="C37" s="108">
        <f t="shared" si="0"/>
        <v>60</v>
      </c>
      <c r="D37" s="108">
        <v>0</v>
      </c>
      <c r="E37" s="108">
        <f t="shared" si="14"/>
        <v>3.4859907461197857</v>
      </c>
      <c r="F37" s="108">
        <f t="shared" si="1"/>
        <v>4.0938823698565319</v>
      </c>
      <c r="G37" s="108">
        <f t="shared" si="2"/>
        <v>0</v>
      </c>
      <c r="H37" s="140">
        <f t="shared" si="8"/>
        <v>67.579873115976312</v>
      </c>
      <c r="I37" s="108">
        <f t="shared" si="9"/>
        <v>442.53314964560468</v>
      </c>
      <c r="J37" s="108">
        <f t="shared" si="10"/>
        <v>491.82493601305731</v>
      </c>
      <c r="K37" s="108">
        <f t="shared" si="15"/>
        <v>373.90181316425219</v>
      </c>
      <c r="L37" s="108">
        <f t="shared" si="16"/>
        <v>22.065759436082793</v>
      </c>
      <c r="M37" s="140">
        <f t="shared" si="3"/>
        <v>1330.325658258997</v>
      </c>
      <c r="O37" s="108">
        <f t="shared" si="4"/>
        <v>67.579873115976312</v>
      </c>
      <c r="P37" s="108">
        <f>SUM($O$18:$O37)</f>
        <v>2039.3232702562448</v>
      </c>
      <c r="Q37" s="108">
        <f>NPV(DiscountRate,$O$18:$O37)</f>
        <v>1712.3228505298221</v>
      </c>
      <c r="S37" s="114">
        <f t="shared" si="11"/>
        <v>1880</v>
      </c>
      <c r="T37" s="108">
        <f t="shared" si="5"/>
        <v>1465.3812548507979</v>
      </c>
      <c r="V37" s="109">
        <f t="shared" si="17"/>
        <v>-8.4746420349066362E-2</v>
      </c>
      <c r="W37" s="109">
        <f t="shared" si="18"/>
        <v>-0.1685169609353078</v>
      </c>
    </row>
    <row r="38" spans="1:23">
      <c r="A38" s="138">
        <f t="shared" si="6"/>
        <v>2030</v>
      </c>
      <c r="B38" s="108">
        <f t="shared" si="7"/>
        <v>20</v>
      </c>
      <c r="C38" s="108">
        <f t="shared" si="0"/>
        <v>60</v>
      </c>
      <c r="D38" s="108">
        <v>0</v>
      </c>
      <c r="E38" s="108">
        <f t="shared" si="14"/>
        <v>3.4859907461197857</v>
      </c>
      <c r="F38" s="108">
        <f t="shared" si="1"/>
        <v>4.0938823698565319</v>
      </c>
      <c r="G38" s="108">
        <f t="shared" si="2"/>
        <v>0</v>
      </c>
      <c r="H38" s="140">
        <f t="shared" si="8"/>
        <v>67.579873115976312</v>
      </c>
      <c r="I38" s="108">
        <f t="shared" si="9"/>
        <v>457.19798211177152</v>
      </c>
      <c r="J38" s="108">
        <f t="shared" si="10"/>
        <v>506.49177038789753</v>
      </c>
      <c r="K38" s="108">
        <f t="shared" si="15"/>
        <v>377.079776158904</v>
      </c>
      <c r="L38" s="108">
        <f t="shared" si="16"/>
        <v>22.0657242403779</v>
      </c>
      <c r="M38" s="140">
        <f t="shared" si="3"/>
        <v>1362.835252898951</v>
      </c>
      <c r="O38" s="108">
        <f t="shared" si="4"/>
        <v>67.579873115976312</v>
      </c>
      <c r="P38" s="108">
        <f>SUM($O$18:$O38)</f>
        <v>2106.9031433722212</v>
      </c>
      <c r="Q38" s="108">
        <f>NPV(DiscountRate,$O$18:$O38)</f>
        <v>1752.5589801734973</v>
      </c>
      <c r="S38" s="114">
        <f t="shared" si="11"/>
        <v>1974</v>
      </c>
      <c r="T38" s="108">
        <f t="shared" si="5"/>
        <v>1521.3475657080951</v>
      </c>
      <c r="V38" s="109">
        <f t="shared" si="17"/>
        <v>-6.7326820350669281E-2</v>
      </c>
      <c r="W38" s="109">
        <f t="shared" si="18"/>
        <v>-0.15197803557649714</v>
      </c>
    </row>
    <row r="39" spans="1:23">
      <c r="A39" s="138">
        <f t="shared" si="6"/>
        <v>2031</v>
      </c>
      <c r="B39" s="108">
        <f t="shared" si="7"/>
        <v>21</v>
      </c>
      <c r="C39" s="108">
        <f t="shared" si="0"/>
        <v>60</v>
      </c>
      <c r="D39" s="108">
        <v>0</v>
      </c>
      <c r="E39" s="108">
        <f t="shared" si="14"/>
        <v>3.4859907461197857</v>
      </c>
      <c r="F39" s="108">
        <f t="shared" si="1"/>
        <v>4.0938823698565319</v>
      </c>
      <c r="G39" s="108">
        <f t="shared" si="2"/>
        <v>0</v>
      </c>
      <c r="H39" s="140">
        <f t="shared" si="8"/>
        <v>67.579873115976312</v>
      </c>
      <c r="I39" s="108">
        <f t="shared" si="9"/>
        <v>471.86281457793837</v>
      </c>
      <c r="J39" s="108">
        <f t="shared" si="10"/>
        <v>521.07402117791798</v>
      </c>
      <c r="K39" s="108">
        <f t="shared" si="15"/>
        <v>380.0906055089622</v>
      </c>
      <c r="L39" s="108">
        <f t="shared" si="16"/>
        <v>22.065709094116418</v>
      </c>
      <c r="M39" s="140">
        <f t="shared" si="3"/>
        <v>1395.0931503589352</v>
      </c>
      <c r="O39" s="108">
        <f t="shared" si="4"/>
        <v>67.579873115976312</v>
      </c>
      <c r="P39" s="108">
        <f>SUM($O$18:$O39)</f>
        <v>2174.4830164881973</v>
      </c>
      <c r="Q39" s="108">
        <f>NPV(DiscountRate,$O$18:$O39)</f>
        <v>1791.8137408014732</v>
      </c>
      <c r="S39" s="114">
        <f t="shared" si="11"/>
        <v>2068</v>
      </c>
      <c r="T39" s="108">
        <f t="shared" si="5"/>
        <v>1575.9488445932634</v>
      </c>
      <c r="V39" s="109">
        <f t="shared" si="17"/>
        <v>-5.1490820352126369E-2</v>
      </c>
      <c r="W39" s="109">
        <f t="shared" si="18"/>
        <v>-0.13697455786638957</v>
      </c>
    </row>
    <row r="40" spans="1:23">
      <c r="A40" s="138">
        <f t="shared" si="6"/>
        <v>2032</v>
      </c>
      <c r="B40" s="108">
        <f t="shared" si="7"/>
        <v>22</v>
      </c>
      <c r="C40" s="108">
        <f t="shared" si="0"/>
        <v>60</v>
      </c>
      <c r="D40" s="108">
        <v>0</v>
      </c>
      <c r="E40" s="108">
        <f t="shared" si="14"/>
        <v>3.4859907461197857</v>
      </c>
      <c r="F40" s="108">
        <f t="shared" si="1"/>
        <v>4.0938823698565319</v>
      </c>
      <c r="G40" s="108">
        <f t="shared" si="2"/>
        <v>0</v>
      </c>
      <c r="H40" s="140">
        <f t="shared" si="8"/>
        <v>67.579873115976312</v>
      </c>
      <c r="I40" s="108">
        <f t="shared" si="9"/>
        <v>486.52764704410521</v>
      </c>
      <c r="J40" s="108">
        <f t="shared" si="10"/>
        <v>535.57217617636957</v>
      </c>
      <c r="K40" s="108">
        <f t="shared" si="15"/>
        <v>382.94309101317583</v>
      </c>
      <c r="L40" s="108">
        <f t="shared" si="16"/>
        <v>22.065702576013212</v>
      </c>
      <c r="M40" s="140">
        <f t="shared" si="3"/>
        <v>1427.1086168096638</v>
      </c>
      <c r="O40" s="108">
        <f t="shared" si="4"/>
        <v>67.579873115976312</v>
      </c>
      <c r="P40" s="108">
        <f>SUM($O$18:$O40)</f>
        <v>2242.0628896041735</v>
      </c>
      <c r="Q40" s="108">
        <f>NPV(DiscountRate,$O$18:$O40)</f>
        <v>1830.1110682434005</v>
      </c>
      <c r="S40" s="114">
        <f t="shared" si="11"/>
        <v>2162</v>
      </c>
      <c r="T40" s="108">
        <f t="shared" si="5"/>
        <v>1629.2183849690375</v>
      </c>
      <c r="V40" s="109">
        <f t="shared" si="17"/>
        <v>-3.7031863831717624E-2</v>
      </c>
      <c r="W40" s="109">
        <f t="shared" si="18"/>
        <v>-0.12330617253510852</v>
      </c>
    </row>
    <row r="41" spans="1:23">
      <c r="A41" s="138">
        <f t="shared" si="6"/>
        <v>2033</v>
      </c>
      <c r="B41" s="108">
        <f t="shared" si="7"/>
        <v>23</v>
      </c>
      <c r="C41" s="108">
        <f t="shared" si="0"/>
        <v>60</v>
      </c>
      <c r="D41" s="108">
        <v>0</v>
      </c>
      <c r="E41" s="108">
        <f t="shared" si="14"/>
        <v>3.4859907461197857</v>
      </c>
      <c r="F41" s="108">
        <f t="shared" si="1"/>
        <v>4.0938823698565319</v>
      </c>
      <c r="G41" s="108">
        <f t="shared" si="2"/>
        <v>0</v>
      </c>
      <c r="H41" s="140">
        <f t="shared" si="8"/>
        <v>67.579873115976312</v>
      </c>
      <c r="I41" s="108">
        <f t="shared" si="9"/>
        <v>501.19247951027205</v>
      </c>
      <c r="J41" s="108">
        <f t="shared" si="10"/>
        <v>549.98672036340122</v>
      </c>
      <c r="K41" s="108">
        <f t="shared" si="15"/>
        <v>385.64556020213593</v>
      </c>
      <c r="L41" s="108">
        <f t="shared" si="16"/>
        <v>22.065699770986409</v>
      </c>
      <c r="M41" s="140">
        <f t="shared" si="3"/>
        <v>1458.8904598467955</v>
      </c>
      <c r="O41" s="108">
        <f t="shared" si="4"/>
        <v>67.579873115976312</v>
      </c>
      <c r="P41" s="108">
        <f>SUM($O$18:$O41)</f>
        <v>2309.6427627201497</v>
      </c>
      <c r="Q41" s="108">
        <f>NPV(DiscountRate,$O$18:$O41)</f>
        <v>1867.474314528208</v>
      </c>
      <c r="S41" s="114">
        <f t="shared" si="11"/>
        <v>2256</v>
      </c>
      <c r="T41" s="108">
        <f t="shared" si="5"/>
        <v>1681.1886682624756</v>
      </c>
      <c r="V41" s="109">
        <f t="shared" si="17"/>
        <v>-2.3777820354676276E-2</v>
      </c>
      <c r="W41" s="109">
        <f t="shared" si="18"/>
        <v>-0.1108059135672502</v>
      </c>
    </row>
    <row r="42" spans="1:23">
      <c r="A42" s="138">
        <f t="shared" si="6"/>
        <v>2034</v>
      </c>
      <c r="B42" s="108">
        <f t="shared" si="7"/>
        <v>24</v>
      </c>
      <c r="C42" s="108">
        <f t="shared" si="0"/>
        <v>60</v>
      </c>
      <c r="D42" s="108">
        <v>0</v>
      </c>
      <c r="E42" s="108">
        <f t="shared" si="14"/>
        <v>3.4859907461197857</v>
      </c>
      <c r="F42" s="108">
        <f t="shared" si="1"/>
        <v>4.0938823698565319</v>
      </c>
      <c r="G42" s="108">
        <f t="shared" si="2"/>
        <v>0</v>
      </c>
      <c r="H42" s="140">
        <f t="shared" si="8"/>
        <v>67.579873115976312</v>
      </c>
      <c r="I42" s="108">
        <f t="shared" si="9"/>
        <v>515.85731197643895</v>
      </c>
      <c r="J42" s="108">
        <f t="shared" si="10"/>
        <v>564.31813592228286</v>
      </c>
      <c r="K42" s="108">
        <f t="shared" si="15"/>
        <v>388.20590264962254</v>
      </c>
      <c r="L42" s="108">
        <f t="shared" si="16"/>
        <v>22.065698563859872</v>
      </c>
      <c r="M42" s="140">
        <f t="shared" si="3"/>
        <v>1490.4470491122042</v>
      </c>
      <c r="O42" s="108">
        <f t="shared" si="4"/>
        <v>67.579873115976312</v>
      </c>
      <c r="P42" s="108">
        <f>SUM($O$18:$O42)</f>
        <v>2377.2226358361258</v>
      </c>
      <c r="Q42" s="108">
        <f>NPV(DiscountRate,$O$18:$O42)</f>
        <v>1903.9262621231421</v>
      </c>
      <c r="S42" s="114">
        <f t="shared" si="11"/>
        <v>2350</v>
      </c>
      <c r="T42" s="108">
        <f t="shared" si="5"/>
        <v>1731.8913836707077</v>
      </c>
      <c r="V42" s="109">
        <f t="shared" si="17"/>
        <v>-1.1584100355798233E-2</v>
      </c>
      <c r="W42" s="109">
        <f t="shared" si="18"/>
        <v>-9.9333526383051859E-2</v>
      </c>
    </row>
    <row r="43" spans="1:23">
      <c r="A43" s="138">
        <f t="shared" si="6"/>
        <v>2035</v>
      </c>
      <c r="B43" s="108">
        <f t="shared" si="7"/>
        <v>25</v>
      </c>
      <c r="C43" s="108">
        <f t="shared" si="0"/>
        <v>0</v>
      </c>
      <c r="D43" s="108">
        <v>0</v>
      </c>
      <c r="E43" s="108">
        <f t="shared" si="14"/>
        <v>0</v>
      </c>
      <c r="F43" s="108">
        <f t="shared" si="1"/>
        <v>0</v>
      </c>
      <c r="G43" s="108">
        <f t="shared" si="2"/>
        <v>-12.914592943161866</v>
      </c>
      <c r="H43" s="140">
        <f t="shared" si="8"/>
        <v>-12.914592943161866</v>
      </c>
      <c r="I43" s="108">
        <f t="shared" si="9"/>
        <v>513.05484530777278</v>
      </c>
      <c r="J43" s="108">
        <f t="shared" si="10"/>
        <v>557.71883554621843</v>
      </c>
      <c r="K43" s="108">
        <f t="shared" si="15"/>
        <v>363.42446347739497</v>
      </c>
      <c r="L43" s="108">
        <f t="shared" si="16"/>
        <v>7.0937273573804713</v>
      </c>
      <c r="M43" s="140">
        <f t="shared" si="3"/>
        <v>1441.2918716887666</v>
      </c>
      <c r="O43" s="108">
        <f t="shared" si="4"/>
        <v>60</v>
      </c>
      <c r="P43" s="108">
        <f>SUM($O$18:$O43)</f>
        <v>2437.2226358361258</v>
      </c>
      <c r="Q43" s="108">
        <f>NPV(DiscountRate,$O$18:$O43)</f>
        <v>1935.5003454079779</v>
      </c>
      <c r="S43" s="114">
        <f t="shared" si="11"/>
        <v>2444</v>
      </c>
      <c r="T43" s="108">
        <f t="shared" si="5"/>
        <v>1781.3574474836169</v>
      </c>
      <c r="V43" s="109">
        <f t="shared" si="17"/>
        <v>2.7730622601776405E-3</v>
      </c>
      <c r="W43" s="109">
        <f t="shared" si="18"/>
        <v>-8.6531144067748186E-2</v>
      </c>
    </row>
    <row r="44" spans="1:23">
      <c r="A44" s="138">
        <f t="shared" si="6"/>
        <v>2036</v>
      </c>
      <c r="B44" s="108">
        <f t="shared" si="7"/>
        <v>26</v>
      </c>
      <c r="C44" s="108">
        <f t="shared" si="0"/>
        <v>0</v>
      </c>
      <c r="D44" s="108">
        <v>0</v>
      </c>
      <c r="E44" s="108">
        <f t="shared" si="14"/>
        <v>0</v>
      </c>
      <c r="F44" s="108">
        <f t="shared" si="1"/>
        <v>0</v>
      </c>
      <c r="G44" s="108">
        <f t="shared" si="2"/>
        <v>-12.914592943161866</v>
      </c>
      <c r="H44" s="140">
        <f t="shared" si="8"/>
        <v>-12.914592943161866</v>
      </c>
      <c r="I44" s="108">
        <f t="shared" si="9"/>
        <v>510.25237863910667</v>
      </c>
      <c r="J44" s="108">
        <f t="shared" si="10"/>
        <v>551.15759331336642</v>
      </c>
      <c r="K44" s="108">
        <f t="shared" si="15"/>
        <v>339.94631583313691</v>
      </c>
      <c r="L44" s="108">
        <f t="shared" si="16"/>
        <v>0.65062893129137267</v>
      </c>
      <c r="M44" s="140">
        <f t="shared" si="3"/>
        <v>1402.0069167169013</v>
      </c>
      <c r="O44" s="108">
        <f t="shared" si="4"/>
        <v>60</v>
      </c>
      <c r="P44" s="108">
        <f>SUM($O$18:$O44)</f>
        <v>2497.2226358361258</v>
      </c>
      <c r="Q44" s="108">
        <f>NPV(DiscountRate,$O$18:$O44)</f>
        <v>1966.3043291005008</v>
      </c>
      <c r="S44" s="114">
        <f t="shared" si="11"/>
        <v>2538</v>
      </c>
      <c r="T44" s="108">
        <f t="shared" si="5"/>
        <v>1829.6170219352362</v>
      </c>
      <c r="V44" s="109">
        <f t="shared" si="17"/>
        <v>1.606673134904419E-2</v>
      </c>
      <c r="W44" s="109">
        <f t="shared" si="18"/>
        <v>-7.4708152321783031E-2</v>
      </c>
    </row>
    <row r="45" spans="1:23">
      <c r="A45" s="138">
        <f t="shared" si="6"/>
        <v>2037</v>
      </c>
      <c r="B45" s="108">
        <f t="shared" si="7"/>
        <v>27</v>
      </c>
      <c r="C45" s="108">
        <f t="shared" si="0"/>
        <v>0</v>
      </c>
      <c r="D45" s="108">
        <v>0</v>
      </c>
      <c r="E45" s="108">
        <f t="shared" si="14"/>
        <v>0</v>
      </c>
      <c r="F45" s="108">
        <f t="shared" si="1"/>
        <v>0</v>
      </c>
      <c r="G45" s="108">
        <f t="shared" si="2"/>
        <v>-12.914592943161866</v>
      </c>
      <c r="H45" s="140">
        <f t="shared" si="8"/>
        <v>-12.914592943161866</v>
      </c>
      <c r="I45" s="108">
        <f t="shared" si="9"/>
        <v>507.44991197044055</v>
      </c>
      <c r="J45" s="108">
        <f t="shared" si="10"/>
        <v>544.63418974254205</v>
      </c>
      <c r="K45" s="108">
        <f t="shared" si="15"/>
        <v>317.70291774093351</v>
      </c>
      <c r="L45" s="108">
        <f t="shared" si="16"/>
        <v>0</v>
      </c>
      <c r="M45" s="140">
        <f t="shared" si="3"/>
        <v>1369.7870194539162</v>
      </c>
      <c r="O45" s="108">
        <f t="shared" si="4"/>
        <v>60</v>
      </c>
      <c r="P45" s="108">
        <f>SUM($O$18:$O45)</f>
        <v>2557.2226358361258</v>
      </c>
      <c r="Q45" s="108">
        <f>NPV(DiscountRate,$O$18:$O45)</f>
        <v>1996.3569961175963</v>
      </c>
      <c r="S45" s="114">
        <f t="shared" si="11"/>
        <v>2632</v>
      </c>
      <c r="T45" s="108">
        <f t="shared" si="5"/>
        <v>1876.6995335953518</v>
      </c>
      <c r="V45" s="109">
        <f t="shared" si="17"/>
        <v>2.8410852645848843E-2</v>
      </c>
      <c r="W45" s="109">
        <f t="shared" si="18"/>
        <v>-6.3759520573336836E-2</v>
      </c>
    </row>
    <row r="46" spans="1:23">
      <c r="A46" s="138">
        <f t="shared" si="6"/>
        <v>2038</v>
      </c>
      <c r="B46" s="108">
        <f t="shared" si="7"/>
        <v>28</v>
      </c>
      <c r="C46" s="108">
        <f t="shared" si="0"/>
        <v>0</v>
      </c>
      <c r="D46" s="108">
        <v>0</v>
      </c>
      <c r="E46" s="108">
        <f t="shared" si="14"/>
        <v>0</v>
      </c>
      <c r="F46" s="108">
        <f t="shared" si="1"/>
        <v>0</v>
      </c>
      <c r="G46" s="108">
        <f t="shared" si="2"/>
        <v>-12.914592943161866</v>
      </c>
      <c r="H46" s="140">
        <f t="shared" si="8"/>
        <v>-12.914592943161866</v>
      </c>
      <c r="I46" s="108">
        <f t="shared" si="9"/>
        <v>504.64744530177444</v>
      </c>
      <c r="J46" s="108">
        <f t="shared" si="10"/>
        <v>538.14840661830794</v>
      </c>
      <c r="K46" s="108">
        <f t="shared" si="15"/>
        <v>296.62933194596388</v>
      </c>
      <c r="L46" s="108">
        <f t="shared" si="16"/>
        <v>0</v>
      </c>
      <c r="M46" s="140">
        <f t="shared" si="3"/>
        <v>1339.4251838660464</v>
      </c>
      <c r="O46" s="108">
        <f t="shared" si="4"/>
        <v>60</v>
      </c>
      <c r="P46" s="108">
        <f>SUM($O$18:$O46)</f>
        <v>2617.2226358361258</v>
      </c>
      <c r="Q46" s="108">
        <f>NPV(DiscountRate,$O$18:$O46)</f>
        <v>2025.676671256226</v>
      </c>
      <c r="S46" s="114">
        <f t="shared" si="11"/>
        <v>2726</v>
      </c>
      <c r="T46" s="108">
        <f t="shared" si="5"/>
        <v>1922.6336913125388</v>
      </c>
      <c r="V46" s="109">
        <f t="shared" si="17"/>
        <v>3.9903655232529034E-2</v>
      </c>
      <c r="W46" s="109">
        <f t="shared" si="18"/>
        <v>-5.3594702105392779E-2</v>
      </c>
    </row>
    <row r="47" spans="1:23">
      <c r="A47" s="138">
        <f t="shared" si="6"/>
        <v>2039</v>
      </c>
      <c r="B47" s="108">
        <f t="shared" si="7"/>
        <v>29</v>
      </c>
      <c r="C47" s="108">
        <f t="shared" si="0"/>
        <v>0</v>
      </c>
      <c r="D47" s="108">
        <v>0</v>
      </c>
      <c r="E47" s="108">
        <f t="shared" si="14"/>
        <v>0</v>
      </c>
      <c r="F47" s="108">
        <f t="shared" si="1"/>
        <v>0</v>
      </c>
      <c r="G47" s="108">
        <f t="shared" si="2"/>
        <v>-12.914592943161866</v>
      </c>
      <c r="H47" s="140">
        <f t="shared" si="8"/>
        <v>-12.914592943161866</v>
      </c>
      <c r="I47" s="108">
        <f t="shared" si="9"/>
        <v>501.84497863310833</v>
      </c>
      <c r="J47" s="108">
        <f t="shared" si="10"/>
        <v>531.70002698367432</v>
      </c>
      <c r="K47" s="108">
        <f t="shared" si="15"/>
        <v>276.66403633703408</v>
      </c>
      <c r="L47" s="108">
        <f t="shared" si="16"/>
        <v>0</v>
      </c>
      <c r="M47" s="140">
        <f t="shared" si="3"/>
        <v>1310.2090419538167</v>
      </c>
      <c r="O47" s="108">
        <f t="shared" si="4"/>
        <v>60</v>
      </c>
      <c r="P47" s="108">
        <f>SUM($O$18:$O47)</f>
        <v>2677.2226358361258</v>
      </c>
      <c r="Q47" s="108">
        <f>NPV(DiscountRate,$O$18:$O47)</f>
        <v>2054.2812323670842</v>
      </c>
      <c r="S47" s="114">
        <f t="shared" si="11"/>
        <v>2820</v>
      </c>
      <c r="T47" s="108">
        <f t="shared" si="5"/>
        <v>1967.4475037195496</v>
      </c>
      <c r="V47" s="109">
        <f t="shared" si="17"/>
        <v>5.0630270980097217E-2</v>
      </c>
      <c r="W47" s="109">
        <f t="shared" si="18"/>
        <v>-4.4135220118133499E-2</v>
      </c>
    </row>
    <row r="48" spans="1:23">
      <c r="A48" s="138">
        <f t="shared" si="6"/>
        <v>2040</v>
      </c>
      <c r="B48" s="108">
        <f t="shared" si="7"/>
        <v>30</v>
      </c>
      <c r="C48" s="108">
        <f t="shared" si="0"/>
        <v>0</v>
      </c>
      <c r="D48" s="108">
        <v>0</v>
      </c>
      <c r="E48" s="108">
        <f t="shared" si="14"/>
        <v>0</v>
      </c>
      <c r="F48" s="108">
        <f t="shared" si="1"/>
        <v>0</v>
      </c>
      <c r="G48" s="108">
        <f t="shared" si="2"/>
        <v>-12.914592943161866</v>
      </c>
      <c r="H48" s="140">
        <f t="shared" si="8"/>
        <v>-12.914592943161866</v>
      </c>
      <c r="I48" s="108">
        <f t="shared" si="9"/>
        <v>499.04251196444221</v>
      </c>
      <c r="J48" s="108">
        <f t="shared" si="10"/>
        <v>525.28883513284177</v>
      </c>
      <c r="K48" s="108">
        <f t="shared" si="15"/>
        <v>257.74874433926203</v>
      </c>
      <c r="L48" s="108">
        <f t="shared" si="16"/>
        <v>0</v>
      </c>
      <c r="M48" s="140">
        <f t="shared" si="3"/>
        <v>1282.0800914365459</v>
      </c>
      <c r="O48" s="108">
        <f t="shared" si="4"/>
        <v>60</v>
      </c>
      <c r="P48" s="108">
        <f>SUM($O$18:$O48)</f>
        <v>2737.2226358361258</v>
      </c>
      <c r="Q48" s="108">
        <f>NPV(DiscountRate,$O$18:$O48)</f>
        <v>2082.1881212557269</v>
      </c>
      <c r="S48" s="114">
        <f t="shared" si="11"/>
        <v>2914</v>
      </c>
      <c r="T48" s="108">
        <f t="shared" si="5"/>
        <v>2011.1682963117562</v>
      </c>
      <c r="V48" s="109">
        <f t="shared" si="17"/>
        <v>6.066484700201584E-2</v>
      </c>
      <c r="W48" s="109">
        <f t="shared" si="18"/>
        <v>-3.5312721006100077E-2</v>
      </c>
    </row>
    <row r="49" spans="1:23">
      <c r="A49" s="138">
        <f t="shared" si="6"/>
        <v>2041</v>
      </c>
      <c r="B49" s="108">
        <f t="shared" si="7"/>
        <v>31</v>
      </c>
      <c r="C49" s="108">
        <f t="shared" si="0"/>
        <v>0</v>
      </c>
      <c r="D49" s="108">
        <v>0</v>
      </c>
      <c r="E49" s="108">
        <f t="shared" si="14"/>
        <v>0</v>
      </c>
      <c r="F49" s="108">
        <f t="shared" si="1"/>
        <v>0</v>
      </c>
      <c r="G49" s="108">
        <f t="shared" si="2"/>
        <v>-12.914592943161866</v>
      </c>
      <c r="H49" s="140">
        <f t="shared" si="8"/>
        <v>-12.914592943161866</v>
      </c>
      <c r="I49" s="108">
        <f t="shared" si="9"/>
        <v>496.2400452957761</v>
      </c>
      <c r="J49" s="108">
        <f t="shared" si="10"/>
        <v>518.91461660398534</v>
      </c>
      <c r="K49" s="108">
        <f t="shared" si="15"/>
        <v>239.82823475256936</v>
      </c>
      <c r="L49" s="108">
        <f t="shared" si="16"/>
        <v>0</v>
      </c>
      <c r="M49" s="140">
        <f t="shared" si="3"/>
        <v>1254.9828966523307</v>
      </c>
      <c r="O49" s="108">
        <f t="shared" si="4"/>
        <v>60</v>
      </c>
      <c r="P49" s="108">
        <f>SUM($O$18:$O49)</f>
        <v>2797.2226358361258</v>
      </c>
      <c r="Q49" s="108">
        <f>NPV(DiscountRate,$O$18:$O49)</f>
        <v>2109.4143543178166</v>
      </c>
      <c r="S49" s="114">
        <f t="shared" si="11"/>
        <v>3008</v>
      </c>
      <c r="T49" s="108">
        <f t="shared" si="5"/>
        <v>2053.8227281090299</v>
      </c>
      <c r="V49" s="109">
        <f t="shared" si="17"/>
        <v>7.0072262022564544E-2</v>
      </c>
      <c r="W49" s="109">
        <f t="shared" si="18"/>
        <v>-2.7067392646867007E-2</v>
      </c>
    </row>
    <row r="50" spans="1:23">
      <c r="A50" s="138">
        <f t="shared" si="6"/>
        <v>2042</v>
      </c>
      <c r="B50" s="108">
        <f t="shared" si="7"/>
        <v>32</v>
      </c>
      <c r="C50" s="108">
        <f t="shared" ref="C50:C81" si="19">IF($B50&gt;=ProductionYears, 0, ProcessEmissions)</f>
        <v>0</v>
      </c>
      <c r="D50" s="108">
        <v>0</v>
      </c>
      <c r="E50" s="108">
        <f t="shared" si="14"/>
        <v>0</v>
      </c>
      <c r="F50" s="108">
        <f t="shared" ref="F50:F81" si="20">IF(AND($C$13&gt;0, $B50&lt;ProductionYears),$C$6,0)</f>
        <v>0</v>
      </c>
      <c r="G50" s="108">
        <f t="shared" ref="G50:G81" si="21">IF($B50&gt;=ProductionYears+RecoveryYears,0,IF($B50&gt;=ProductionYears,$C$9,0))</f>
        <v>-12.914592943161866</v>
      </c>
      <c r="H50" s="140">
        <f t="shared" si="8"/>
        <v>-12.914592943161866</v>
      </c>
      <c r="I50" s="108">
        <f t="shared" si="9"/>
        <v>493.43757862710999</v>
      </c>
      <c r="J50" s="108">
        <f t="shared" si="10"/>
        <v>512.57715817208066</v>
      </c>
      <c r="K50" s="108">
        <f t="shared" si="15"/>
        <v>222.85019053921172</v>
      </c>
      <c r="L50" s="108">
        <f t="shared" si="16"/>
        <v>0</v>
      </c>
      <c r="M50" s="140">
        <f t="shared" ref="M50:M81" si="22">SUM(I50:L50)</f>
        <v>1228.8649273384024</v>
      </c>
      <c r="O50" s="108">
        <f t="shared" ref="O50:O81" si="23">SUM(C50:G50)+IF(B50&gt;=ProductionYears,ProcessEmissions)-G50</f>
        <v>60</v>
      </c>
      <c r="P50" s="108">
        <f>SUM($O$18:$O50)</f>
        <v>2857.2226358361258</v>
      </c>
      <c r="Q50" s="108">
        <f>NPV(DiscountRate,$O$18:$O50)</f>
        <v>2135.9765329149777</v>
      </c>
      <c r="S50" s="114">
        <f t="shared" si="11"/>
        <v>3102</v>
      </c>
      <c r="T50" s="108">
        <f t="shared" ref="T50:T81" si="24">-PV(DiscountRate,$B50+1,GasolineGWI, 0)</f>
        <v>2095.4368079112487</v>
      </c>
      <c r="V50" s="109">
        <f t="shared" si="17"/>
        <v>7.8909530678231518E-2</v>
      </c>
      <c r="W50" s="109">
        <f t="shared" si="18"/>
        <v>-1.9346670274509207E-2</v>
      </c>
    </row>
    <row r="51" spans="1:23">
      <c r="A51" s="138">
        <f t="shared" ref="A51:A82" si="25">A50+1</f>
        <v>2043</v>
      </c>
      <c r="B51" s="108">
        <f t="shared" ref="B51:B82" si="26">B50+1</f>
        <v>33</v>
      </c>
      <c r="C51" s="108">
        <f t="shared" si="19"/>
        <v>0</v>
      </c>
      <c r="D51" s="108">
        <v>0</v>
      </c>
      <c r="E51" s="108">
        <f t="shared" si="14"/>
        <v>0</v>
      </c>
      <c r="F51" s="108">
        <f t="shared" si="20"/>
        <v>0</v>
      </c>
      <c r="G51" s="108">
        <f t="shared" si="21"/>
        <v>-12.914592943161866</v>
      </c>
      <c r="H51" s="140">
        <f t="shared" si="8"/>
        <v>-12.914592943161866</v>
      </c>
      <c r="I51" s="108">
        <f t="shared" ref="I51:I82" si="27">MAX(0,A_0*H51+I50)</f>
        <v>490.63511195844387</v>
      </c>
      <c r="J51" s="108">
        <f t="shared" ref="J51:J82" si="28">MAX(0,A_1*H51 + J50*EXP(-1/T_1))</f>
        <v>506.27624784177164</v>
      </c>
      <c r="K51" s="108">
        <f t="shared" si="15"/>
        <v>206.76504608970473</v>
      </c>
      <c r="L51" s="108">
        <f t="shared" si="16"/>
        <v>0</v>
      </c>
      <c r="M51" s="140">
        <f t="shared" si="22"/>
        <v>1203.6764058899203</v>
      </c>
      <c r="O51" s="108">
        <f t="shared" si="23"/>
        <v>60</v>
      </c>
      <c r="P51" s="108">
        <f>SUM($O$18:$O51)</f>
        <v>2917.2226358361258</v>
      </c>
      <c r="Q51" s="108">
        <f>NPV(DiscountRate,$O$18:$O51)</f>
        <v>2161.890853497574</v>
      </c>
      <c r="S51" s="114">
        <f t="shared" ref="S51:S82" si="29">S50+GasolineGWI</f>
        <v>3196</v>
      </c>
      <c r="T51" s="108">
        <f t="shared" si="24"/>
        <v>2136.0359101573163</v>
      </c>
      <c r="V51" s="109">
        <f t="shared" si="17"/>
        <v>8.7226960001212189E-2</v>
      </c>
      <c r="W51" s="109">
        <f t="shared" si="18"/>
        <v>-1.2104170729205355E-2</v>
      </c>
    </row>
    <row r="52" spans="1:23">
      <c r="A52" s="138">
        <f t="shared" si="25"/>
        <v>2044</v>
      </c>
      <c r="B52" s="108">
        <f t="shared" si="26"/>
        <v>34</v>
      </c>
      <c r="C52" s="108">
        <f t="shared" si="19"/>
        <v>0</v>
      </c>
      <c r="D52" s="108">
        <v>0</v>
      </c>
      <c r="E52" s="108">
        <f t="shared" si="14"/>
        <v>0</v>
      </c>
      <c r="F52" s="108">
        <f t="shared" si="20"/>
        <v>0</v>
      </c>
      <c r="G52" s="108">
        <f t="shared" si="21"/>
        <v>-12.914592943161866</v>
      </c>
      <c r="H52" s="140">
        <f t="shared" si="8"/>
        <v>-12.914592943161866</v>
      </c>
      <c r="I52" s="108">
        <f t="shared" si="27"/>
        <v>487.83264528977776</v>
      </c>
      <c r="J52" s="108">
        <f t="shared" si="28"/>
        <v>500.01167484027849</v>
      </c>
      <c r="K52" s="108">
        <f t="shared" si="15"/>
        <v>191.52584252125448</v>
      </c>
      <c r="L52" s="108">
        <f t="shared" si="16"/>
        <v>0</v>
      </c>
      <c r="M52" s="140">
        <f t="shared" si="22"/>
        <v>1179.3701626513107</v>
      </c>
      <c r="O52" s="108">
        <f t="shared" si="23"/>
        <v>60</v>
      </c>
      <c r="P52" s="108">
        <f>SUM($O$18:$O52)</f>
        <v>2977.2226358361258</v>
      </c>
      <c r="Q52" s="108">
        <f>NPV(DiscountRate,$O$18:$O52)</f>
        <v>2187.173117480595</v>
      </c>
      <c r="S52" s="114">
        <f t="shared" si="29"/>
        <v>3290</v>
      </c>
      <c r="T52" s="108">
        <f t="shared" si="24"/>
        <v>2175.6447903973813</v>
      </c>
      <c r="V52" s="109">
        <f t="shared" si="17"/>
        <v>9.506910764859397E-2</v>
      </c>
      <c r="W52" s="109">
        <f t="shared" si="18"/>
        <v>-5.2988094077195871E-3</v>
      </c>
    </row>
    <row r="53" spans="1:23">
      <c r="A53" s="138">
        <f t="shared" si="25"/>
        <v>2045</v>
      </c>
      <c r="B53" s="108">
        <f t="shared" si="26"/>
        <v>35</v>
      </c>
      <c r="C53" s="108">
        <f t="shared" si="19"/>
        <v>0</v>
      </c>
      <c r="D53" s="108">
        <v>0</v>
      </c>
      <c r="E53" s="108">
        <f t="shared" si="14"/>
        <v>0</v>
      </c>
      <c r="F53" s="108">
        <f t="shared" si="20"/>
        <v>0</v>
      </c>
      <c r="G53" s="108">
        <f t="shared" si="21"/>
        <v>-12.914592943161866</v>
      </c>
      <c r="H53" s="140">
        <f t="shared" si="8"/>
        <v>-12.914592943161866</v>
      </c>
      <c r="I53" s="108">
        <f t="shared" si="27"/>
        <v>485.03017862111165</v>
      </c>
      <c r="J53" s="108">
        <f t="shared" si="28"/>
        <v>493.78322961034735</v>
      </c>
      <c r="K53" s="108">
        <f t="shared" si="15"/>
        <v>177.08809058625181</v>
      </c>
      <c r="L53" s="108">
        <f t="shared" si="16"/>
        <v>0</v>
      </c>
      <c r="M53" s="140">
        <f t="shared" si="22"/>
        <v>1155.9014988177107</v>
      </c>
      <c r="O53" s="108">
        <f t="shared" si="23"/>
        <v>60</v>
      </c>
      <c r="P53" s="108">
        <f>SUM($O$18:$O53)</f>
        <v>3037.2226358361258</v>
      </c>
      <c r="Q53" s="108">
        <f>NPV(DiscountRate,$O$18:$O53)</f>
        <v>2211.8387408786639</v>
      </c>
      <c r="S53" s="114">
        <f t="shared" si="29"/>
        <v>3384</v>
      </c>
      <c r="T53" s="108">
        <f t="shared" si="24"/>
        <v>2214.2876003876886</v>
      </c>
      <c r="V53" s="109">
        <f t="shared" si="17"/>
        <v>0.10247558042667676</v>
      </c>
      <c r="W53" s="109">
        <f t="shared" si="18"/>
        <v>1.1059356104401053E-3</v>
      </c>
    </row>
    <row r="54" spans="1:23">
      <c r="A54" s="138">
        <f t="shared" si="25"/>
        <v>2046</v>
      </c>
      <c r="B54" s="108">
        <f t="shared" si="26"/>
        <v>36</v>
      </c>
      <c r="C54" s="108">
        <f t="shared" si="19"/>
        <v>0</v>
      </c>
      <c r="D54" s="108">
        <v>0</v>
      </c>
      <c r="E54" s="108">
        <f t="shared" si="14"/>
        <v>0</v>
      </c>
      <c r="F54" s="108">
        <f t="shared" si="20"/>
        <v>0</v>
      </c>
      <c r="G54" s="108">
        <f t="shared" si="21"/>
        <v>-12.914592943161866</v>
      </c>
      <c r="H54" s="140">
        <f t="shared" si="8"/>
        <v>-12.914592943161866</v>
      </c>
      <c r="I54" s="108">
        <f t="shared" si="27"/>
        <v>482.22771195244553</v>
      </c>
      <c r="J54" s="108">
        <f t="shared" si="28"/>
        <v>487.59070380324033</v>
      </c>
      <c r="K54" s="108">
        <f t="shared" si="15"/>
        <v>163.40964079060601</v>
      </c>
      <c r="L54" s="108">
        <f t="shared" si="16"/>
        <v>0</v>
      </c>
      <c r="M54" s="140">
        <f t="shared" si="22"/>
        <v>1133.228056546292</v>
      </c>
      <c r="O54" s="108">
        <f t="shared" si="23"/>
        <v>60</v>
      </c>
      <c r="P54" s="108">
        <f>SUM($O$18:$O54)</f>
        <v>3097.2226358361258</v>
      </c>
      <c r="Q54" s="108">
        <f>NPV(DiscountRate,$O$18:$O54)</f>
        <v>2235.9027637060481</v>
      </c>
      <c r="S54" s="114">
        <f t="shared" si="29"/>
        <v>3478</v>
      </c>
      <c r="T54" s="108">
        <f t="shared" si="24"/>
        <v>2251.9879028172572</v>
      </c>
      <c r="V54" s="109">
        <f t="shared" si="17"/>
        <v>0.10948170332486318</v>
      </c>
      <c r="W54" s="109">
        <f t="shared" si="18"/>
        <v>7.1426401052539041E-3</v>
      </c>
    </row>
    <row r="55" spans="1:23">
      <c r="A55" s="138">
        <f t="shared" si="25"/>
        <v>2047</v>
      </c>
      <c r="B55" s="108">
        <f t="shared" si="26"/>
        <v>37</v>
      </c>
      <c r="C55" s="108">
        <f t="shared" si="19"/>
        <v>0</v>
      </c>
      <c r="D55" s="108">
        <v>0</v>
      </c>
      <c r="E55" s="108">
        <f t="shared" si="14"/>
        <v>0</v>
      </c>
      <c r="F55" s="108">
        <f t="shared" si="20"/>
        <v>0</v>
      </c>
      <c r="G55" s="108">
        <f t="shared" si="21"/>
        <v>-12.914592943161866</v>
      </c>
      <c r="H55" s="140">
        <f t="shared" si="8"/>
        <v>-12.914592943161866</v>
      </c>
      <c r="I55" s="108">
        <f t="shared" si="27"/>
        <v>479.42524528377942</v>
      </c>
      <c r="J55" s="108">
        <f t="shared" si="28"/>
        <v>481.43389027176607</v>
      </c>
      <c r="K55" s="108">
        <f t="shared" si="15"/>
        <v>150.45056034274208</v>
      </c>
      <c r="L55" s="108">
        <f t="shared" si="16"/>
        <v>0</v>
      </c>
      <c r="M55" s="140">
        <f t="shared" si="22"/>
        <v>1111.3096958982876</v>
      </c>
      <c r="O55" s="108">
        <f t="shared" si="23"/>
        <v>60</v>
      </c>
      <c r="P55" s="108">
        <f>SUM($O$18:$O55)</f>
        <v>3157.2226358361258</v>
      </c>
      <c r="Q55" s="108">
        <f>NPV(DiscountRate,$O$18:$O55)</f>
        <v>2259.3798591473983</v>
      </c>
      <c r="S55" s="114">
        <f t="shared" si="29"/>
        <v>3572</v>
      </c>
      <c r="T55" s="108">
        <f t="shared" si="24"/>
        <v>2288.768685675373</v>
      </c>
      <c r="V55" s="109">
        <f t="shared" si="17"/>
        <v>0.11611908291261874</v>
      </c>
      <c r="W55" s="109">
        <f t="shared" si="18"/>
        <v>1.2840452908985273E-2</v>
      </c>
    </row>
    <row r="56" spans="1:23">
      <c r="A56" s="138">
        <f t="shared" si="25"/>
        <v>2048</v>
      </c>
      <c r="B56" s="108">
        <f t="shared" si="26"/>
        <v>38</v>
      </c>
      <c r="C56" s="108">
        <f t="shared" si="19"/>
        <v>0</v>
      </c>
      <c r="D56" s="108">
        <v>0</v>
      </c>
      <c r="E56" s="108">
        <f t="shared" si="14"/>
        <v>0</v>
      </c>
      <c r="F56" s="108">
        <f t="shared" si="20"/>
        <v>0</v>
      </c>
      <c r="G56" s="108">
        <f t="shared" si="21"/>
        <v>-12.914592943161866</v>
      </c>
      <c r="H56" s="140">
        <f t="shared" si="8"/>
        <v>-12.914592943161866</v>
      </c>
      <c r="I56" s="108">
        <f t="shared" si="27"/>
        <v>476.6227786151133</v>
      </c>
      <c r="J56" s="108">
        <f t="shared" si="28"/>
        <v>475.31258306335036</v>
      </c>
      <c r="K56" s="108">
        <f t="shared" si="15"/>
        <v>138.17301657402729</v>
      </c>
      <c r="L56" s="108">
        <f t="shared" si="16"/>
        <v>0</v>
      </c>
      <c r="M56" s="140">
        <f t="shared" si="22"/>
        <v>1090.1083782524909</v>
      </c>
      <c r="O56" s="108">
        <f t="shared" si="23"/>
        <v>60</v>
      </c>
      <c r="P56" s="108">
        <f>SUM($O$18:$O56)</f>
        <v>3217.2226358361258</v>
      </c>
      <c r="Q56" s="108">
        <f>NPV(DiscountRate,$O$18:$O56)</f>
        <v>2282.2843425048136</v>
      </c>
      <c r="S56" s="114">
        <f t="shared" si="29"/>
        <v>3666</v>
      </c>
      <c r="T56" s="108">
        <f t="shared" si="24"/>
        <v>2324.6523762686561</v>
      </c>
      <c r="V56" s="109">
        <f t="shared" si="17"/>
        <v>0.12241608405997659</v>
      </c>
      <c r="W56" s="109">
        <f t="shared" si="18"/>
        <v>1.8225535222538624E-2</v>
      </c>
    </row>
    <row r="57" spans="1:23">
      <c r="A57" s="138">
        <f t="shared" si="25"/>
        <v>2049</v>
      </c>
      <c r="B57" s="108">
        <f t="shared" si="26"/>
        <v>39</v>
      </c>
      <c r="C57" s="108">
        <f t="shared" si="19"/>
        <v>0</v>
      </c>
      <c r="D57" s="108">
        <v>0</v>
      </c>
      <c r="E57" s="108">
        <f t="shared" si="14"/>
        <v>0</v>
      </c>
      <c r="F57" s="108">
        <f t="shared" si="20"/>
        <v>0</v>
      </c>
      <c r="G57" s="108">
        <f t="shared" si="21"/>
        <v>-12.914592943161866</v>
      </c>
      <c r="H57" s="140">
        <f t="shared" si="8"/>
        <v>-12.914592943161866</v>
      </c>
      <c r="I57" s="108">
        <f t="shared" si="27"/>
        <v>473.82031194644719</v>
      </c>
      <c r="J57" s="108">
        <f t="shared" si="28"/>
        <v>469.2265774131468</v>
      </c>
      <c r="K57" s="108">
        <f t="shared" si="15"/>
        <v>126.54116649028515</v>
      </c>
      <c r="L57" s="108">
        <f t="shared" si="16"/>
        <v>0</v>
      </c>
      <c r="M57" s="140">
        <f t="shared" si="22"/>
        <v>1069.5880558498791</v>
      </c>
      <c r="O57" s="108">
        <f t="shared" si="23"/>
        <v>60</v>
      </c>
      <c r="P57" s="108">
        <f>SUM($O$18:$O57)</f>
        <v>3277.2226358361258</v>
      </c>
      <c r="Q57" s="108">
        <f>NPV(DiscountRate,$O$18:$O57)</f>
        <v>2304.6301799266821</v>
      </c>
      <c r="S57" s="114">
        <f t="shared" si="29"/>
        <v>3760</v>
      </c>
      <c r="T57" s="108">
        <f t="shared" si="24"/>
        <v>2359.6608548962499</v>
      </c>
      <c r="V57" s="109">
        <f t="shared" si="17"/>
        <v>0.12839823514996654</v>
      </c>
      <c r="W57" s="109">
        <f t="shared" si="18"/>
        <v>2.3321434033785091E-2</v>
      </c>
    </row>
    <row r="58" spans="1:23">
      <c r="A58" s="138">
        <f t="shared" si="25"/>
        <v>2050</v>
      </c>
      <c r="B58" s="108">
        <f t="shared" si="26"/>
        <v>40</v>
      </c>
      <c r="C58" s="108">
        <f t="shared" si="19"/>
        <v>0</v>
      </c>
      <c r="D58" s="108">
        <v>0</v>
      </c>
      <c r="E58" s="108">
        <f t="shared" si="14"/>
        <v>0</v>
      </c>
      <c r="F58" s="108">
        <f t="shared" si="20"/>
        <v>0</v>
      </c>
      <c r="G58" s="108">
        <f t="shared" si="21"/>
        <v>-12.914592943161866</v>
      </c>
      <c r="H58" s="140">
        <f t="shared" si="8"/>
        <v>-12.914592943161866</v>
      </c>
      <c r="I58" s="108">
        <f t="shared" si="27"/>
        <v>471.01784527778108</v>
      </c>
      <c r="J58" s="108">
        <f t="shared" si="28"/>
        <v>463.17566973718715</v>
      </c>
      <c r="K58" s="108">
        <f t="shared" si="15"/>
        <v>115.52105213195406</v>
      </c>
      <c r="L58" s="108">
        <f t="shared" si="16"/>
        <v>0</v>
      </c>
      <c r="M58" s="140">
        <f t="shared" si="22"/>
        <v>1049.7145671469223</v>
      </c>
      <c r="O58" s="108">
        <f t="shared" si="23"/>
        <v>60</v>
      </c>
      <c r="P58" s="108">
        <f>SUM($O$18:$O58)</f>
        <v>3337.2226358361258</v>
      </c>
      <c r="Q58" s="108">
        <f>NPV(DiscountRate,$O$18:$O58)</f>
        <v>2326.4309969236269</v>
      </c>
      <c r="S58" s="114">
        <f t="shared" si="29"/>
        <v>3854</v>
      </c>
      <c r="T58" s="108">
        <f t="shared" si="24"/>
        <v>2393.8154681914634</v>
      </c>
      <c r="V58" s="109">
        <f t="shared" si="17"/>
        <v>0.13408857399166429</v>
      </c>
      <c r="W58" s="109">
        <f t="shared" si="18"/>
        <v>2.8149400888760112E-2</v>
      </c>
    </row>
    <row r="59" spans="1:23">
      <c r="A59" s="138">
        <f t="shared" si="25"/>
        <v>2051</v>
      </c>
      <c r="B59" s="108">
        <f t="shared" si="26"/>
        <v>41</v>
      </c>
      <c r="C59" s="108">
        <f t="shared" si="19"/>
        <v>0</v>
      </c>
      <c r="D59" s="108">
        <v>0</v>
      </c>
      <c r="E59" s="108">
        <f t="shared" si="14"/>
        <v>0</v>
      </c>
      <c r="F59" s="108">
        <f t="shared" si="20"/>
        <v>0</v>
      </c>
      <c r="G59" s="108">
        <f t="shared" si="21"/>
        <v>-12.914592943161866</v>
      </c>
      <c r="H59" s="140">
        <f t="shared" si="8"/>
        <v>-12.914592943161866</v>
      </c>
      <c r="I59" s="108">
        <f t="shared" si="27"/>
        <v>468.21537860911496</v>
      </c>
      <c r="J59" s="108">
        <f t="shared" si="28"/>
        <v>457.1596576255713</v>
      </c>
      <c r="K59" s="108">
        <f t="shared" si="15"/>
        <v>105.08050143740584</v>
      </c>
      <c r="L59" s="108">
        <f t="shared" si="16"/>
        <v>0</v>
      </c>
      <c r="M59" s="140">
        <f t="shared" si="22"/>
        <v>1030.4555376720921</v>
      </c>
      <c r="O59" s="108">
        <f t="shared" si="23"/>
        <v>60</v>
      </c>
      <c r="P59" s="108">
        <f>SUM($O$18:$O59)</f>
        <v>3397.2226358361258</v>
      </c>
      <c r="Q59" s="108">
        <f>NPV(DiscountRate,$O$18:$O59)</f>
        <v>2347.7000866767439</v>
      </c>
      <c r="S59" s="114">
        <f t="shared" si="29"/>
        <v>3948</v>
      </c>
      <c r="T59" s="108">
        <f t="shared" si="24"/>
        <v>2427.1370421380129</v>
      </c>
      <c r="V59" s="109">
        <f t="shared" si="17"/>
        <v>0.13950794431709071</v>
      </c>
      <c r="W59" s="109">
        <f t="shared" si="18"/>
        <v>3.2728665123620174E-2</v>
      </c>
    </row>
    <row r="60" spans="1:23">
      <c r="A60" s="138">
        <f t="shared" si="25"/>
        <v>2052</v>
      </c>
      <c r="B60" s="108">
        <f t="shared" si="26"/>
        <v>42</v>
      </c>
      <c r="C60" s="108">
        <f t="shared" si="19"/>
        <v>0</v>
      </c>
      <c r="D60" s="108">
        <v>0</v>
      </c>
      <c r="E60" s="108">
        <f t="shared" si="14"/>
        <v>0</v>
      </c>
      <c r="F60" s="108">
        <f t="shared" si="20"/>
        <v>0</v>
      </c>
      <c r="G60" s="108">
        <f t="shared" si="21"/>
        <v>-12.914592943161866</v>
      </c>
      <c r="H60" s="140">
        <f t="shared" si="8"/>
        <v>-12.914592943161866</v>
      </c>
      <c r="I60" s="108">
        <f t="shared" si="27"/>
        <v>465.41291194044885</v>
      </c>
      <c r="J60" s="108">
        <f t="shared" si="28"/>
        <v>451.17833983569625</v>
      </c>
      <c r="K60" s="108">
        <f t="shared" si="15"/>
        <v>95.189034320004737</v>
      </c>
      <c r="L60" s="108">
        <f t="shared" si="16"/>
        <v>0</v>
      </c>
      <c r="M60" s="140">
        <f t="shared" si="22"/>
        <v>1011.7802860961499</v>
      </c>
      <c r="O60" s="108">
        <f t="shared" si="23"/>
        <v>60</v>
      </c>
      <c r="P60" s="108">
        <f>SUM($O$18:$O60)</f>
        <v>3457.2226358361258</v>
      </c>
      <c r="Q60" s="108">
        <f>NPV(DiscountRate,$O$18:$O60)</f>
        <v>2368.4504181431998</v>
      </c>
      <c r="S60" s="114">
        <f t="shared" si="29"/>
        <v>4042</v>
      </c>
      <c r="T60" s="108">
        <f t="shared" si="24"/>
        <v>2459.6458947687929</v>
      </c>
      <c r="V60" s="109">
        <f t="shared" si="17"/>
        <v>0.14467525090645081</v>
      </c>
      <c r="W60" s="109">
        <f t="shared" si="18"/>
        <v>3.707666897074445E-2</v>
      </c>
    </row>
    <row r="61" spans="1:23">
      <c r="A61" s="138">
        <f t="shared" si="25"/>
        <v>2053</v>
      </c>
      <c r="B61" s="108">
        <f t="shared" si="26"/>
        <v>43</v>
      </c>
      <c r="C61" s="108">
        <f t="shared" si="19"/>
        <v>0</v>
      </c>
      <c r="D61" s="108">
        <v>0</v>
      </c>
      <c r="E61" s="108">
        <f t="shared" si="14"/>
        <v>0</v>
      </c>
      <c r="F61" s="108">
        <f t="shared" si="20"/>
        <v>0</v>
      </c>
      <c r="G61" s="108">
        <f t="shared" si="21"/>
        <v>-12.914592943161866</v>
      </c>
      <c r="H61" s="140">
        <f t="shared" si="8"/>
        <v>-12.914592943161866</v>
      </c>
      <c r="I61" s="108">
        <f t="shared" si="27"/>
        <v>462.61044527178274</v>
      </c>
      <c r="J61" s="108">
        <f t="shared" si="28"/>
        <v>445.23151628552449</v>
      </c>
      <c r="K61" s="108">
        <f t="shared" si="15"/>
        <v>85.817773684709209</v>
      </c>
      <c r="L61" s="108">
        <f t="shared" si="16"/>
        <v>0</v>
      </c>
      <c r="M61" s="140">
        <f t="shared" si="22"/>
        <v>993.6597352420165</v>
      </c>
      <c r="O61" s="108">
        <f t="shared" si="23"/>
        <v>60</v>
      </c>
      <c r="P61" s="108">
        <f>SUM($O$18:$O61)</f>
        <v>3517.2226358361258</v>
      </c>
      <c r="Q61" s="108">
        <f>NPV(DiscountRate,$O$18:$O61)</f>
        <v>2388.694643964132</v>
      </c>
      <c r="S61" s="114">
        <f t="shared" si="29"/>
        <v>4136</v>
      </c>
      <c r="T61" s="108">
        <f t="shared" si="24"/>
        <v>2491.36184855492</v>
      </c>
      <c r="V61" s="109">
        <f t="shared" si="17"/>
        <v>0.14960767992356724</v>
      </c>
      <c r="W61" s="109">
        <f t="shared" si="18"/>
        <v>4.1209270604484351E-2</v>
      </c>
    </row>
    <row r="62" spans="1:23">
      <c r="A62" s="138">
        <f t="shared" si="25"/>
        <v>2054</v>
      </c>
      <c r="B62" s="108">
        <f t="shared" si="26"/>
        <v>44</v>
      </c>
      <c r="C62" s="108">
        <f t="shared" si="19"/>
        <v>0</v>
      </c>
      <c r="D62" s="108">
        <v>0</v>
      </c>
      <c r="E62" s="108">
        <f t="shared" si="14"/>
        <v>0</v>
      </c>
      <c r="F62" s="108">
        <f t="shared" si="20"/>
        <v>0</v>
      </c>
      <c r="G62" s="108">
        <f t="shared" si="21"/>
        <v>-12.914592943161866</v>
      </c>
      <c r="H62" s="140">
        <f t="shared" si="8"/>
        <v>-12.914592943161866</v>
      </c>
      <c r="I62" s="108">
        <f t="shared" si="27"/>
        <v>459.80797860311662</v>
      </c>
      <c r="J62" s="108">
        <f t="shared" si="28"/>
        <v>439.31898804689098</v>
      </c>
      <c r="K62" s="108">
        <f t="shared" si="15"/>
        <v>76.93936112443842</v>
      </c>
      <c r="L62" s="108">
        <f t="shared" si="16"/>
        <v>0</v>
      </c>
      <c r="M62" s="140">
        <f t="shared" si="22"/>
        <v>976.06632777444599</v>
      </c>
      <c r="O62" s="108">
        <f t="shared" si="23"/>
        <v>60</v>
      </c>
      <c r="P62" s="108">
        <f>SUM($O$18:$O62)</f>
        <v>3577.2226358361258</v>
      </c>
      <c r="Q62" s="108">
        <f>NPV(DiscountRate,$O$18:$O62)</f>
        <v>2408.4451081796756</v>
      </c>
      <c r="S62" s="114">
        <f t="shared" si="29"/>
        <v>4230</v>
      </c>
      <c r="T62" s="108">
        <f t="shared" si="24"/>
        <v>2522.3042424926048</v>
      </c>
      <c r="V62" s="109">
        <f t="shared" si="17"/>
        <v>0.15432088987325629</v>
      </c>
      <c r="W62" s="109">
        <f t="shared" si="18"/>
        <v>4.5140920113749136E-2</v>
      </c>
    </row>
    <row r="63" spans="1:23">
      <c r="A63" s="138">
        <f t="shared" si="25"/>
        <v>2055</v>
      </c>
      <c r="B63" s="108">
        <f t="shared" si="26"/>
        <v>45</v>
      </c>
      <c r="C63" s="108">
        <f t="shared" si="19"/>
        <v>0</v>
      </c>
      <c r="D63" s="108">
        <v>0</v>
      </c>
      <c r="E63" s="108">
        <f t="shared" si="14"/>
        <v>0</v>
      </c>
      <c r="F63" s="108">
        <f t="shared" si="20"/>
        <v>0</v>
      </c>
      <c r="G63" s="108">
        <f t="shared" si="21"/>
        <v>-12.914592943161866</v>
      </c>
      <c r="H63" s="140">
        <f t="shared" si="8"/>
        <v>-12.914592943161866</v>
      </c>
      <c r="I63" s="108">
        <f t="shared" si="27"/>
        <v>457.00551193445051</v>
      </c>
      <c r="J63" s="108">
        <f t="shared" si="28"/>
        <v>433.44055733884863</v>
      </c>
      <c r="K63" s="108">
        <f t="shared" si="15"/>
        <v>68.527877050088136</v>
      </c>
      <c r="L63" s="108">
        <f t="shared" si="16"/>
        <v>0</v>
      </c>
      <c r="M63" s="140">
        <f t="shared" si="22"/>
        <v>958.97394632338728</v>
      </c>
      <c r="O63" s="108">
        <f t="shared" si="23"/>
        <v>60</v>
      </c>
      <c r="P63" s="108">
        <f>SUM($O$18:$O63)</f>
        <v>3637.2226358361258</v>
      </c>
      <c r="Q63" s="108">
        <f>NPV(DiscountRate,$O$18:$O63)</f>
        <v>2427.7138537558153</v>
      </c>
      <c r="S63" s="114">
        <f t="shared" si="29"/>
        <v>4324</v>
      </c>
      <c r="T63" s="108">
        <f t="shared" si="24"/>
        <v>2552.4919438952238</v>
      </c>
      <c r="V63" s="109">
        <f t="shared" si="17"/>
        <v>0.15882917765121973</v>
      </c>
      <c r="W63" s="109">
        <f t="shared" si="18"/>
        <v>4.888481252128507E-2</v>
      </c>
    </row>
    <row r="64" spans="1:23">
      <c r="A64" s="138">
        <f t="shared" si="25"/>
        <v>2056</v>
      </c>
      <c r="B64" s="108">
        <f t="shared" si="26"/>
        <v>46</v>
      </c>
      <c r="C64" s="108">
        <f t="shared" si="19"/>
        <v>0</v>
      </c>
      <c r="D64" s="108">
        <v>0</v>
      </c>
      <c r="E64" s="108">
        <f t="shared" si="14"/>
        <v>0</v>
      </c>
      <c r="F64" s="108">
        <f t="shared" si="20"/>
        <v>0</v>
      </c>
      <c r="G64" s="108">
        <f t="shared" si="21"/>
        <v>-12.914592943161866</v>
      </c>
      <c r="H64" s="140">
        <f t="shared" si="8"/>
        <v>-12.914592943161866</v>
      </c>
      <c r="I64" s="108">
        <f t="shared" si="27"/>
        <v>454.2030452657844</v>
      </c>
      <c r="J64" s="108">
        <f t="shared" si="28"/>
        <v>427.59602752105252</v>
      </c>
      <c r="K64" s="108">
        <f t="shared" si="15"/>
        <v>60.558765021023937</v>
      </c>
      <c r="L64" s="108">
        <f t="shared" si="16"/>
        <v>0</v>
      </c>
      <c r="M64" s="140">
        <f t="shared" si="22"/>
        <v>942.35783780786085</v>
      </c>
      <c r="O64" s="108">
        <f t="shared" si="23"/>
        <v>60</v>
      </c>
      <c r="P64" s="108">
        <f>SUM($O$18:$O64)</f>
        <v>3697.2226358361258</v>
      </c>
      <c r="Q64" s="108">
        <f>NPV(DiscountRate,$O$18:$O64)</f>
        <v>2446.5126299276594</v>
      </c>
      <c r="S64" s="114">
        <f t="shared" si="29"/>
        <v>4418</v>
      </c>
      <c r="T64" s="108">
        <f t="shared" si="24"/>
        <v>2581.9433598977798</v>
      </c>
      <c r="V64" s="109">
        <f t="shared" si="17"/>
        <v>0.16314562339607835</v>
      </c>
      <c r="W64" s="109">
        <f t="shared" si="18"/>
        <v>5.2453021268244304E-2</v>
      </c>
    </row>
    <row r="65" spans="1:23">
      <c r="A65" s="138">
        <f t="shared" si="25"/>
        <v>2057</v>
      </c>
      <c r="B65" s="108">
        <f t="shared" si="26"/>
        <v>47</v>
      </c>
      <c r="C65" s="108">
        <f t="shared" si="19"/>
        <v>0</v>
      </c>
      <c r="D65" s="108">
        <v>0</v>
      </c>
      <c r="E65" s="108">
        <f t="shared" si="14"/>
        <v>0</v>
      </c>
      <c r="F65" s="108">
        <f t="shared" si="20"/>
        <v>0</v>
      </c>
      <c r="G65" s="108">
        <f t="shared" si="21"/>
        <v>-12.914592943161866</v>
      </c>
      <c r="H65" s="140">
        <f t="shared" si="8"/>
        <v>-12.914592943161866</v>
      </c>
      <c r="I65" s="108">
        <f t="shared" si="27"/>
        <v>451.40057859711828</v>
      </c>
      <c r="J65" s="108">
        <f t="shared" si="28"/>
        <v>421.78520308718191</v>
      </c>
      <c r="K65" s="108">
        <f t="shared" si="15"/>
        <v>53.008760055142687</v>
      </c>
      <c r="L65" s="108">
        <f t="shared" si="16"/>
        <v>0</v>
      </c>
      <c r="M65" s="140">
        <f t="shared" si="22"/>
        <v>926.19454173944291</v>
      </c>
      <c r="O65" s="108">
        <f t="shared" si="23"/>
        <v>60</v>
      </c>
      <c r="P65" s="108">
        <f>SUM($O$18:$O65)</f>
        <v>3757.2226358361258</v>
      </c>
      <c r="Q65" s="108">
        <f>NPV(DiscountRate,$O$18:$O65)</f>
        <v>2464.852899363605</v>
      </c>
      <c r="S65" s="114">
        <f t="shared" si="29"/>
        <v>4512</v>
      </c>
      <c r="T65" s="108">
        <f t="shared" si="24"/>
        <v>2610.6764486807606</v>
      </c>
      <c r="V65" s="109">
        <f t="shared" si="17"/>
        <v>0.16728221723490119</v>
      </c>
      <c r="W65" s="109">
        <f t="shared" si="18"/>
        <v>5.5856615012880584E-2</v>
      </c>
    </row>
    <row r="66" spans="1:23">
      <c r="A66" s="138">
        <f t="shared" si="25"/>
        <v>2058</v>
      </c>
      <c r="B66" s="108">
        <f t="shared" si="26"/>
        <v>48</v>
      </c>
      <c r="C66" s="108">
        <f t="shared" si="19"/>
        <v>0</v>
      </c>
      <c r="D66" s="108">
        <v>0</v>
      </c>
      <c r="E66" s="108">
        <f t="shared" si="14"/>
        <v>0</v>
      </c>
      <c r="F66" s="108">
        <f t="shared" si="20"/>
        <v>0</v>
      </c>
      <c r="G66" s="108">
        <f t="shared" si="21"/>
        <v>-12.914592943161866</v>
      </c>
      <c r="H66" s="140">
        <f t="shared" si="8"/>
        <v>-12.914592943161866</v>
      </c>
      <c r="I66" s="108">
        <f t="shared" si="27"/>
        <v>448.59811192845217</v>
      </c>
      <c r="J66" s="108">
        <f t="shared" si="28"/>
        <v>416.00788965840036</v>
      </c>
      <c r="K66" s="108">
        <f t="shared" si="15"/>
        <v>45.855820709210917</v>
      </c>
      <c r="L66" s="108">
        <f t="shared" si="16"/>
        <v>0</v>
      </c>
      <c r="M66" s="140">
        <f t="shared" si="22"/>
        <v>910.46182229606336</v>
      </c>
      <c r="O66" s="108">
        <f t="shared" si="23"/>
        <v>60</v>
      </c>
      <c r="P66" s="108">
        <f>SUM($O$18:$O66)</f>
        <v>3817.2226358361258</v>
      </c>
      <c r="Q66" s="108">
        <f>NPV(DiscountRate,$O$18:$O66)</f>
        <v>2482.7458451547709</v>
      </c>
      <c r="S66" s="114">
        <f t="shared" si="29"/>
        <v>4606</v>
      </c>
      <c r="T66" s="108">
        <f t="shared" si="24"/>
        <v>2638.7087304202541</v>
      </c>
      <c r="V66" s="109">
        <f t="shared" si="17"/>
        <v>0.17124997050887411</v>
      </c>
      <c r="W66" s="109">
        <f t="shared" si="18"/>
        <v>5.9105760127092087E-2</v>
      </c>
    </row>
    <row r="67" spans="1:23">
      <c r="A67" s="138">
        <f t="shared" si="25"/>
        <v>2059</v>
      </c>
      <c r="B67" s="108">
        <f t="shared" si="26"/>
        <v>49</v>
      </c>
      <c r="C67" s="108">
        <f t="shared" si="19"/>
        <v>0</v>
      </c>
      <c r="D67" s="108">
        <v>0</v>
      </c>
      <c r="E67" s="108">
        <f t="shared" si="14"/>
        <v>0</v>
      </c>
      <c r="F67" s="108">
        <f t="shared" si="20"/>
        <v>0</v>
      </c>
      <c r="G67" s="108">
        <f t="shared" si="21"/>
        <v>-12.914592943161866</v>
      </c>
      <c r="H67" s="140">
        <f t="shared" si="8"/>
        <v>-12.914592943161866</v>
      </c>
      <c r="I67" s="108">
        <f t="shared" si="27"/>
        <v>445.79564525978606</v>
      </c>
      <c r="J67" s="108">
        <f t="shared" si="28"/>
        <v>410.26389397685352</v>
      </c>
      <c r="K67" s="108">
        <f t="shared" si="15"/>
        <v>39.079064731195899</v>
      </c>
      <c r="L67" s="108">
        <f t="shared" si="16"/>
        <v>0</v>
      </c>
      <c r="M67" s="140">
        <f t="shared" si="22"/>
        <v>895.13860396783548</v>
      </c>
      <c r="O67" s="108">
        <f t="shared" si="23"/>
        <v>60</v>
      </c>
      <c r="P67" s="108">
        <f>SUM($O$18:$O67)</f>
        <v>3877.2226358361258</v>
      </c>
      <c r="Q67" s="108">
        <f>NPV(DiscountRate,$O$18:$O67)</f>
        <v>2500.2023776339579</v>
      </c>
      <c r="S67" s="114">
        <f t="shared" si="29"/>
        <v>4700</v>
      </c>
      <c r="T67" s="108">
        <f t="shared" si="24"/>
        <v>2666.0572979709796</v>
      </c>
      <c r="V67" s="109">
        <f t="shared" si="17"/>
        <v>0.17505901365188811</v>
      </c>
      <c r="W67" s="109">
        <f t="shared" si="18"/>
        <v>6.2209810893129207E-2</v>
      </c>
    </row>
    <row r="68" spans="1:23">
      <c r="A68" s="138">
        <f t="shared" si="25"/>
        <v>2060</v>
      </c>
      <c r="B68" s="108">
        <f t="shared" si="26"/>
        <v>50</v>
      </c>
      <c r="C68" s="108">
        <f t="shared" si="19"/>
        <v>0</v>
      </c>
      <c r="D68" s="108">
        <v>0</v>
      </c>
      <c r="E68" s="108">
        <f t="shared" si="14"/>
        <v>0</v>
      </c>
      <c r="F68" s="108">
        <f t="shared" si="20"/>
        <v>0</v>
      </c>
      <c r="G68" s="108">
        <f t="shared" si="21"/>
        <v>-12.914592943161866</v>
      </c>
      <c r="H68" s="140">
        <f t="shared" si="8"/>
        <v>-12.914592943161866</v>
      </c>
      <c r="I68" s="108">
        <f t="shared" si="27"/>
        <v>442.99317859111994</v>
      </c>
      <c r="J68" s="108">
        <f t="shared" si="28"/>
        <v>404.55302389920445</v>
      </c>
      <c r="K68" s="108">
        <f t="shared" si="15"/>
        <v>32.6587080967332</v>
      </c>
      <c r="L68" s="108">
        <f t="shared" si="16"/>
        <v>0</v>
      </c>
      <c r="M68" s="140">
        <f t="shared" si="22"/>
        <v>880.20491058705761</v>
      </c>
      <c r="O68" s="108">
        <f t="shared" si="23"/>
        <v>60</v>
      </c>
      <c r="P68" s="108">
        <f>SUM($O$18:$O68)</f>
        <v>3937.2226358361258</v>
      </c>
      <c r="Q68" s="108">
        <f>NPV(DiscountRate,$O$18:$O68)</f>
        <v>2517.2331410282859</v>
      </c>
      <c r="S68" s="114">
        <f t="shared" si="29"/>
        <v>4794</v>
      </c>
      <c r="T68" s="108">
        <f t="shared" si="24"/>
        <v>2692.7388272887606</v>
      </c>
      <c r="V68" s="109">
        <f t="shared" si="17"/>
        <v>0.17871868255399961</v>
      </c>
      <c r="W68" s="109">
        <f t="shared" si="18"/>
        <v>6.5177389088709431E-2</v>
      </c>
    </row>
    <row r="69" spans="1:23">
      <c r="A69" s="138">
        <f t="shared" si="25"/>
        <v>2061</v>
      </c>
      <c r="B69" s="108">
        <f t="shared" si="26"/>
        <v>51</v>
      </c>
      <c r="C69" s="108">
        <f t="shared" si="19"/>
        <v>0</v>
      </c>
      <c r="D69" s="108">
        <v>0</v>
      </c>
      <c r="E69" s="108">
        <f t="shared" si="14"/>
        <v>0</v>
      </c>
      <c r="F69" s="108">
        <f t="shared" si="20"/>
        <v>0</v>
      </c>
      <c r="G69" s="108">
        <f t="shared" si="21"/>
        <v>-12.914592943161866</v>
      </c>
      <c r="H69" s="140">
        <f t="shared" si="8"/>
        <v>-12.914592943161866</v>
      </c>
      <c r="I69" s="108">
        <f t="shared" si="27"/>
        <v>440.19071192245383</v>
      </c>
      <c r="J69" s="108">
        <f t="shared" si="28"/>
        <v>398.87508839020614</v>
      </c>
      <c r="K69" s="108">
        <f t="shared" si="15"/>
        <v>26.576007251754092</v>
      </c>
      <c r="L69" s="108">
        <f t="shared" si="16"/>
        <v>0</v>
      </c>
      <c r="M69" s="140">
        <f t="shared" si="22"/>
        <v>865.64180756441408</v>
      </c>
      <c r="O69" s="108">
        <f t="shared" si="23"/>
        <v>60</v>
      </c>
      <c r="P69" s="108">
        <f>SUM($O$18:$O69)</f>
        <v>3997.2226358361258</v>
      </c>
      <c r="Q69" s="108">
        <f>NPV(DiscountRate,$O$18:$O69)</f>
        <v>2533.8485199495822</v>
      </c>
      <c r="S69" s="114">
        <f t="shared" si="29"/>
        <v>4888</v>
      </c>
      <c r="T69" s="108">
        <f t="shared" si="24"/>
        <v>2718.7695875987906</v>
      </c>
      <c r="V69" s="109">
        <f t="shared" si="17"/>
        <v>0.18223759495987604</v>
      </c>
      <c r="W69" s="109">
        <f t="shared" si="18"/>
        <v>6.8016454389034933E-2</v>
      </c>
    </row>
    <row r="70" spans="1:23">
      <c r="A70" s="138">
        <f t="shared" si="25"/>
        <v>2062</v>
      </c>
      <c r="B70" s="108">
        <f t="shared" si="26"/>
        <v>52</v>
      </c>
      <c r="C70" s="108">
        <f t="shared" si="19"/>
        <v>0</v>
      </c>
      <c r="D70" s="108">
        <v>0</v>
      </c>
      <c r="E70" s="108">
        <f t="shared" si="14"/>
        <v>0</v>
      </c>
      <c r="F70" s="108">
        <f t="shared" si="20"/>
        <v>0</v>
      </c>
      <c r="G70" s="108">
        <f t="shared" si="21"/>
        <v>-12.914592943161866</v>
      </c>
      <c r="H70" s="140">
        <f t="shared" si="8"/>
        <v>-12.914592943161866</v>
      </c>
      <c r="I70" s="108">
        <f t="shared" si="27"/>
        <v>437.38824525378772</v>
      </c>
      <c r="J70" s="108">
        <f t="shared" si="28"/>
        <v>393.22989751631133</v>
      </c>
      <c r="K70" s="108">
        <f t="shared" si="15"/>
        <v>20.813204392656232</v>
      </c>
      <c r="L70" s="108">
        <f t="shared" si="16"/>
        <v>0</v>
      </c>
      <c r="M70" s="140">
        <f t="shared" si="22"/>
        <v>851.43134716275517</v>
      </c>
      <c r="O70" s="108">
        <f t="shared" si="23"/>
        <v>60</v>
      </c>
      <c r="P70" s="108">
        <f>SUM($O$18:$O70)</f>
        <v>4057.2226358361258</v>
      </c>
      <c r="Q70" s="108">
        <f>NPV(DiscountRate,$O$18:$O70)</f>
        <v>2550.0586457264562</v>
      </c>
      <c r="S70" s="114">
        <f t="shared" si="29"/>
        <v>4982</v>
      </c>
      <c r="T70" s="108">
        <f t="shared" si="24"/>
        <v>2744.1654513158933</v>
      </c>
      <c r="V70" s="109">
        <f t="shared" si="17"/>
        <v>0.18562371821836093</v>
      </c>
      <c r="W70" s="109">
        <f t="shared" si="18"/>
        <v>7.0734366798604717E-2</v>
      </c>
    </row>
    <row r="71" spans="1:23">
      <c r="A71" s="138">
        <f t="shared" si="25"/>
        <v>2063</v>
      </c>
      <c r="B71" s="108">
        <f t="shared" si="26"/>
        <v>53</v>
      </c>
      <c r="C71" s="108">
        <f t="shared" si="19"/>
        <v>0</v>
      </c>
      <c r="D71" s="108">
        <v>0</v>
      </c>
      <c r="E71" s="108">
        <f t="shared" si="14"/>
        <v>0</v>
      </c>
      <c r="F71" s="108">
        <f t="shared" si="20"/>
        <v>0</v>
      </c>
      <c r="G71" s="108">
        <f t="shared" si="21"/>
        <v>-12.914592943161866</v>
      </c>
      <c r="H71" s="140">
        <f t="shared" si="8"/>
        <v>-12.914592943161866</v>
      </c>
      <c r="I71" s="108">
        <f t="shared" si="27"/>
        <v>434.5857785851216</v>
      </c>
      <c r="J71" s="108">
        <f t="shared" si="28"/>
        <v>387.61726243931872</v>
      </c>
      <c r="K71" s="108">
        <f t="shared" si="15"/>
        <v>15.353475624268885</v>
      </c>
      <c r="L71" s="108">
        <f t="shared" si="16"/>
        <v>0</v>
      </c>
      <c r="M71" s="140">
        <f t="shared" si="22"/>
        <v>837.55651664870925</v>
      </c>
      <c r="O71" s="108">
        <f t="shared" si="23"/>
        <v>60</v>
      </c>
      <c r="P71" s="108">
        <f>SUM($O$18:$O71)</f>
        <v>4117.2226358361258</v>
      </c>
      <c r="Q71" s="108">
        <f>NPV(DiscountRate,$O$18:$O71)</f>
        <v>2565.8734025819431</v>
      </c>
      <c r="S71" s="114">
        <f t="shared" si="29"/>
        <v>5076</v>
      </c>
      <c r="T71" s="108">
        <f t="shared" si="24"/>
        <v>2768.9419037228226</v>
      </c>
      <c r="V71" s="109">
        <f t="shared" si="17"/>
        <v>0.18888442950430934</v>
      </c>
      <c r="W71" s="109">
        <f t="shared" si="18"/>
        <v>7.3337942146007251E-2</v>
      </c>
    </row>
    <row r="72" spans="1:23">
      <c r="A72" s="138">
        <f t="shared" si="25"/>
        <v>2064</v>
      </c>
      <c r="B72" s="108">
        <f t="shared" si="26"/>
        <v>54</v>
      </c>
      <c r="C72" s="108">
        <f t="shared" si="19"/>
        <v>0</v>
      </c>
      <c r="D72" s="108">
        <v>0</v>
      </c>
      <c r="E72" s="108">
        <f t="shared" si="14"/>
        <v>0</v>
      </c>
      <c r="F72" s="108">
        <f t="shared" si="20"/>
        <v>0</v>
      </c>
      <c r="G72" s="108">
        <f t="shared" si="21"/>
        <v>-12.914592943161866</v>
      </c>
      <c r="H72" s="140">
        <f t="shared" si="8"/>
        <v>-12.914592943161866</v>
      </c>
      <c r="I72" s="108">
        <f t="shared" si="27"/>
        <v>431.78331191645549</v>
      </c>
      <c r="J72" s="108">
        <f t="shared" si="28"/>
        <v>382.03699541005648</v>
      </c>
      <c r="K72" s="108">
        <f t="shared" si="15"/>
        <v>10.180881844265308</v>
      </c>
      <c r="L72" s="108">
        <f t="shared" si="16"/>
        <v>0</v>
      </c>
      <c r="M72" s="140">
        <f t="shared" si="22"/>
        <v>824.00118917077725</v>
      </c>
      <c r="O72" s="108">
        <f t="shared" si="23"/>
        <v>60</v>
      </c>
      <c r="P72" s="108">
        <f>SUM($O$18:$O72)</f>
        <v>4177.2226358361258</v>
      </c>
      <c r="Q72" s="108">
        <f>NPV(DiscountRate,$O$18:$O72)</f>
        <v>2581.3024336604667</v>
      </c>
      <c r="S72" s="114">
        <f t="shared" si="29"/>
        <v>5170</v>
      </c>
      <c r="T72" s="108">
        <f t="shared" si="24"/>
        <v>2793.1140524125094</v>
      </c>
      <c r="V72" s="109">
        <f t="shared" si="17"/>
        <v>0.19202656947076868</v>
      </c>
      <c r="W72" s="109">
        <f t="shared" si="18"/>
        <v>7.5833501524613239E-2</v>
      </c>
    </row>
    <row r="73" spans="1:23">
      <c r="A73" s="138">
        <f t="shared" si="25"/>
        <v>2065</v>
      </c>
      <c r="B73" s="108">
        <f t="shared" si="26"/>
        <v>55</v>
      </c>
      <c r="C73" s="108">
        <f t="shared" si="19"/>
        <v>0</v>
      </c>
      <c r="D73" s="108">
        <v>0</v>
      </c>
      <c r="E73" s="108">
        <f t="shared" si="14"/>
        <v>0</v>
      </c>
      <c r="F73" s="108">
        <f t="shared" si="20"/>
        <v>0</v>
      </c>
      <c r="G73" s="108">
        <f t="shared" si="21"/>
        <v>0</v>
      </c>
      <c r="H73" s="140">
        <f t="shared" si="8"/>
        <v>0</v>
      </c>
      <c r="I73" s="108">
        <f t="shared" si="27"/>
        <v>431.78331191645549</v>
      </c>
      <c r="J73" s="108">
        <f t="shared" si="28"/>
        <v>379.83378933438036</v>
      </c>
      <c r="K73" s="108">
        <f t="shared" si="15"/>
        <v>9.6454546254232429</v>
      </c>
      <c r="L73" s="108">
        <f t="shared" si="16"/>
        <v>0</v>
      </c>
      <c r="M73" s="140">
        <f t="shared" si="22"/>
        <v>821.26255587625906</v>
      </c>
      <c r="O73" s="108">
        <f t="shared" si="23"/>
        <v>60</v>
      </c>
      <c r="P73" s="108">
        <f>SUM($O$18:$O73)</f>
        <v>4237.2226358361258</v>
      </c>
      <c r="Q73" s="108">
        <f>NPV(DiscountRate,$O$18:$O73)</f>
        <v>2596.355146907807</v>
      </c>
      <c r="S73" s="114">
        <f t="shared" si="29"/>
        <v>5264</v>
      </c>
      <c r="T73" s="108">
        <f t="shared" si="24"/>
        <v>2816.6966365000098</v>
      </c>
      <c r="V73" s="109">
        <f t="shared" si="17"/>
        <v>0.19505649015271165</v>
      </c>
      <c r="W73" s="109">
        <f t="shared" si="18"/>
        <v>7.8226915435947078E-2</v>
      </c>
    </row>
    <row r="74" spans="1:23">
      <c r="A74" s="138">
        <f t="shared" si="25"/>
        <v>2066</v>
      </c>
      <c r="B74" s="108">
        <f t="shared" si="26"/>
        <v>56</v>
      </c>
      <c r="C74" s="108">
        <f t="shared" si="19"/>
        <v>0</v>
      </c>
      <c r="D74" s="108">
        <v>0</v>
      </c>
      <c r="E74" s="108">
        <f t="shared" si="14"/>
        <v>0</v>
      </c>
      <c r="F74" s="108">
        <f t="shared" si="20"/>
        <v>0</v>
      </c>
      <c r="G74" s="108">
        <f t="shared" si="21"/>
        <v>0</v>
      </c>
      <c r="H74" s="140">
        <f t="shared" si="8"/>
        <v>0</v>
      </c>
      <c r="I74" s="108">
        <f t="shared" si="27"/>
        <v>431.78331191645549</v>
      </c>
      <c r="J74" s="108">
        <f t="shared" si="28"/>
        <v>377.64328914077902</v>
      </c>
      <c r="K74" s="108">
        <f t="shared" si="15"/>
        <v>9.1381862940982188</v>
      </c>
      <c r="L74" s="108">
        <f t="shared" si="16"/>
        <v>0</v>
      </c>
      <c r="M74" s="140">
        <f t="shared" si="22"/>
        <v>818.56478735133271</v>
      </c>
      <c r="O74" s="108">
        <f t="shared" si="23"/>
        <v>60</v>
      </c>
      <c r="P74" s="108">
        <f>SUM($O$18:$O74)</f>
        <v>4297.2226358361258</v>
      </c>
      <c r="Q74" s="108">
        <f>NPV(DiscountRate,$O$18:$O74)</f>
        <v>2611.0407208076508</v>
      </c>
      <c r="S74" s="114">
        <f t="shared" si="29"/>
        <v>5358</v>
      </c>
      <c r="T74" s="108">
        <f t="shared" si="24"/>
        <v>2839.7040356097655</v>
      </c>
      <c r="V74" s="109">
        <f t="shared" si="17"/>
        <v>0.19798009782827064</v>
      </c>
      <c r="W74" s="109">
        <f t="shared" si="18"/>
        <v>8.0523643286302585E-2</v>
      </c>
    </row>
    <row r="75" spans="1:23">
      <c r="A75" s="138">
        <f t="shared" si="25"/>
        <v>2067</v>
      </c>
      <c r="B75" s="108">
        <f t="shared" si="26"/>
        <v>57</v>
      </c>
      <c r="C75" s="108">
        <f t="shared" si="19"/>
        <v>0</v>
      </c>
      <c r="D75" s="108">
        <v>0</v>
      </c>
      <c r="E75" s="108">
        <f t="shared" si="14"/>
        <v>0</v>
      </c>
      <c r="F75" s="108">
        <f t="shared" si="20"/>
        <v>0</v>
      </c>
      <c r="G75" s="108">
        <f t="shared" si="21"/>
        <v>0</v>
      </c>
      <c r="H75" s="140">
        <f t="shared" si="8"/>
        <v>0</v>
      </c>
      <c r="I75" s="108">
        <f t="shared" si="27"/>
        <v>431.78331191645549</v>
      </c>
      <c r="J75" s="108">
        <f t="shared" si="28"/>
        <v>375.46542155447304</v>
      </c>
      <c r="K75" s="108">
        <f t="shared" si="15"/>
        <v>8.6575959338961983</v>
      </c>
      <c r="L75" s="108">
        <f t="shared" si="16"/>
        <v>0</v>
      </c>
      <c r="M75" s="140">
        <f t="shared" si="22"/>
        <v>815.90632940482476</v>
      </c>
      <c r="O75" s="108">
        <f t="shared" si="23"/>
        <v>60</v>
      </c>
      <c r="P75" s="108">
        <f>SUM($O$18:$O75)</f>
        <v>4357.2226358361258</v>
      </c>
      <c r="Q75" s="108">
        <f>NPV(DiscountRate,$O$18:$O75)</f>
        <v>2625.3681099782307</v>
      </c>
      <c r="S75" s="114">
        <f t="shared" si="29"/>
        <v>5452</v>
      </c>
      <c r="T75" s="108">
        <f t="shared" si="24"/>
        <v>2862.1502786436736</v>
      </c>
      <c r="V75" s="109">
        <f t="shared" si="17"/>
        <v>0.20080289144605176</v>
      </c>
      <c r="W75" s="109">
        <f t="shared" si="18"/>
        <v>8.2728768797440677E-2</v>
      </c>
    </row>
    <row r="76" spans="1:23">
      <c r="A76" s="138">
        <f t="shared" si="25"/>
        <v>2068</v>
      </c>
      <c r="B76" s="108">
        <f t="shared" si="26"/>
        <v>58</v>
      </c>
      <c r="C76" s="108">
        <f t="shared" si="19"/>
        <v>0</v>
      </c>
      <c r="D76" s="108">
        <v>0</v>
      </c>
      <c r="E76" s="108">
        <f t="shared" si="14"/>
        <v>0</v>
      </c>
      <c r="F76" s="108">
        <f t="shared" si="20"/>
        <v>0</v>
      </c>
      <c r="G76" s="108">
        <f t="shared" si="21"/>
        <v>0</v>
      </c>
      <c r="H76" s="140">
        <f t="shared" si="8"/>
        <v>0</v>
      </c>
      <c r="I76" s="108">
        <f t="shared" si="27"/>
        <v>431.78331191645549</v>
      </c>
      <c r="J76" s="108">
        <f t="shared" si="28"/>
        <v>373.30011372325839</v>
      </c>
      <c r="K76" s="108">
        <f t="shared" si="15"/>
        <v>8.202280511946233</v>
      </c>
      <c r="L76" s="108">
        <f t="shared" si="16"/>
        <v>0</v>
      </c>
      <c r="M76" s="140">
        <f t="shared" si="22"/>
        <v>813.28570615166007</v>
      </c>
      <c r="O76" s="108">
        <f t="shared" si="23"/>
        <v>60</v>
      </c>
      <c r="P76" s="108">
        <f>SUM($O$18:$O76)</f>
        <v>4417.2226358361258</v>
      </c>
      <c r="Q76" s="108">
        <f>NPV(DiscountRate,$O$18:$O76)</f>
        <v>2639.346050632455</v>
      </c>
      <c r="S76" s="114">
        <f t="shared" si="29"/>
        <v>5546</v>
      </c>
      <c r="T76" s="108">
        <f t="shared" si="24"/>
        <v>2884.049052335291</v>
      </c>
      <c r="V76" s="109">
        <f t="shared" si="17"/>
        <v>0.20352999714458603</v>
      </c>
      <c r="W76" s="109">
        <f t="shared" si="18"/>
        <v>8.4847031816152191E-2</v>
      </c>
    </row>
    <row r="77" spans="1:23">
      <c r="A77" s="138">
        <f t="shared" si="25"/>
        <v>2069</v>
      </c>
      <c r="B77" s="108">
        <f t="shared" si="26"/>
        <v>59</v>
      </c>
      <c r="C77" s="108">
        <f t="shared" si="19"/>
        <v>0</v>
      </c>
      <c r="D77" s="108">
        <v>0</v>
      </c>
      <c r="E77" s="108">
        <f t="shared" si="14"/>
        <v>0</v>
      </c>
      <c r="F77" s="108">
        <f t="shared" si="20"/>
        <v>0</v>
      </c>
      <c r="G77" s="108">
        <f t="shared" si="21"/>
        <v>0</v>
      </c>
      <c r="H77" s="140">
        <f t="shared" si="8"/>
        <v>0</v>
      </c>
      <c r="I77" s="108">
        <f t="shared" si="27"/>
        <v>431.78331191645549</v>
      </c>
      <c r="J77" s="108">
        <f t="shared" si="28"/>
        <v>371.1472932150694</v>
      </c>
      <c r="K77" s="108">
        <f t="shared" si="15"/>
        <v>7.770910782893969</v>
      </c>
      <c r="L77" s="108">
        <f t="shared" si="16"/>
        <v>0</v>
      </c>
      <c r="M77" s="140">
        <f t="shared" si="22"/>
        <v>810.70151591441891</v>
      </c>
      <c r="O77" s="108">
        <f t="shared" si="23"/>
        <v>60</v>
      </c>
      <c r="P77" s="108">
        <f>SUM($O$18:$O77)</f>
        <v>4477.2226358361258</v>
      </c>
      <c r="Q77" s="108">
        <f>NPV(DiscountRate,$O$18:$O77)</f>
        <v>2652.9830659048689</v>
      </c>
      <c r="S77" s="114">
        <f t="shared" si="29"/>
        <v>5640</v>
      </c>
      <c r="T77" s="108">
        <f t="shared" si="24"/>
        <v>2905.4137095954056</v>
      </c>
      <c r="V77" s="109">
        <f t="shared" si="17"/>
        <v>0.20616619931983585</v>
      </c>
      <c r="W77" s="109">
        <f t="shared" si="18"/>
        <v>8.6882856942837594E-2</v>
      </c>
    </row>
    <row r="78" spans="1:23">
      <c r="A78" s="138">
        <f t="shared" si="25"/>
        <v>2070</v>
      </c>
      <c r="B78" s="108">
        <f t="shared" si="26"/>
        <v>60</v>
      </c>
      <c r="C78" s="108">
        <f t="shared" si="19"/>
        <v>0</v>
      </c>
      <c r="D78" s="108">
        <v>0</v>
      </c>
      <c r="E78" s="108">
        <f t="shared" si="14"/>
        <v>0</v>
      </c>
      <c r="F78" s="108">
        <f t="shared" si="20"/>
        <v>0</v>
      </c>
      <c r="G78" s="108">
        <f t="shared" si="21"/>
        <v>0</v>
      </c>
      <c r="H78" s="140">
        <f t="shared" si="8"/>
        <v>0</v>
      </c>
      <c r="I78" s="108">
        <f t="shared" si="27"/>
        <v>431.78331191645549</v>
      </c>
      <c r="J78" s="108">
        <f t="shared" si="28"/>
        <v>369.00688801555594</v>
      </c>
      <c r="K78" s="108">
        <f t="shared" si="15"/>
        <v>7.3622274083100274</v>
      </c>
      <c r="L78" s="108">
        <f t="shared" si="16"/>
        <v>0</v>
      </c>
      <c r="M78" s="140">
        <f t="shared" si="22"/>
        <v>808.15242734032142</v>
      </c>
      <c r="O78" s="108">
        <f t="shared" si="23"/>
        <v>60</v>
      </c>
      <c r="P78" s="108">
        <f>SUM($O$18:$O78)</f>
        <v>4537.2226358361258</v>
      </c>
      <c r="Q78" s="108">
        <f>NPV(DiscountRate,$O$18:$O78)</f>
        <v>2666.2874710486876</v>
      </c>
      <c r="S78" s="114">
        <f t="shared" si="29"/>
        <v>5734</v>
      </c>
      <c r="T78" s="108">
        <f t="shared" si="24"/>
        <v>2926.2572776540546</v>
      </c>
      <c r="V78" s="109">
        <f t="shared" si="17"/>
        <v>0.20871596863688074</v>
      </c>
      <c r="W78" s="109">
        <f t="shared" si="18"/>
        <v>8.8840379344150386E-2</v>
      </c>
    </row>
    <row r="79" spans="1:23">
      <c r="A79" s="138">
        <f t="shared" si="25"/>
        <v>2071</v>
      </c>
      <c r="B79" s="108">
        <f t="shared" si="26"/>
        <v>61</v>
      </c>
      <c r="C79" s="108">
        <f t="shared" si="19"/>
        <v>0</v>
      </c>
      <c r="D79" s="108">
        <v>0</v>
      </c>
      <c r="E79" s="108">
        <f t="shared" si="14"/>
        <v>0</v>
      </c>
      <c r="F79" s="108">
        <f t="shared" si="20"/>
        <v>0</v>
      </c>
      <c r="G79" s="108">
        <f t="shared" si="21"/>
        <v>0</v>
      </c>
      <c r="H79" s="140">
        <f t="shared" si="8"/>
        <v>0</v>
      </c>
      <c r="I79" s="108">
        <f t="shared" si="27"/>
        <v>431.78331191645549</v>
      </c>
      <c r="J79" s="108">
        <f t="shared" si="28"/>
        <v>366.87882652567436</v>
      </c>
      <c r="K79" s="108">
        <f t="shared" si="15"/>
        <v>6.9750372801842726</v>
      </c>
      <c r="L79" s="108">
        <f t="shared" si="16"/>
        <v>0</v>
      </c>
      <c r="M79" s="140">
        <f t="shared" si="22"/>
        <v>805.63717572231417</v>
      </c>
      <c r="O79" s="108">
        <f t="shared" si="23"/>
        <v>60</v>
      </c>
      <c r="P79" s="108">
        <f>SUM($O$18:$O79)</f>
        <v>4597.2226358361258</v>
      </c>
      <c r="Q79" s="108">
        <f>NPV(DiscountRate,$O$18:$O79)</f>
        <v>2679.2673785060711</v>
      </c>
      <c r="S79" s="114">
        <f t="shared" si="29"/>
        <v>5828</v>
      </c>
      <c r="T79" s="108">
        <f t="shared" si="24"/>
        <v>2946.5924660039559</v>
      </c>
      <c r="V79" s="109">
        <f t="shared" si="17"/>
        <v>0.21118348733079514</v>
      </c>
      <c r="W79" s="109">
        <f t="shared" si="18"/>
        <v>9.0723468067648944E-2</v>
      </c>
    </row>
    <row r="80" spans="1:23">
      <c r="A80" s="138">
        <f t="shared" si="25"/>
        <v>2072</v>
      </c>
      <c r="B80" s="108">
        <f t="shared" si="26"/>
        <v>62</v>
      </c>
      <c r="C80" s="108">
        <f t="shared" si="19"/>
        <v>0</v>
      </c>
      <c r="D80" s="108">
        <v>0</v>
      </c>
      <c r="E80" s="108">
        <f t="shared" si="14"/>
        <v>0</v>
      </c>
      <c r="F80" s="108">
        <f t="shared" si="20"/>
        <v>0</v>
      </c>
      <c r="G80" s="108">
        <f t="shared" si="21"/>
        <v>0</v>
      </c>
      <c r="H80" s="140">
        <f t="shared" si="8"/>
        <v>0</v>
      </c>
      <c r="I80" s="108">
        <f t="shared" si="27"/>
        <v>431.78331191645549</v>
      </c>
      <c r="J80" s="108">
        <f t="shared" si="28"/>
        <v>364.76303755929246</v>
      </c>
      <c r="K80" s="108">
        <f t="shared" si="15"/>
        <v>6.6082100377728086</v>
      </c>
      <c r="L80" s="108">
        <f t="shared" si="16"/>
        <v>0</v>
      </c>
      <c r="M80" s="140">
        <f t="shared" si="22"/>
        <v>803.15455951352078</v>
      </c>
      <c r="O80" s="108">
        <f t="shared" si="23"/>
        <v>60</v>
      </c>
      <c r="P80" s="108">
        <f>SUM($O$18:$O80)</f>
        <v>4657.2226358361258</v>
      </c>
      <c r="Q80" s="108">
        <f>NPV(DiscountRate,$O$18:$O80)</f>
        <v>2691.9307028547382</v>
      </c>
      <c r="S80" s="114">
        <f t="shared" si="29"/>
        <v>5922</v>
      </c>
      <c r="T80" s="108">
        <f t="shared" si="24"/>
        <v>2966.4316741502007</v>
      </c>
      <c r="V80" s="109">
        <f t="shared" si="17"/>
        <v>0.21357267209791864</v>
      </c>
      <c r="W80" s="109">
        <f t="shared" si="18"/>
        <v>9.2535747136026414E-2</v>
      </c>
    </row>
    <row r="81" spans="1:23">
      <c r="A81" s="138">
        <f t="shared" si="25"/>
        <v>2073</v>
      </c>
      <c r="B81" s="108">
        <f t="shared" si="26"/>
        <v>63</v>
      </c>
      <c r="C81" s="108">
        <f t="shared" si="19"/>
        <v>0</v>
      </c>
      <c r="D81" s="108">
        <v>0</v>
      </c>
      <c r="E81" s="108">
        <f t="shared" si="14"/>
        <v>0</v>
      </c>
      <c r="F81" s="108">
        <f t="shared" si="20"/>
        <v>0</v>
      </c>
      <c r="G81" s="108">
        <f t="shared" si="21"/>
        <v>0</v>
      </c>
      <c r="H81" s="140">
        <f t="shared" si="8"/>
        <v>0</v>
      </c>
      <c r="I81" s="108">
        <f t="shared" si="27"/>
        <v>431.78331191645549</v>
      </c>
      <c r="J81" s="108">
        <f t="shared" si="28"/>
        <v>362.65945034080823</v>
      </c>
      <c r="K81" s="108">
        <f t="shared" si="15"/>
        <v>6.2606747676290029</v>
      </c>
      <c r="L81" s="108">
        <f t="shared" si="16"/>
        <v>0</v>
      </c>
      <c r="M81" s="140">
        <f t="shared" si="22"/>
        <v>800.70343702489265</v>
      </c>
      <c r="O81" s="108">
        <f t="shared" si="23"/>
        <v>60</v>
      </c>
      <c r="P81" s="108">
        <f>SUM($O$18:$O81)</f>
        <v>4717.2226358361258</v>
      </c>
      <c r="Q81" s="108">
        <f>NPV(DiscountRate,$O$18:$O81)</f>
        <v>2704.2851656339258</v>
      </c>
      <c r="S81" s="114">
        <f t="shared" si="29"/>
        <v>6016</v>
      </c>
      <c r="T81" s="108">
        <f t="shared" si="24"/>
        <v>2985.7869991709272</v>
      </c>
      <c r="V81" s="109">
        <f t="shared" si="17"/>
        <v>0.2158871948410695</v>
      </c>
      <c r="W81" s="109">
        <f t="shared" si="18"/>
        <v>9.4280614663794476E-2</v>
      </c>
    </row>
    <row r="82" spans="1:23">
      <c r="A82" s="138">
        <f t="shared" si="25"/>
        <v>2074</v>
      </c>
      <c r="B82" s="108">
        <f t="shared" si="26"/>
        <v>64</v>
      </c>
      <c r="C82" s="108">
        <f t="shared" ref="C82:C113" si="30">IF($B82&gt;=ProductionYears, 0, ProcessEmissions)</f>
        <v>0</v>
      </c>
      <c r="D82" s="108">
        <v>0</v>
      </c>
      <c r="E82" s="108">
        <f t="shared" si="14"/>
        <v>0</v>
      </c>
      <c r="F82" s="108">
        <f t="shared" ref="F82:F113" si="31">IF(AND($C$13&gt;0, $B82&lt;ProductionYears),$C$6,0)</f>
        <v>0</v>
      </c>
      <c r="G82" s="108">
        <f t="shared" ref="G82:G113" si="32">IF($B82&gt;=ProductionYears+RecoveryYears,0,IF($B82&gt;=ProductionYears,$C$9,0))</f>
        <v>0</v>
      </c>
      <c r="H82" s="140">
        <f t="shared" si="8"/>
        <v>0</v>
      </c>
      <c r="I82" s="108">
        <f t="shared" si="27"/>
        <v>431.78331191645549</v>
      </c>
      <c r="J82" s="108">
        <f t="shared" si="28"/>
        <v>360.56799450278237</v>
      </c>
      <c r="K82" s="108">
        <f t="shared" si="15"/>
        <v>5.9314168771846232</v>
      </c>
      <c r="L82" s="108">
        <f t="shared" si="16"/>
        <v>0</v>
      </c>
      <c r="M82" s="140">
        <f t="shared" ref="M82:M113" si="33">SUM(I82:L82)</f>
        <v>798.28272329642243</v>
      </c>
      <c r="O82" s="108">
        <f t="shared" ref="O82:O113" si="34">SUM(C82:G82)+IF(B82&gt;=ProductionYears,ProcessEmissions)-G82</f>
        <v>60</v>
      </c>
      <c r="P82" s="108">
        <f>SUM($O$18:$O82)</f>
        <v>4777.2226358361258</v>
      </c>
      <c r="Q82" s="108">
        <f>NPV(DiscountRate,$O$18:$O82)</f>
        <v>2716.3383000526455</v>
      </c>
      <c r="S82" s="114">
        <f t="shared" si="29"/>
        <v>6110</v>
      </c>
      <c r="T82" s="108">
        <f t="shared" ref="T82:T113" si="35">-PV(DiscountRate,$B82+1,GasolineGWI, 0)</f>
        <v>3004.6702430935879</v>
      </c>
      <c r="V82" s="109">
        <f t="shared" si="17"/>
        <v>0.21813050149981575</v>
      </c>
      <c r="W82" s="109">
        <f t="shared" si="18"/>
        <v>9.5961260209399157E-2</v>
      </c>
    </row>
    <row r="83" spans="1:23">
      <c r="A83" s="138">
        <f t="shared" ref="A83:A119" si="36">A82+1</f>
        <v>2075</v>
      </c>
      <c r="B83" s="108">
        <f t="shared" ref="B83:B119" si="37">B82+1</f>
        <v>65</v>
      </c>
      <c r="C83" s="108">
        <f t="shared" si="30"/>
        <v>0</v>
      </c>
      <c r="D83" s="108">
        <v>0</v>
      </c>
      <c r="E83" s="108">
        <f t="shared" si="14"/>
        <v>0</v>
      </c>
      <c r="F83" s="108">
        <f t="shared" si="31"/>
        <v>0</v>
      </c>
      <c r="G83" s="108">
        <f t="shared" si="32"/>
        <v>0</v>
      </c>
      <c r="H83" s="140">
        <f t="shared" ref="H83:H119" si="38">SUM(C83:G83)</f>
        <v>0</v>
      </c>
      <c r="I83" s="108">
        <f t="shared" ref="I83:I114" si="39">MAX(0,A_0*H83+I82)</f>
        <v>431.78331191645549</v>
      </c>
      <c r="J83" s="108">
        <f t="shared" ref="J83:J119" si="40">MAX(0,A_1*H83 + J82*EXP(-1/T_1))</f>
        <v>358.48860008358429</v>
      </c>
      <c r="K83" s="108">
        <f t="shared" si="15"/>
        <v>5.6194751327538368</v>
      </c>
      <c r="L83" s="108">
        <f t="shared" si="16"/>
        <v>0</v>
      </c>
      <c r="M83" s="140">
        <f t="shared" si="33"/>
        <v>795.89138713279351</v>
      </c>
      <c r="O83" s="108">
        <f t="shared" si="34"/>
        <v>60</v>
      </c>
      <c r="P83" s="108">
        <f>SUM($O$18:$O83)</f>
        <v>4837.2226358361258</v>
      </c>
      <c r="Q83" s="108">
        <f>NPV(DiscountRate,$O$18:$O83)</f>
        <v>2728.0974555831031</v>
      </c>
      <c r="S83" s="114">
        <f t="shared" ref="S83:S119" si="41">S82+GasolineGWI</f>
        <v>6204</v>
      </c>
      <c r="T83" s="108">
        <f t="shared" si="35"/>
        <v>3023.0929200913047</v>
      </c>
      <c r="V83" s="109">
        <f t="shared" si="17"/>
        <v>0.22030582916890298</v>
      </c>
      <c r="W83" s="109">
        <f t="shared" si="18"/>
        <v>9.7580680549935614E-2</v>
      </c>
    </row>
    <row r="84" spans="1:23">
      <c r="A84" s="138">
        <f t="shared" si="36"/>
        <v>2076</v>
      </c>
      <c r="B84" s="108">
        <f t="shared" si="37"/>
        <v>66</v>
      </c>
      <c r="C84" s="108">
        <f t="shared" si="30"/>
        <v>0</v>
      </c>
      <c r="D84" s="108">
        <v>0</v>
      </c>
      <c r="E84" s="108">
        <f t="shared" ref="E84:E119" si="42">IF($B84&lt;$C$10,$C$7,IF($B84&lt;$C$10+$C$11,$C$8,0))</f>
        <v>0</v>
      </c>
      <c r="F84" s="108">
        <f t="shared" si="31"/>
        <v>0</v>
      </c>
      <c r="G84" s="108">
        <f t="shared" si="32"/>
        <v>0</v>
      </c>
      <c r="H84" s="140">
        <f t="shared" si="38"/>
        <v>0</v>
      </c>
      <c r="I84" s="108">
        <f t="shared" si="39"/>
        <v>431.78331191645549</v>
      </c>
      <c r="J84" s="108">
        <f t="shared" si="40"/>
        <v>356.42119752505187</v>
      </c>
      <c r="K84" s="108">
        <f t="shared" ref="K84:K119" si="43">MAX(0, A_2*H84 + K83*EXP(-1/T_2))</f>
        <v>5.3239388533128436</v>
      </c>
      <c r="L84" s="108">
        <f t="shared" ref="L84:L119" si="44">MAX(0, A_3*H84 + L83*EXP(-1/T_3))</f>
        <v>0</v>
      </c>
      <c r="M84" s="140">
        <f t="shared" si="33"/>
        <v>793.52844829482012</v>
      </c>
      <c r="O84" s="108">
        <f t="shared" si="34"/>
        <v>60</v>
      </c>
      <c r="P84" s="108">
        <f>SUM($O$18:$O84)</f>
        <v>4897.2226358361258</v>
      </c>
      <c r="Q84" s="108">
        <f>NPV(DiscountRate,$O$18:$O84)</f>
        <v>2739.5698024420867</v>
      </c>
      <c r="S84" s="114">
        <f t="shared" si="41"/>
        <v>6298</v>
      </c>
      <c r="T84" s="108">
        <f t="shared" si="35"/>
        <v>3041.066263503712</v>
      </c>
      <c r="V84" s="109">
        <f t="shared" si="17"/>
        <v>0.22241622168368913</v>
      </c>
      <c r="W84" s="109">
        <f t="shared" si="18"/>
        <v>9.9141694043279854E-2</v>
      </c>
    </row>
    <row r="85" spans="1:23">
      <c r="A85" s="138">
        <f t="shared" si="36"/>
        <v>2077</v>
      </c>
      <c r="B85" s="108">
        <f t="shared" si="37"/>
        <v>67</v>
      </c>
      <c r="C85" s="108">
        <f t="shared" si="30"/>
        <v>0</v>
      </c>
      <c r="D85" s="108">
        <v>0</v>
      </c>
      <c r="E85" s="108">
        <f t="shared" si="42"/>
        <v>0</v>
      </c>
      <c r="F85" s="108">
        <f t="shared" si="31"/>
        <v>0</v>
      </c>
      <c r="G85" s="108">
        <f t="shared" si="32"/>
        <v>0</v>
      </c>
      <c r="H85" s="140">
        <f t="shared" si="38"/>
        <v>0</v>
      </c>
      <c r="I85" s="108">
        <f t="shared" si="39"/>
        <v>431.78331191645549</v>
      </c>
      <c r="J85" s="108">
        <f t="shared" si="40"/>
        <v>354.36571767016483</v>
      </c>
      <c r="K85" s="108">
        <f t="shared" si="43"/>
        <v>5.043945251862672</v>
      </c>
      <c r="L85" s="108">
        <f t="shared" si="44"/>
        <v>0</v>
      </c>
      <c r="M85" s="140">
        <f t="shared" si="33"/>
        <v>791.192974838483</v>
      </c>
      <c r="O85" s="108">
        <f t="shared" si="34"/>
        <v>60</v>
      </c>
      <c r="P85" s="108">
        <f>SUM($O$18:$O85)</f>
        <v>4957.2226358361258</v>
      </c>
      <c r="Q85" s="108">
        <f>NPV(DiscountRate,$O$18:$O85)</f>
        <v>2750.7623359630461</v>
      </c>
      <c r="S85" s="114">
        <f t="shared" si="41"/>
        <v>6392</v>
      </c>
      <c r="T85" s="108">
        <f t="shared" si="35"/>
        <v>3058.6012326865484</v>
      </c>
      <c r="V85" s="109">
        <f t="shared" si="17"/>
        <v>0.22446454383039333</v>
      </c>
      <c r="W85" s="109">
        <f t="shared" si="18"/>
        <v>0.10064695372306164</v>
      </c>
    </row>
    <row r="86" spans="1:23">
      <c r="A86" s="138">
        <f t="shared" si="36"/>
        <v>2078</v>
      </c>
      <c r="B86" s="108">
        <f t="shared" si="37"/>
        <v>68</v>
      </c>
      <c r="C86" s="108">
        <f t="shared" si="30"/>
        <v>0</v>
      </c>
      <c r="D86" s="108">
        <v>0</v>
      </c>
      <c r="E86" s="108">
        <f t="shared" si="42"/>
        <v>0</v>
      </c>
      <c r="F86" s="108">
        <f t="shared" si="31"/>
        <v>0</v>
      </c>
      <c r="G86" s="108">
        <f t="shared" si="32"/>
        <v>0</v>
      </c>
      <c r="H86" s="140">
        <f t="shared" si="38"/>
        <v>0</v>
      </c>
      <c r="I86" s="108">
        <f t="shared" si="39"/>
        <v>431.78331191645549</v>
      </c>
      <c r="J86" s="108">
        <f t="shared" si="40"/>
        <v>352.32209176073104</v>
      </c>
      <c r="K86" s="108">
        <f t="shared" si="43"/>
        <v>4.7786769166135308</v>
      </c>
      <c r="L86" s="108">
        <f t="shared" si="44"/>
        <v>0</v>
      </c>
      <c r="M86" s="140">
        <f t="shared" si="33"/>
        <v>788.88408059380015</v>
      </c>
      <c r="O86" s="108">
        <f t="shared" si="34"/>
        <v>60</v>
      </c>
      <c r="P86" s="108">
        <f>SUM($O$18:$O86)</f>
        <v>5017.2226358361258</v>
      </c>
      <c r="Q86" s="108">
        <f>NPV(DiscountRate,$O$18:$O86)</f>
        <v>2761.681880861543</v>
      </c>
      <c r="S86" s="114">
        <f t="shared" si="41"/>
        <v>6486</v>
      </c>
      <c r="T86" s="108">
        <f t="shared" si="35"/>
        <v>3075.7085196941935</v>
      </c>
      <c r="V86" s="109">
        <f t="shared" si="17"/>
        <v>0.22645349432067133</v>
      </c>
      <c r="W86" s="109">
        <f t="shared" si="18"/>
        <v>0.10209895925504441</v>
      </c>
    </row>
    <row r="87" spans="1:23">
      <c r="A87" s="138">
        <f t="shared" si="36"/>
        <v>2079</v>
      </c>
      <c r="B87" s="108">
        <f t="shared" si="37"/>
        <v>69</v>
      </c>
      <c r="C87" s="108">
        <f t="shared" si="30"/>
        <v>0</v>
      </c>
      <c r="D87" s="108">
        <v>0</v>
      </c>
      <c r="E87" s="108">
        <f t="shared" si="42"/>
        <v>0</v>
      </c>
      <c r="F87" s="108">
        <f t="shared" si="31"/>
        <v>0</v>
      </c>
      <c r="G87" s="108">
        <f t="shared" si="32"/>
        <v>0</v>
      </c>
      <c r="H87" s="140">
        <f t="shared" si="38"/>
        <v>0</v>
      </c>
      <c r="I87" s="108">
        <f t="shared" si="39"/>
        <v>431.78331191645549</v>
      </c>
      <c r="J87" s="108">
        <f t="shared" si="40"/>
        <v>350.2902514350867</v>
      </c>
      <c r="K87" s="108">
        <f t="shared" si="43"/>
        <v>4.5273594246372948</v>
      </c>
      <c r="L87" s="108">
        <f t="shared" si="44"/>
        <v>0</v>
      </c>
      <c r="M87" s="140">
        <f t="shared" si="33"/>
        <v>786.60092277617946</v>
      </c>
      <c r="O87" s="108">
        <f t="shared" si="34"/>
        <v>60</v>
      </c>
      <c r="P87" s="108">
        <f>SUM($O$18:$O87)</f>
        <v>5077.2226358361258</v>
      </c>
      <c r="Q87" s="108">
        <f>NPV(DiscountRate,$O$18:$O87)</f>
        <v>2772.3350953966619</v>
      </c>
      <c r="S87" s="114">
        <f t="shared" si="41"/>
        <v>6580</v>
      </c>
      <c r="T87" s="108">
        <f t="shared" si="35"/>
        <v>3092.3985557992128</v>
      </c>
      <c r="V87" s="109">
        <f t="shared" si="17"/>
        <v>0.22838561765408422</v>
      </c>
      <c r="W87" s="109">
        <f t="shared" si="18"/>
        <v>0.10350006786878488</v>
      </c>
    </row>
    <row r="88" spans="1:23">
      <c r="A88" s="138">
        <f t="shared" si="36"/>
        <v>2080</v>
      </c>
      <c r="B88" s="108">
        <f t="shared" si="37"/>
        <v>70</v>
      </c>
      <c r="C88" s="108">
        <f t="shared" si="30"/>
        <v>0</v>
      </c>
      <c r="D88" s="108">
        <v>0</v>
      </c>
      <c r="E88" s="108">
        <f t="shared" si="42"/>
        <v>0</v>
      </c>
      <c r="F88" s="108">
        <f t="shared" si="31"/>
        <v>0</v>
      </c>
      <c r="G88" s="108">
        <f t="shared" si="32"/>
        <v>0</v>
      </c>
      <c r="H88" s="140">
        <f t="shared" si="38"/>
        <v>0</v>
      </c>
      <c r="I88" s="108">
        <f t="shared" si="39"/>
        <v>431.78331191645549</v>
      </c>
      <c r="J88" s="108">
        <f t="shared" si="40"/>
        <v>348.27012872580946</v>
      </c>
      <c r="K88" s="108">
        <f t="shared" si="43"/>
        <v>4.2892590810214433</v>
      </c>
      <c r="L88" s="108">
        <f t="shared" si="44"/>
        <v>0</v>
      </c>
      <c r="M88" s="140">
        <f t="shared" si="33"/>
        <v>784.34269972328639</v>
      </c>
      <c r="O88" s="108">
        <f t="shared" si="34"/>
        <v>60</v>
      </c>
      <c r="P88" s="108">
        <f>SUM($O$18:$O88)</f>
        <v>5137.2226358361258</v>
      </c>
      <c r="Q88" s="108">
        <f>NPV(DiscountRate,$O$18:$O88)</f>
        <v>2782.7284754309239</v>
      </c>
      <c r="S88" s="114">
        <f t="shared" si="41"/>
        <v>6674</v>
      </c>
      <c r="T88" s="108">
        <f t="shared" si="35"/>
        <v>3108.6815178528909</v>
      </c>
      <c r="V88" s="109">
        <f t="shared" si="17"/>
        <v>0.2302633149781052</v>
      </c>
      <c r="W88" s="109">
        <f t="shared" si="18"/>
        <v>0.1048525043656118</v>
      </c>
    </row>
    <row r="89" spans="1:23">
      <c r="A89" s="138">
        <f t="shared" si="36"/>
        <v>2081</v>
      </c>
      <c r="B89" s="108">
        <f t="shared" si="37"/>
        <v>71</v>
      </c>
      <c r="C89" s="108">
        <f t="shared" si="30"/>
        <v>0</v>
      </c>
      <c r="D89" s="108">
        <v>0</v>
      </c>
      <c r="E89" s="108">
        <f t="shared" si="42"/>
        <v>0</v>
      </c>
      <c r="F89" s="108">
        <f t="shared" si="31"/>
        <v>0</v>
      </c>
      <c r="G89" s="108">
        <f t="shared" si="32"/>
        <v>0</v>
      </c>
      <c r="H89" s="140">
        <f t="shared" si="38"/>
        <v>0</v>
      </c>
      <c r="I89" s="108">
        <f t="shared" si="39"/>
        <v>431.78331191645549</v>
      </c>
      <c r="J89" s="108">
        <f t="shared" si="40"/>
        <v>346.2616560574449</v>
      </c>
      <c r="K89" s="108">
        <f t="shared" si="43"/>
        <v>4.0636807769241416</v>
      </c>
      <c r="L89" s="108">
        <f t="shared" si="44"/>
        <v>0</v>
      </c>
      <c r="M89" s="140">
        <f t="shared" si="33"/>
        <v>782.1086487508245</v>
      </c>
      <c r="O89" s="108">
        <f t="shared" si="34"/>
        <v>60</v>
      </c>
      <c r="P89" s="108">
        <f>SUM($O$18:$O89)</f>
        <v>5197.2226358361258</v>
      </c>
      <c r="Q89" s="108">
        <f>NPV(DiscountRate,$O$18:$O89)</f>
        <v>2792.8683583911802</v>
      </c>
      <c r="S89" s="114">
        <f t="shared" si="41"/>
        <v>6768</v>
      </c>
      <c r="T89" s="108">
        <f t="shared" si="35"/>
        <v>3124.5673344906254</v>
      </c>
      <c r="V89" s="109">
        <f t="shared" si="17"/>
        <v>0.23208885404312563</v>
      </c>
      <c r="W89" s="109">
        <f t="shared" si="18"/>
        <v>0.10615837029273673</v>
      </c>
    </row>
    <row r="90" spans="1:23">
      <c r="A90" s="138">
        <f t="shared" si="36"/>
        <v>2082</v>
      </c>
      <c r="B90" s="108">
        <f t="shared" si="37"/>
        <v>72</v>
      </c>
      <c r="C90" s="108">
        <f t="shared" si="30"/>
        <v>0</v>
      </c>
      <c r="D90" s="108">
        <v>0</v>
      </c>
      <c r="E90" s="108">
        <f t="shared" si="42"/>
        <v>0</v>
      </c>
      <c r="F90" s="108">
        <f t="shared" si="31"/>
        <v>0</v>
      </c>
      <c r="G90" s="108">
        <f t="shared" si="32"/>
        <v>0</v>
      </c>
      <c r="H90" s="140">
        <f t="shared" si="38"/>
        <v>0</v>
      </c>
      <c r="I90" s="108">
        <f t="shared" si="39"/>
        <v>431.78331191645549</v>
      </c>
      <c r="J90" s="108">
        <f t="shared" si="40"/>
        <v>344.26476624424606</v>
      </c>
      <c r="K90" s="108">
        <f t="shared" si="43"/>
        <v>3.8499659602772871</v>
      </c>
      <c r="L90" s="108">
        <f t="shared" si="44"/>
        <v>0</v>
      </c>
      <c r="M90" s="140">
        <f t="shared" si="33"/>
        <v>779.89804412097885</v>
      </c>
      <c r="O90" s="108">
        <f t="shared" si="34"/>
        <v>60</v>
      </c>
      <c r="P90" s="108">
        <f>SUM($O$18:$O90)</f>
        <v>5257.2226358361258</v>
      </c>
      <c r="Q90" s="108">
        <f>NPV(DiscountRate,$O$18:$O90)</f>
        <v>2802.7609271328934</v>
      </c>
      <c r="S90" s="114">
        <f t="shared" si="41"/>
        <v>6862</v>
      </c>
      <c r="T90" s="108">
        <f t="shared" si="35"/>
        <v>3140.0656921859754</v>
      </c>
      <c r="V90" s="109">
        <f t="shared" si="17"/>
        <v>0.23386437833924134</v>
      </c>
      <c r="W90" s="109">
        <f t="shared" si="18"/>
        <v>0.10741965236347184</v>
      </c>
    </row>
    <row r="91" spans="1:23">
      <c r="A91" s="138">
        <f t="shared" si="36"/>
        <v>2083</v>
      </c>
      <c r="B91" s="108">
        <f t="shared" si="37"/>
        <v>73</v>
      </c>
      <c r="C91" s="108">
        <f t="shared" si="30"/>
        <v>0</v>
      </c>
      <c r="D91" s="108">
        <v>0</v>
      </c>
      <c r="E91" s="108">
        <f t="shared" si="42"/>
        <v>0</v>
      </c>
      <c r="F91" s="108">
        <f t="shared" si="31"/>
        <v>0</v>
      </c>
      <c r="G91" s="108">
        <f t="shared" si="32"/>
        <v>0</v>
      </c>
      <c r="H91" s="140">
        <f t="shared" si="38"/>
        <v>0</v>
      </c>
      <c r="I91" s="108">
        <f t="shared" si="39"/>
        <v>431.78331191645549</v>
      </c>
      <c r="J91" s="108">
        <f t="shared" si="40"/>
        <v>342.27939248792586</v>
      </c>
      <c r="K91" s="108">
        <f t="shared" si="43"/>
        <v>3.6474907132132013</v>
      </c>
      <c r="L91" s="108">
        <f t="shared" si="44"/>
        <v>0</v>
      </c>
      <c r="M91" s="140">
        <f t="shared" si="33"/>
        <v>777.71019511759448</v>
      </c>
      <c r="O91" s="108">
        <f t="shared" si="34"/>
        <v>60</v>
      </c>
      <c r="P91" s="108">
        <f>SUM($O$18:$O91)</f>
        <v>5317.2226358361258</v>
      </c>
      <c r="Q91" s="108">
        <f>NPV(DiscountRate,$O$18:$O91)</f>
        <v>2812.4122137101745</v>
      </c>
      <c r="S91" s="114">
        <f t="shared" si="41"/>
        <v>6956</v>
      </c>
      <c r="T91" s="108">
        <f t="shared" si="35"/>
        <v>3155.1860411570492</v>
      </c>
      <c r="V91" s="109">
        <f t="shared" ref="V91:V119" si="45">(S91-P91)/S91</f>
        <v>0.23559191549221883</v>
      </c>
      <c r="W91" s="109">
        <f t="shared" ref="W91:W119" si="46">(T91-Q91)/T91</f>
        <v>0.10863823019487465</v>
      </c>
    </row>
    <row r="92" spans="1:23">
      <c r="A92" s="138">
        <f t="shared" si="36"/>
        <v>2084</v>
      </c>
      <c r="B92" s="108">
        <f t="shared" si="37"/>
        <v>74</v>
      </c>
      <c r="C92" s="108">
        <f t="shared" si="30"/>
        <v>0</v>
      </c>
      <c r="D92" s="108">
        <v>0</v>
      </c>
      <c r="E92" s="108">
        <f t="shared" si="42"/>
        <v>0</v>
      </c>
      <c r="F92" s="108">
        <f t="shared" si="31"/>
        <v>0</v>
      </c>
      <c r="G92" s="108">
        <f t="shared" si="32"/>
        <v>0</v>
      </c>
      <c r="H92" s="140">
        <f t="shared" si="38"/>
        <v>0</v>
      </c>
      <c r="I92" s="108">
        <f t="shared" si="39"/>
        <v>431.78331191645549</v>
      </c>
      <c r="J92" s="108">
        <f t="shared" si="40"/>
        <v>340.30546837542278</v>
      </c>
      <c r="K92" s="108">
        <f t="shared" si="43"/>
        <v>3.4556639306022165</v>
      </c>
      <c r="L92" s="108">
        <f t="shared" si="44"/>
        <v>0</v>
      </c>
      <c r="M92" s="140">
        <f t="shared" si="33"/>
        <v>775.54444422248048</v>
      </c>
      <c r="O92" s="108">
        <f t="shared" si="34"/>
        <v>60</v>
      </c>
      <c r="P92" s="108">
        <f>SUM($O$18:$O92)</f>
        <v>5377.2226358361258</v>
      </c>
      <c r="Q92" s="108">
        <f>NPV(DiscountRate,$O$18:$O92)</f>
        <v>2821.8281030538633</v>
      </c>
      <c r="S92" s="114">
        <f t="shared" si="41"/>
        <v>7050</v>
      </c>
      <c r="T92" s="108">
        <f t="shared" si="35"/>
        <v>3169.9376011288286</v>
      </c>
      <c r="V92" s="109">
        <f t="shared" si="45"/>
        <v>0.23727338498778358</v>
      </c>
      <c r="W92" s="109">
        <f t="shared" si="46"/>
        <v>0.10981588342653875</v>
      </c>
    </row>
    <row r="93" spans="1:23">
      <c r="A93" s="138">
        <f t="shared" si="36"/>
        <v>2085</v>
      </c>
      <c r="B93" s="108">
        <f t="shared" si="37"/>
        <v>75</v>
      </c>
      <c r="C93" s="108">
        <f t="shared" si="30"/>
        <v>0</v>
      </c>
      <c r="D93" s="108">
        <v>0</v>
      </c>
      <c r="E93" s="108">
        <f t="shared" si="42"/>
        <v>0</v>
      </c>
      <c r="F93" s="108">
        <f t="shared" si="31"/>
        <v>0</v>
      </c>
      <c r="G93" s="108">
        <f t="shared" si="32"/>
        <v>0</v>
      </c>
      <c r="H93" s="140">
        <f t="shared" si="38"/>
        <v>0</v>
      </c>
      <c r="I93" s="108">
        <f t="shared" si="39"/>
        <v>431.78331191645549</v>
      </c>
      <c r="J93" s="108">
        <f t="shared" si="40"/>
        <v>338.3429278766792</v>
      </c>
      <c r="K93" s="108">
        <f t="shared" si="43"/>
        <v>3.2739255943835919</v>
      </c>
      <c r="L93" s="108">
        <f t="shared" si="44"/>
        <v>0</v>
      </c>
      <c r="M93" s="140">
        <f t="shared" si="33"/>
        <v>773.40016538751831</v>
      </c>
      <c r="O93" s="108">
        <f t="shared" si="34"/>
        <v>60</v>
      </c>
      <c r="P93" s="108">
        <f>SUM($O$18:$O93)</f>
        <v>5437.2226358361258</v>
      </c>
      <c r="Q93" s="108">
        <f>NPV(DiscountRate,$O$18:$O93)</f>
        <v>2831.014336559901</v>
      </c>
      <c r="S93" s="114">
        <f t="shared" si="41"/>
        <v>7144</v>
      </c>
      <c r="T93" s="108">
        <f t="shared" si="35"/>
        <v>3184.3293669549548</v>
      </c>
      <c r="V93" s="109">
        <f t="shared" si="45"/>
        <v>0.23891060528609662</v>
      </c>
      <c r="W93" s="109">
        <f t="shared" si="46"/>
        <v>0.11095429827754114</v>
      </c>
    </row>
    <row r="94" spans="1:23">
      <c r="A94" s="138">
        <f t="shared" si="36"/>
        <v>2086</v>
      </c>
      <c r="B94" s="108">
        <f t="shared" si="37"/>
        <v>76</v>
      </c>
      <c r="C94" s="108">
        <f t="shared" si="30"/>
        <v>0</v>
      </c>
      <c r="D94" s="108">
        <v>0</v>
      </c>
      <c r="E94" s="108">
        <f t="shared" si="42"/>
        <v>0</v>
      </c>
      <c r="F94" s="108">
        <f t="shared" si="31"/>
        <v>0</v>
      </c>
      <c r="G94" s="108">
        <f t="shared" si="32"/>
        <v>0</v>
      </c>
      <c r="H94" s="140">
        <f t="shared" si="38"/>
        <v>0</v>
      </c>
      <c r="I94" s="108">
        <f t="shared" si="39"/>
        <v>431.78331191645549</v>
      </c>
      <c r="J94" s="108">
        <f t="shared" si="40"/>
        <v>336.39170534243266</v>
      </c>
      <c r="K94" s="108">
        <f t="shared" si="43"/>
        <v>3.1017451386518458</v>
      </c>
      <c r="L94" s="108">
        <f t="shared" si="44"/>
        <v>0</v>
      </c>
      <c r="M94" s="140">
        <f t="shared" si="33"/>
        <v>771.27676239753998</v>
      </c>
      <c r="O94" s="108">
        <f t="shared" si="34"/>
        <v>60</v>
      </c>
      <c r="P94" s="108">
        <f>SUM($O$18:$O94)</f>
        <v>5497.2226358361258</v>
      </c>
      <c r="Q94" s="108">
        <f>NPV(DiscountRate,$O$18:$O94)</f>
        <v>2839.9765155901819</v>
      </c>
      <c r="S94" s="114">
        <f t="shared" si="41"/>
        <v>7238</v>
      </c>
      <c r="T94" s="108">
        <f t="shared" si="35"/>
        <v>3198.3701141023944</v>
      </c>
      <c r="V94" s="109">
        <f t="shared" si="45"/>
        <v>0.24050530038185605</v>
      </c>
      <c r="W94" s="109">
        <f t="shared" si="46"/>
        <v>0.1120550735926301</v>
      </c>
    </row>
    <row r="95" spans="1:23">
      <c r="A95" s="138">
        <f t="shared" si="36"/>
        <v>2087</v>
      </c>
      <c r="B95" s="108">
        <f t="shared" si="37"/>
        <v>77</v>
      </c>
      <c r="C95" s="108">
        <f t="shared" si="30"/>
        <v>0</v>
      </c>
      <c r="D95" s="108">
        <v>0</v>
      </c>
      <c r="E95" s="108">
        <f t="shared" si="42"/>
        <v>0</v>
      </c>
      <c r="F95" s="108">
        <f t="shared" si="31"/>
        <v>0</v>
      </c>
      <c r="G95" s="108">
        <f t="shared" si="32"/>
        <v>0</v>
      </c>
      <c r="H95" s="140">
        <f t="shared" si="38"/>
        <v>0</v>
      </c>
      <c r="I95" s="108">
        <f t="shared" si="39"/>
        <v>431.78331191645549</v>
      </c>
      <c r="J95" s="108">
        <f t="shared" si="40"/>
        <v>334.45173550201969</v>
      </c>
      <c r="K95" s="108">
        <f t="shared" si="43"/>
        <v>2.9386199007255533</v>
      </c>
      <c r="L95" s="108">
        <f t="shared" si="44"/>
        <v>0</v>
      </c>
      <c r="M95" s="140">
        <f t="shared" si="33"/>
        <v>769.17366731920083</v>
      </c>
      <c r="O95" s="108">
        <f t="shared" si="34"/>
        <v>60</v>
      </c>
      <c r="P95" s="108">
        <f>SUM($O$18:$O95)</f>
        <v>5557.2226358361258</v>
      </c>
      <c r="Q95" s="108">
        <f>NPV(DiscountRate,$O$18:$O95)</f>
        <v>2848.720104888017</v>
      </c>
      <c r="S95" s="114">
        <f t="shared" si="41"/>
        <v>7332</v>
      </c>
      <c r="T95" s="108">
        <f t="shared" si="35"/>
        <v>3212.0684040023366</v>
      </c>
      <c r="V95" s="109">
        <f t="shared" si="45"/>
        <v>0.24205910585977553</v>
      </c>
      <c r="W95" s="109">
        <f t="shared" si="46"/>
        <v>0.11311972642350218</v>
      </c>
    </row>
    <row r="96" spans="1:23">
      <c r="A96" s="138">
        <f t="shared" si="36"/>
        <v>2088</v>
      </c>
      <c r="B96" s="108">
        <f t="shared" si="37"/>
        <v>78</v>
      </c>
      <c r="C96" s="108">
        <f t="shared" si="30"/>
        <v>0</v>
      </c>
      <c r="D96" s="108">
        <v>0</v>
      </c>
      <c r="E96" s="108">
        <f t="shared" si="42"/>
        <v>0</v>
      </c>
      <c r="F96" s="108">
        <f t="shared" si="31"/>
        <v>0</v>
      </c>
      <c r="G96" s="108">
        <f t="shared" si="32"/>
        <v>0</v>
      </c>
      <c r="H96" s="140">
        <f t="shared" si="38"/>
        <v>0</v>
      </c>
      <c r="I96" s="108">
        <f t="shared" si="39"/>
        <v>431.78331191645549</v>
      </c>
      <c r="J96" s="108">
        <f t="shared" si="40"/>
        <v>332.52295346119257</v>
      </c>
      <c r="K96" s="108">
        <f t="shared" si="43"/>
        <v>2.7840736536766593</v>
      </c>
      <c r="L96" s="108">
        <f t="shared" si="44"/>
        <v>0</v>
      </c>
      <c r="M96" s="140">
        <f t="shared" si="33"/>
        <v>767.09033903132467</v>
      </c>
      <c r="O96" s="108">
        <f t="shared" si="34"/>
        <v>60</v>
      </c>
      <c r="P96" s="108">
        <f>SUM($O$18:$O96)</f>
        <v>5617.2226358361258</v>
      </c>
      <c r="Q96" s="108">
        <f>NPV(DiscountRate,$O$18:$O96)</f>
        <v>2857.250435910295</v>
      </c>
      <c r="S96" s="114">
        <f t="shared" si="41"/>
        <v>7426</v>
      </c>
      <c r="T96" s="108">
        <f t="shared" si="35"/>
        <v>3225.432589270572</v>
      </c>
      <c r="V96" s="109">
        <f t="shared" si="45"/>
        <v>0.24357357449015274</v>
      </c>
      <c r="W96" s="109">
        <f t="shared" si="46"/>
        <v>0.11414969718636747</v>
      </c>
    </row>
    <row r="97" spans="1:23">
      <c r="A97" s="138">
        <f t="shared" si="36"/>
        <v>2089</v>
      </c>
      <c r="B97" s="108">
        <f t="shared" si="37"/>
        <v>79</v>
      </c>
      <c r="C97" s="108">
        <f t="shared" si="30"/>
        <v>0</v>
      </c>
      <c r="D97" s="108">
        <v>0</v>
      </c>
      <c r="E97" s="108">
        <f t="shared" si="42"/>
        <v>0</v>
      </c>
      <c r="F97" s="108">
        <f t="shared" si="31"/>
        <v>0</v>
      </c>
      <c r="G97" s="108">
        <f t="shared" si="32"/>
        <v>0</v>
      </c>
      <c r="H97" s="140">
        <f t="shared" si="38"/>
        <v>0</v>
      </c>
      <c r="I97" s="108">
        <f t="shared" si="39"/>
        <v>431.78331191645549</v>
      </c>
      <c r="J97" s="108">
        <f t="shared" si="40"/>
        <v>330.60529469994844</v>
      </c>
      <c r="K97" s="108">
        <f t="shared" si="43"/>
        <v>2.6376552160361886</v>
      </c>
      <c r="L97" s="108">
        <f t="shared" si="44"/>
        <v>0</v>
      </c>
      <c r="M97" s="140">
        <f t="shared" si="33"/>
        <v>765.02626183244001</v>
      </c>
      <c r="O97" s="108">
        <f t="shared" si="34"/>
        <v>60</v>
      </c>
      <c r="P97" s="108">
        <f>SUM($O$18:$O97)</f>
        <v>5677.2226358361258</v>
      </c>
      <c r="Q97" s="108">
        <f>NPV(DiscountRate,$O$18:$O97)</f>
        <v>2865.5727100783711</v>
      </c>
      <c r="S97" s="114">
        <f t="shared" si="41"/>
        <v>7520</v>
      </c>
      <c r="T97" s="108">
        <f t="shared" si="35"/>
        <v>3238.4708188005579</v>
      </c>
      <c r="V97" s="109">
        <f t="shared" si="45"/>
        <v>0.2450501814047705</v>
      </c>
      <c r="W97" s="109">
        <f t="shared" si="46"/>
        <v>0.11514635443289195</v>
      </c>
    </row>
    <row r="98" spans="1:23">
      <c r="A98" s="138">
        <f t="shared" si="36"/>
        <v>2090</v>
      </c>
      <c r="B98" s="108">
        <f t="shared" si="37"/>
        <v>80</v>
      </c>
      <c r="C98" s="108">
        <f t="shared" si="30"/>
        <v>0</v>
      </c>
      <c r="D98" s="108">
        <v>0</v>
      </c>
      <c r="E98" s="108">
        <f t="shared" si="42"/>
        <v>0</v>
      </c>
      <c r="F98" s="108">
        <f t="shared" si="31"/>
        <v>0</v>
      </c>
      <c r="G98" s="108">
        <f t="shared" si="32"/>
        <v>0</v>
      </c>
      <c r="H98" s="140">
        <f t="shared" si="38"/>
        <v>0</v>
      </c>
      <c r="I98" s="108">
        <f t="shared" si="39"/>
        <v>431.78331191645549</v>
      </c>
      <c r="J98" s="108">
        <f t="shared" si="40"/>
        <v>328.69869507037117</v>
      </c>
      <c r="K98" s="108">
        <f t="shared" si="43"/>
        <v>2.4989371346175315</v>
      </c>
      <c r="L98" s="108">
        <f t="shared" si="44"/>
        <v>0</v>
      </c>
      <c r="M98" s="140">
        <f t="shared" si="33"/>
        <v>762.98094412144428</v>
      </c>
      <c r="O98" s="108">
        <f t="shared" si="34"/>
        <v>60</v>
      </c>
      <c r="P98" s="108">
        <f>SUM($O$18:$O98)</f>
        <v>5737.2226358361258</v>
      </c>
      <c r="Q98" s="108">
        <f>NPV(DiscountRate,$O$18:$O98)</f>
        <v>2873.6920019496647</v>
      </c>
      <c r="S98" s="114">
        <f t="shared" si="41"/>
        <v>7614</v>
      </c>
      <c r="T98" s="108">
        <f t="shared" si="35"/>
        <v>3251.1910427322518</v>
      </c>
      <c r="V98" s="109">
        <f t="shared" si="45"/>
        <v>0.2464903288893977</v>
      </c>
      <c r="W98" s="109">
        <f t="shared" si="46"/>
        <v>0.11611099926793064</v>
      </c>
    </row>
    <row r="99" spans="1:23">
      <c r="A99" s="138">
        <f t="shared" si="36"/>
        <v>2091</v>
      </c>
      <c r="B99" s="108">
        <f t="shared" si="37"/>
        <v>81</v>
      </c>
      <c r="C99" s="108">
        <f t="shared" si="30"/>
        <v>0</v>
      </c>
      <c r="D99" s="108">
        <v>0</v>
      </c>
      <c r="E99" s="108">
        <f t="shared" si="42"/>
        <v>0</v>
      </c>
      <c r="F99" s="108">
        <f t="shared" si="31"/>
        <v>0</v>
      </c>
      <c r="G99" s="108">
        <f t="shared" si="32"/>
        <v>0</v>
      </c>
      <c r="H99" s="140">
        <f t="shared" si="38"/>
        <v>0</v>
      </c>
      <c r="I99" s="108">
        <f t="shared" si="39"/>
        <v>431.78331191645549</v>
      </c>
      <c r="J99" s="108">
        <f t="shared" si="40"/>
        <v>326.8030907944854</v>
      </c>
      <c r="K99" s="108">
        <f t="shared" si="43"/>
        <v>2.3675144366119465</v>
      </c>
      <c r="L99" s="108">
        <f t="shared" si="44"/>
        <v>0</v>
      </c>
      <c r="M99" s="140">
        <f t="shared" si="33"/>
        <v>760.95391714755283</v>
      </c>
      <c r="O99" s="108">
        <f t="shared" si="34"/>
        <v>60</v>
      </c>
      <c r="P99" s="108">
        <f>SUM($O$18:$O99)</f>
        <v>5797.2226358361258</v>
      </c>
      <c r="Q99" s="108">
        <f>NPV(DiscountRate,$O$18:$O99)</f>
        <v>2881.6132623119029</v>
      </c>
      <c r="S99" s="114">
        <f t="shared" si="41"/>
        <v>7708</v>
      </c>
      <c r="T99" s="108">
        <f t="shared" si="35"/>
        <v>3263.601017299758</v>
      </c>
      <c r="V99" s="109">
        <f t="shared" si="45"/>
        <v>0.24789535082561936</v>
      </c>
      <c r="W99" s="109">
        <f t="shared" si="46"/>
        <v>0.1170448694442143</v>
      </c>
    </row>
    <row r="100" spans="1:23">
      <c r="A100" s="138">
        <f t="shared" si="36"/>
        <v>2092</v>
      </c>
      <c r="B100" s="108">
        <f t="shared" si="37"/>
        <v>82</v>
      </c>
      <c r="C100" s="108">
        <f t="shared" si="30"/>
        <v>0</v>
      </c>
      <c r="D100" s="108">
        <v>0</v>
      </c>
      <c r="E100" s="108">
        <f t="shared" si="42"/>
        <v>0</v>
      </c>
      <c r="F100" s="108">
        <f t="shared" si="31"/>
        <v>0</v>
      </c>
      <c r="G100" s="108">
        <f t="shared" si="32"/>
        <v>0</v>
      </c>
      <c r="H100" s="140">
        <f t="shared" si="38"/>
        <v>0</v>
      </c>
      <c r="I100" s="108">
        <f t="shared" si="39"/>
        <v>431.78331191645549</v>
      </c>
      <c r="J100" s="108">
        <f t="shared" si="40"/>
        <v>324.9184184621231</v>
      </c>
      <c r="K100" s="108">
        <f t="shared" si="43"/>
        <v>2.2430034473131557</v>
      </c>
      <c r="L100" s="108">
        <f t="shared" si="44"/>
        <v>0</v>
      </c>
      <c r="M100" s="140">
        <f t="shared" si="33"/>
        <v>758.94473382589172</v>
      </c>
      <c r="O100" s="108">
        <f t="shared" si="34"/>
        <v>60</v>
      </c>
      <c r="P100" s="108">
        <f>SUM($O$18:$O100)</f>
        <v>5857.2226358361258</v>
      </c>
      <c r="Q100" s="108">
        <f>NPV(DiscountRate,$O$18:$O100)</f>
        <v>2889.3413212018909</v>
      </c>
      <c r="S100" s="114">
        <f t="shared" si="41"/>
        <v>7802</v>
      </c>
      <c r="T100" s="108">
        <f t="shared" si="35"/>
        <v>3275.7083095607395</v>
      </c>
      <c r="V100" s="109">
        <f t="shared" si="45"/>
        <v>0.24926651681157064</v>
      </c>
      <c r="W100" s="109">
        <f t="shared" si="46"/>
        <v>0.11794914316124168</v>
      </c>
    </row>
    <row r="101" spans="1:23">
      <c r="A101" s="138">
        <f t="shared" si="36"/>
        <v>2093</v>
      </c>
      <c r="B101" s="108">
        <f t="shared" si="37"/>
        <v>83</v>
      </c>
      <c r="C101" s="108">
        <f t="shared" si="30"/>
        <v>0</v>
      </c>
      <c r="D101" s="108">
        <v>0</v>
      </c>
      <c r="E101" s="108">
        <f t="shared" si="42"/>
        <v>0</v>
      </c>
      <c r="F101" s="108">
        <f t="shared" si="31"/>
        <v>0</v>
      </c>
      <c r="G101" s="108">
        <f t="shared" si="32"/>
        <v>0</v>
      </c>
      <c r="H101" s="140">
        <f t="shared" si="38"/>
        <v>0</v>
      </c>
      <c r="I101" s="108">
        <f t="shared" si="39"/>
        <v>431.78331191645549</v>
      </c>
      <c r="J101" s="108">
        <f t="shared" si="40"/>
        <v>323.04461502880258</v>
      </c>
      <c r="K101" s="108">
        <f t="shared" si="43"/>
        <v>2.1250406700195046</v>
      </c>
      <c r="L101" s="108">
        <f t="shared" si="44"/>
        <v>0</v>
      </c>
      <c r="M101" s="140">
        <f t="shared" si="33"/>
        <v>756.95296761527754</v>
      </c>
      <c r="O101" s="108">
        <f t="shared" si="34"/>
        <v>60</v>
      </c>
      <c r="P101" s="108">
        <f>SUM($O$18:$O101)</f>
        <v>5917.2226358361258</v>
      </c>
      <c r="Q101" s="108">
        <f>NPV(DiscountRate,$O$18:$O101)</f>
        <v>2896.8808908506599</v>
      </c>
      <c r="S101" s="114">
        <f t="shared" si="41"/>
        <v>7896</v>
      </c>
      <c r="T101" s="108">
        <f t="shared" si="35"/>
        <v>3287.5203020104773</v>
      </c>
      <c r="V101" s="109">
        <f t="shared" si="45"/>
        <v>0.25060503598833261</v>
      </c>
      <c r="W101" s="109">
        <f t="shared" si="46"/>
        <v>0.11882494259303056</v>
      </c>
    </row>
    <row r="102" spans="1:23">
      <c r="A102" s="138">
        <f t="shared" si="36"/>
        <v>2094</v>
      </c>
      <c r="B102" s="108">
        <f t="shared" si="37"/>
        <v>84</v>
      </c>
      <c r="C102" s="108">
        <f t="shared" si="30"/>
        <v>0</v>
      </c>
      <c r="D102" s="108">
        <v>0</v>
      </c>
      <c r="E102" s="108">
        <f t="shared" si="42"/>
        <v>0</v>
      </c>
      <c r="F102" s="108">
        <f t="shared" si="31"/>
        <v>0</v>
      </c>
      <c r="G102" s="108">
        <f t="shared" si="32"/>
        <v>0</v>
      </c>
      <c r="H102" s="140">
        <f t="shared" si="38"/>
        <v>0</v>
      </c>
      <c r="I102" s="108">
        <f t="shared" si="39"/>
        <v>431.78331191645549</v>
      </c>
      <c r="J102" s="108">
        <f t="shared" si="40"/>
        <v>321.18161781361931</v>
      </c>
      <c r="K102" s="108">
        <f t="shared" si="43"/>
        <v>2.0132817248436776</v>
      </c>
      <c r="L102" s="108">
        <f t="shared" si="44"/>
        <v>0</v>
      </c>
      <c r="M102" s="140">
        <f t="shared" si="33"/>
        <v>754.97821145491844</v>
      </c>
      <c r="O102" s="108">
        <f t="shared" si="34"/>
        <v>60</v>
      </c>
      <c r="P102" s="108">
        <f>SUM($O$18:$O102)</f>
        <v>5977.2226358361258</v>
      </c>
      <c r="Q102" s="108">
        <f>NPV(DiscountRate,$O$18:$O102)</f>
        <v>2904.2365685567756</v>
      </c>
      <c r="S102" s="114">
        <f t="shared" si="41"/>
        <v>7990</v>
      </c>
      <c r="T102" s="108">
        <f t="shared" si="35"/>
        <v>3299.0441970833926</v>
      </c>
      <c r="V102" s="109">
        <f t="shared" si="45"/>
        <v>0.25191206059622956</v>
      </c>
      <c r="W102" s="109">
        <f t="shared" si="46"/>
        <v>0.1196733371670671</v>
      </c>
    </row>
    <row r="103" spans="1:23">
      <c r="A103" s="138">
        <f t="shared" si="36"/>
        <v>2095</v>
      </c>
      <c r="B103" s="108">
        <f t="shared" si="37"/>
        <v>85</v>
      </c>
      <c r="C103" s="108">
        <f t="shared" si="30"/>
        <v>0</v>
      </c>
      <c r="D103" s="108">
        <v>0</v>
      </c>
      <c r="E103" s="108">
        <f t="shared" si="42"/>
        <v>0</v>
      </c>
      <c r="F103" s="108">
        <f t="shared" si="31"/>
        <v>0</v>
      </c>
      <c r="G103" s="108">
        <f t="shared" si="32"/>
        <v>0</v>
      </c>
      <c r="H103" s="140">
        <f t="shared" si="38"/>
        <v>0</v>
      </c>
      <c r="I103" s="108">
        <f t="shared" si="39"/>
        <v>431.78331191645549</v>
      </c>
      <c r="J103" s="108">
        <f t="shared" si="40"/>
        <v>319.32936449714947</v>
      </c>
      <c r="K103" s="108">
        <f t="shared" si="43"/>
        <v>1.9074003433319373</v>
      </c>
      <c r="L103" s="108">
        <f t="shared" si="44"/>
        <v>0</v>
      </c>
      <c r="M103" s="140">
        <f t="shared" si="33"/>
        <v>753.02007675693687</v>
      </c>
      <c r="O103" s="108">
        <f t="shared" si="34"/>
        <v>60</v>
      </c>
      <c r="P103" s="108">
        <f>SUM($O$18:$O103)</f>
        <v>6037.2226358361258</v>
      </c>
      <c r="Q103" s="108">
        <f>NPV(DiscountRate,$O$18:$O103)</f>
        <v>2911.412839489572</v>
      </c>
      <c r="S103" s="114">
        <f t="shared" si="41"/>
        <v>8084</v>
      </c>
      <c r="T103" s="108">
        <f t="shared" si="35"/>
        <v>3310.2870215447733</v>
      </c>
      <c r="V103" s="109">
        <f t="shared" si="45"/>
        <v>0.25318868928301264</v>
      </c>
      <c r="W103" s="109">
        <f t="shared" si="46"/>
        <v>0.12049534661470634</v>
      </c>
    </row>
    <row r="104" spans="1:23">
      <c r="A104" s="138">
        <f t="shared" si="36"/>
        <v>2096</v>
      </c>
      <c r="B104" s="108">
        <f t="shared" si="37"/>
        <v>86</v>
      </c>
      <c r="C104" s="108">
        <f t="shared" si="30"/>
        <v>0</v>
      </c>
      <c r="D104" s="108">
        <v>0</v>
      </c>
      <c r="E104" s="108">
        <f t="shared" si="42"/>
        <v>0</v>
      </c>
      <c r="F104" s="108">
        <f t="shared" si="31"/>
        <v>0</v>
      </c>
      <c r="G104" s="108">
        <f t="shared" si="32"/>
        <v>0</v>
      </c>
      <c r="H104" s="140">
        <f t="shared" si="38"/>
        <v>0</v>
      </c>
      <c r="I104" s="108">
        <f t="shared" si="39"/>
        <v>431.78331191645549</v>
      </c>
      <c r="J104" s="108">
        <f t="shared" si="40"/>
        <v>317.48779311936505</v>
      </c>
      <c r="K104" s="108">
        <f t="shared" si="43"/>
        <v>1.8070874159577843</v>
      </c>
      <c r="L104" s="108">
        <f t="shared" si="44"/>
        <v>0</v>
      </c>
      <c r="M104" s="140">
        <f t="shared" si="33"/>
        <v>751.07819245177825</v>
      </c>
      <c r="O104" s="108">
        <f t="shared" si="34"/>
        <v>60</v>
      </c>
      <c r="P104" s="108">
        <f>SUM($O$18:$O104)</f>
        <v>6097.2226358361258</v>
      </c>
      <c r="Q104" s="108">
        <f>NPV(DiscountRate,$O$18:$O104)</f>
        <v>2918.4140794240075</v>
      </c>
      <c r="S104" s="114">
        <f t="shared" si="41"/>
        <v>8178</v>
      </c>
      <c r="T104" s="108">
        <f t="shared" si="35"/>
        <v>3321.2556307753885</v>
      </c>
      <c r="V104" s="109">
        <f t="shared" si="45"/>
        <v>0.25443597018389263</v>
      </c>
      <c r="W104" s="109">
        <f t="shared" si="46"/>
        <v>0.12129194381142309</v>
      </c>
    </row>
    <row r="105" spans="1:23">
      <c r="A105" s="138">
        <f t="shared" si="36"/>
        <v>2097</v>
      </c>
      <c r="B105" s="108">
        <f t="shared" si="37"/>
        <v>87</v>
      </c>
      <c r="C105" s="108">
        <f t="shared" si="30"/>
        <v>0</v>
      </c>
      <c r="D105" s="108">
        <v>0</v>
      </c>
      <c r="E105" s="108">
        <f t="shared" si="42"/>
        <v>0</v>
      </c>
      <c r="F105" s="108">
        <f t="shared" si="31"/>
        <v>0</v>
      </c>
      <c r="G105" s="108">
        <f t="shared" si="32"/>
        <v>0</v>
      </c>
      <c r="H105" s="140">
        <f t="shared" si="38"/>
        <v>0</v>
      </c>
      <c r="I105" s="108">
        <f t="shared" si="39"/>
        <v>431.78331191645549</v>
      </c>
      <c r="J105" s="108">
        <f t="shared" si="40"/>
        <v>315.65684207756135</v>
      </c>
      <c r="K105" s="108">
        <f t="shared" si="43"/>
        <v>1.7120500897092945</v>
      </c>
      <c r="L105" s="108">
        <f t="shared" si="44"/>
        <v>0</v>
      </c>
      <c r="M105" s="140">
        <f t="shared" si="33"/>
        <v>749.15220408372613</v>
      </c>
      <c r="O105" s="108">
        <f t="shared" si="34"/>
        <v>60</v>
      </c>
      <c r="P105" s="108">
        <f>SUM($O$18:$O105)</f>
        <v>6157.2226358361258</v>
      </c>
      <c r="Q105" s="108">
        <f>NPV(DiscountRate,$O$18:$O105)</f>
        <v>2925.2445574088229</v>
      </c>
      <c r="S105" s="114">
        <f t="shared" si="41"/>
        <v>8272</v>
      </c>
      <c r="T105" s="108">
        <f t="shared" si="35"/>
        <v>3331.9567129515985</v>
      </c>
      <c r="V105" s="109">
        <f t="shared" si="45"/>
        <v>0.25565490379157085</v>
      </c>
      <c r="W105" s="109">
        <f t="shared" si="46"/>
        <v>0.12206405742363069</v>
      </c>
    </row>
    <row r="106" spans="1:23">
      <c r="A106" s="138">
        <f t="shared" si="36"/>
        <v>2098</v>
      </c>
      <c r="B106" s="108">
        <f t="shared" si="37"/>
        <v>88</v>
      </c>
      <c r="C106" s="108">
        <f t="shared" si="30"/>
        <v>0</v>
      </c>
      <c r="D106" s="108">
        <v>0</v>
      </c>
      <c r="E106" s="108">
        <f t="shared" si="42"/>
        <v>0</v>
      </c>
      <c r="F106" s="108">
        <f t="shared" si="31"/>
        <v>0</v>
      </c>
      <c r="G106" s="108">
        <f t="shared" si="32"/>
        <v>0</v>
      </c>
      <c r="H106" s="140">
        <f t="shared" si="38"/>
        <v>0</v>
      </c>
      <c r="I106" s="108">
        <f t="shared" si="39"/>
        <v>431.78331191645549</v>
      </c>
      <c r="J106" s="108">
        <f t="shared" si="40"/>
        <v>313.83645012429628</v>
      </c>
      <c r="K106" s="108">
        <f t="shared" si="43"/>
        <v>1.6220109131356364</v>
      </c>
      <c r="L106" s="108">
        <f t="shared" si="44"/>
        <v>0</v>
      </c>
      <c r="M106" s="140">
        <f t="shared" si="33"/>
        <v>747.24177295388745</v>
      </c>
      <c r="O106" s="108">
        <f t="shared" si="34"/>
        <v>60</v>
      </c>
      <c r="P106" s="108">
        <f>SUM($O$18:$O106)</f>
        <v>6217.2226358361258</v>
      </c>
      <c r="Q106" s="108">
        <f>NPV(DiscountRate,$O$18:$O106)</f>
        <v>2931.9084383696177</v>
      </c>
      <c r="S106" s="114">
        <f t="shared" si="41"/>
        <v>8366</v>
      </c>
      <c r="T106" s="108">
        <f t="shared" si="35"/>
        <v>3342.3967931235106</v>
      </c>
      <c r="V106" s="109">
        <f t="shared" si="45"/>
        <v>0.25684644563278436</v>
      </c>
      <c r="W106" s="109">
        <f t="shared" si="46"/>
        <v>0.12281257437728887</v>
      </c>
    </row>
    <row r="107" spans="1:23">
      <c r="A107" s="138">
        <f t="shared" si="36"/>
        <v>2099</v>
      </c>
      <c r="B107" s="108">
        <f t="shared" si="37"/>
        <v>89</v>
      </c>
      <c r="C107" s="108">
        <f t="shared" si="30"/>
        <v>0</v>
      </c>
      <c r="D107" s="108">
        <v>0</v>
      </c>
      <c r="E107" s="108">
        <f t="shared" si="42"/>
        <v>0</v>
      </c>
      <c r="F107" s="108">
        <f t="shared" si="31"/>
        <v>0</v>
      </c>
      <c r="G107" s="108">
        <f t="shared" si="32"/>
        <v>0</v>
      </c>
      <c r="H107" s="140">
        <f t="shared" si="38"/>
        <v>0</v>
      </c>
      <c r="I107" s="108">
        <f t="shared" si="39"/>
        <v>431.78331191645549</v>
      </c>
      <c r="J107" s="108">
        <f t="shared" si="40"/>
        <v>312.02655636534155</v>
      </c>
      <c r="K107" s="108">
        <f t="shared" si="43"/>
        <v>1.5367070263568223</v>
      </c>
      <c r="L107" s="108">
        <f t="shared" si="44"/>
        <v>0</v>
      </c>
      <c r="M107" s="140">
        <f t="shared" si="33"/>
        <v>745.34657530815377</v>
      </c>
      <c r="O107" s="108">
        <f t="shared" si="34"/>
        <v>60</v>
      </c>
      <c r="P107" s="108">
        <f>SUM($O$18:$O107)</f>
        <v>6277.2226358361258</v>
      </c>
      <c r="Q107" s="108">
        <f>NPV(DiscountRate,$O$18:$O107)</f>
        <v>2938.4097856484423</v>
      </c>
      <c r="S107" s="114">
        <f t="shared" si="41"/>
        <v>8460</v>
      </c>
      <c r="T107" s="108">
        <f t="shared" si="35"/>
        <v>3352.5822371936688</v>
      </c>
      <c r="V107" s="109">
        <f t="shared" si="45"/>
        <v>0.25801150876641538</v>
      </c>
      <c r="W107" s="109">
        <f t="shared" si="46"/>
        <v>0.12353834216216454</v>
      </c>
    </row>
    <row r="108" spans="1:23">
      <c r="A108" s="138">
        <f t="shared" si="36"/>
        <v>2100</v>
      </c>
      <c r="B108" s="108">
        <f t="shared" si="37"/>
        <v>90</v>
      </c>
      <c r="C108" s="108">
        <f t="shared" si="30"/>
        <v>0</v>
      </c>
      <c r="D108" s="108">
        <v>0</v>
      </c>
      <c r="E108" s="108">
        <f t="shared" si="42"/>
        <v>0</v>
      </c>
      <c r="F108" s="108">
        <f t="shared" si="31"/>
        <v>0</v>
      </c>
      <c r="G108" s="108">
        <f t="shared" si="32"/>
        <v>0</v>
      </c>
      <c r="H108" s="140">
        <f t="shared" si="38"/>
        <v>0</v>
      </c>
      <c r="I108" s="108">
        <f t="shared" si="39"/>
        <v>431.78331191645549</v>
      </c>
      <c r="J108" s="108">
        <f t="shared" si="40"/>
        <v>310.22710025764565</v>
      </c>
      <c r="K108" s="108">
        <f t="shared" si="43"/>
        <v>1.4558893936720116</v>
      </c>
      <c r="L108" s="108">
        <f t="shared" si="44"/>
        <v>0</v>
      </c>
      <c r="M108" s="140">
        <f t="shared" si="33"/>
        <v>743.46630156777314</v>
      </c>
      <c r="O108" s="108">
        <f t="shared" si="34"/>
        <v>60</v>
      </c>
      <c r="P108" s="108">
        <f>SUM($O$18:$O108)</f>
        <v>6337.2226358361258</v>
      </c>
      <c r="Q108" s="108">
        <f>NPV(DiscountRate,$O$18:$O108)</f>
        <v>2944.7525634814419</v>
      </c>
      <c r="S108" s="114">
        <f t="shared" si="41"/>
        <v>8554</v>
      </c>
      <c r="T108" s="108">
        <f t="shared" si="35"/>
        <v>3362.5192557987011</v>
      </c>
      <c r="V108" s="109">
        <f t="shared" si="45"/>
        <v>0.25915096611688965</v>
      </c>
      <c r="W108" s="109">
        <f t="shared" si="46"/>
        <v>0.12424217098439391</v>
      </c>
    </row>
    <row r="109" spans="1:23">
      <c r="A109" s="138">
        <f t="shared" si="36"/>
        <v>2101</v>
      </c>
      <c r="B109" s="108">
        <f t="shared" si="37"/>
        <v>91</v>
      </c>
      <c r="C109" s="108">
        <f t="shared" si="30"/>
        <v>0</v>
      </c>
      <c r="D109" s="108">
        <v>0</v>
      </c>
      <c r="E109" s="108">
        <f t="shared" si="42"/>
        <v>0</v>
      </c>
      <c r="F109" s="108">
        <f t="shared" si="31"/>
        <v>0</v>
      </c>
      <c r="G109" s="108">
        <f t="shared" si="32"/>
        <v>0</v>
      </c>
      <c r="H109" s="140">
        <f t="shared" si="38"/>
        <v>0</v>
      </c>
      <c r="I109" s="108">
        <f t="shared" si="39"/>
        <v>431.78331191645549</v>
      </c>
      <c r="J109" s="108">
        <f t="shared" si="40"/>
        <v>308.43802160730866</v>
      </c>
      <c r="K109" s="108">
        <f t="shared" si="43"/>
        <v>1.3793220765260461</v>
      </c>
      <c r="L109" s="108">
        <f t="shared" si="44"/>
        <v>0</v>
      </c>
      <c r="M109" s="140">
        <f t="shared" si="33"/>
        <v>741.60065560029011</v>
      </c>
      <c r="O109" s="108">
        <f t="shared" si="34"/>
        <v>60</v>
      </c>
      <c r="P109" s="108">
        <f>SUM($O$18:$O109)</f>
        <v>6397.2226358361258</v>
      </c>
      <c r="Q109" s="108">
        <f>NPV(DiscountRate,$O$18:$O109)</f>
        <v>2950.940639416076</v>
      </c>
      <c r="S109" s="114">
        <f t="shared" si="41"/>
        <v>8648</v>
      </c>
      <c r="T109" s="108">
        <f t="shared" si="35"/>
        <v>3372.2139080962938</v>
      </c>
      <c r="V109" s="109">
        <f t="shared" si="45"/>
        <v>0.26026565265539708</v>
      </c>
      <c r="W109" s="109">
        <f t="shared" si="46"/>
        <v>0.12492483577888984</v>
      </c>
    </row>
    <row r="110" spans="1:23">
      <c r="A110" s="138">
        <f t="shared" si="36"/>
        <v>2102</v>
      </c>
      <c r="B110" s="108">
        <f t="shared" si="37"/>
        <v>92</v>
      </c>
      <c r="C110" s="108">
        <f t="shared" si="30"/>
        <v>0</v>
      </c>
      <c r="D110" s="108">
        <v>0</v>
      </c>
      <c r="E110" s="108">
        <f t="shared" si="42"/>
        <v>0</v>
      </c>
      <c r="F110" s="108">
        <f t="shared" si="31"/>
        <v>0</v>
      </c>
      <c r="G110" s="108">
        <f t="shared" si="32"/>
        <v>0</v>
      </c>
      <c r="H110" s="140">
        <f t="shared" si="38"/>
        <v>0</v>
      </c>
      <c r="I110" s="108">
        <f t="shared" si="39"/>
        <v>431.78331191645549</v>
      </c>
      <c r="J110" s="108">
        <f t="shared" si="40"/>
        <v>306.65926056756865</v>
      </c>
      <c r="K110" s="108">
        <f t="shared" si="43"/>
        <v>1.3067815447117219</v>
      </c>
      <c r="L110" s="108">
        <f t="shared" si="44"/>
        <v>0</v>
      </c>
      <c r="M110" s="140">
        <f t="shared" si="33"/>
        <v>739.74935402873587</v>
      </c>
      <c r="O110" s="108">
        <f t="shared" si="34"/>
        <v>60</v>
      </c>
      <c r="P110" s="108">
        <f>SUM($O$18:$O110)</f>
        <v>6457.2226358361258</v>
      </c>
      <c r="Q110" s="108">
        <f>NPV(DiscountRate,$O$18:$O110)</f>
        <v>2956.9777866693771</v>
      </c>
      <c r="S110" s="114">
        <f t="shared" si="41"/>
        <v>8742</v>
      </c>
      <c r="T110" s="108">
        <f t="shared" si="35"/>
        <v>3381.6721054597988</v>
      </c>
      <c r="V110" s="109">
        <f t="shared" si="45"/>
        <v>0.26135636744038826</v>
      </c>
      <c r="W110" s="109">
        <f t="shared" si="46"/>
        <v>0.125587078092149</v>
      </c>
    </row>
    <row r="111" spans="1:23">
      <c r="A111" s="138">
        <f t="shared" si="36"/>
        <v>2103</v>
      </c>
      <c r="B111" s="108">
        <f t="shared" si="37"/>
        <v>93</v>
      </c>
      <c r="C111" s="108">
        <f t="shared" si="30"/>
        <v>0</v>
      </c>
      <c r="D111" s="108">
        <v>0</v>
      </c>
      <c r="E111" s="108">
        <f t="shared" si="42"/>
        <v>0</v>
      </c>
      <c r="F111" s="108">
        <f t="shared" si="31"/>
        <v>0</v>
      </c>
      <c r="G111" s="108">
        <f t="shared" si="32"/>
        <v>0</v>
      </c>
      <c r="H111" s="140">
        <f t="shared" si="38"/>
        <v>0</v>
      </c>
      <c r="I111" s="108">
        <f t="shared" si="39"/>
        <v>431.78331191645549</v>
      </c>
      <c r="J111" s="108">
        <f t="shared" si="40"/>
        <v>304.89075763679978</v>
      </c>
      <c r="K111" s="108">
        <f t="shared" si="43"/>
        <v>1.2380560237969247</v>
      </c>
      <c r="L111" s="108">
        <f t="shared" si="44"/>
        <v>0</v>
      </c>
      <c r="M111" s="140">
        <f t="shared" si="33"/>
        <v>737.91212557705228</v>
      </c>
      <c r="O111" s="108">
        <f t="shared" si="34"/>
        <v>60</v>
      </c>
      <c r="P111" s="108">
        <f>SUM($O$18:$O111)</f>
        <v>6517.2226358361258</v>
      </c>
      <c r="Q111" s="108">
        <f>NPV(DiscountRate,$O$18:$O111)</f>
        <v>2962.8676864286949</v>
      </c>
      <c r="S111" s="114">
        <f t="shared" si="41"/>
        <v>8836</v>
      </c>
      <c r="T111" s="108">
        <f t="shared" si="35"/>
        <v>3390.8996150827306</v>
      </c>
      <c r="V111" s="109">
        <f t="shared" si="45"/>
        <v>0.26242387552782642</v>
      </c>
      <c r="W111" s="109">
        <f t="shared" si="46"/>
        <v>0.12622960784511242</v>
      </c>
    </row>
    <row r="112" spans="1:23">
      <c r="A112" s="138">
        <f t="shared" si="36"/>
        <v>2104</v>
      </c>
      <c r="B112" s="108">
        <f t="shared" si="37"/>
        <v>94</v>
      </c>
      <c r="C112" s="108">
        <f t="shared" si="30"/>
        <v>0</v>
      </c>
      <c r="D112" s="108">
        <v>0</v>
      </c>
      <c r="E112" s="108">
        <f t="shared" si="42"/>
        <v>0</v>
      </c>
      <c r="F112" s="108">
        <f t="shared" si="31"/>
        <v>0</v>
      </c>
      <c r="G112" s="108">
        <f t="shared" si="32"/>
        <v>0</v>
      </c>
      <c r="H112" s="140">
        <f t="shared" si="38"/>
        <v>0</v>
      </c>
      <c r="I112" s="108">
        <f t="shared" si="39"/>
        <v>431.78331191645549</v>
      </c>
      <c r="J112" s="108">
        <f t="shared" si="40"/>
        <v>303.13245365652193</v>
      </c>
      <c r="K112" s="108">
        <f t="shared" si="43"/>
        <v>1.1729448768715094</v>
      </c>
      <c r="L112" s="108">
        <f t="shared" si="44"/>
        <v>0</v>
      </c>
      <c r="M112" s="140">
        <f t="shared" si="33"/>
        <v>736.08871044984892</v>
      </c>
      <c r="O112" s="108">
        <f t="shared" si="34"/>
        <v>60</v>
      </c>
      <c r="P112" s="108">
        <f>SUM($O$18:$O112)</f>
        <v>6577.2226358361258</v>
      </c>
      <c r="Q112" s="108">
        <f>NPV(DiscountRate,$O$18:$O112)</f>
        <v>2968.6139300963227</v>
      </c>
      <c r="S112" s="114">
        <f t="shared" si="41"/>
        <v>8930</v>
      </c>
      <c r="T112" s="108">
        <f t="shared" si="35"/>
        <v>3399.9020634953472</v>
      </c>
      <c r="V112" s="109">
        <f t="shared" si="45"/>
        <v>0.26346890976079218</v>
      </c>
      <c r="W112" s="109">
        <f t="shared" si="46"/>
        <v>0.12685310498492089</v>
      </c>
    </row>
    <row r="113" spans="1:23">
      <c r="A113" s="138">
        <f t="shared" si="36"/>
        <v>2105</v>
      </c>
      <c r="B113" s="108">
        <f t="shared" si="37"/>
        <v>95</v>
      </c>
      <c r="C113" s="108">
        <f t="shared" si="30"/>
        <v>0</v>
      </c>
      <c r="D113" s="108">
        <v>0</v>
      </c>
      <c r="E113" s="108">
        <f t="shared" si="42"/>
        <v>0</v>
      </c>
      <c r="F113" s="108">
        <f t="shared" si="31"/>
        <v>0</v>
      </c>
      <c r="G113" s="108">
        <f t="shared" si="32"/>
        <v>0</v>
      </c>
      <c r="H113" s="140">
        <f t="shared" si="38"/>
        <v>0</v>
      </c>
      <c r="I113" s="108">
        <f t="shared" si="39"/>
        <v>431.78331191645549</v>
      </c>
      <c r="J113" s="108">
        <f t="shared" si="40"/>
        <v>301.38428980942172</v>
      </c>
      <c r="K113" s="108">
        <f t="shared" si="43"/>
        <v>1.1112580188090013</v>
      </c>
      <c r="L113" s="108">
        <f t="shared" si="44"/>
        <v>0</v>
      </c>
      <c r="M113" s="140">
        <f t="shared" si="33"/>
        <v>734.2788597446862</v>
      </c>
      <c r="O113" s="108">
        <f t="shared" si="34"/>
        <v>60</v>
      </c>
      <c r="P113" s="108">
        <f>SUM($O$18:$O113)</f>
        <v>6637.2226358361258</v>
      </c>
      <c r="Q113" s="108">
        <f>NPV(DiscountRate,$O$18:$O113)</f>
        <v>2974.2200214793738</v>
      </c>
      <c r="S113" s="114">
        <f t="shared" si="41"/>
        <v>9024</v>
      </c>
      <c r="T113" s="108">
        <f t="shared" si="35"/>
        <v>3408.6849399954604</v>
      </c>
      <c r="V113" s="109">
        <f t="shared" si="45"/>
        <v>0.26449217244723783</v>
      </c>
      <c r="W113" s="109">
        <f t="shared" si="46"/>
        <v>0.12745822103367088</v>
      </c>
    </row>
    <row r="114" spans="1:23">
      <c r="A114" s="138">
        <f t="shared" si="36"/>
        <v>2106</v>
      </c>
      <c r="B114" s="108">
        <f t="shared" si="37"/>
        <v>96</v>
      </c>
      <c r="C114" s="108">
        <f t="shared" ref="C114:C119" si="47">IF($B114&gt;=ProductionYears, 0, ProcessEmissions)</f>
        <v>0</v>
      </c>
      <c r="D114" s="108">
        <v>0</v>
      </c>
      <c r="E114" s="108">
        <f t="shared" si="42"/>
        <v>0</v>
      </c>
      <c r="F114" s="108">
        <f t="shared" ref="F114:F119" si="48">IF(AND($C$13&gt;0, $B114&lt;ProductionYears),$C$6,0)</f>
        <v>0</v>
      </c>
      <c r="G114" s="108">
        <f t="shared" ref="G114:G119" si="49">IF($B114&gt;=ProductionYears+RecoveryYears,0,IF($B114&gt;=ProductionYears,$C$9,0))</f>
        <v>0</v>
      </c>
      <c r="H114" s="140">
        <f t="shared" si="38"/>
        <v>0</v>
      </c>
      <c r="I114" s="108">
        <f t="shared" si="39"/>
        <v>431.78331191645549</v>
      </c>
      <c r="J114" s="108">
        <f t="shared" si="40"/>
        <v>299.64620761738496</v>
      </c>
      <c r="K114" s="108">
        <f t="shared" si="43"/>
        <v>1.052815361333117</v>
      </c>
      <c r="L114" s="108">
        <f t="shared" si="44"/>
        <v>0</v>
      </c>
      <c r="M114" s="140">
        <f t="shared" ref="M114:M119" si="50">SUM(I114:L114)</f>
        <v>732.48233489517361</v>
      </c>
      <c r="O114" s="108">
        <f t="shared" ref="O114:O119" si="51">SUM(C114:G114)+IF(B114&gt;=ProductionYears,ProcessEmissions)-G114</f>
        <v>60</v>
      </c>
      <c r="P114" s="108">
        <f>SUM($O$18:$O114)</f>
        <v>6697.2226358361258</v>
      </c>
      <c r="Q114" s="108">
        <f>NPV(DiscountRate,$O$18:$O114)</f>
        <v>2979.6893789262526</v>
      </c>
      <c r="S114" s="114">
        <f t="shared" si="41"/>
        <v>9118</v>
      </c>
      <c r="T114" s="108">
        <f t="shared" ref="T114:T119" si="52">-PV(DiscountRate,$B114+1,GasolineGWI, 0)</f>
        <v>3417.2535999955712</v>
      </c>
      <c r="V114" s="109">
        <f t="shared" si="45"/>
        <v>0.26549433693396296</v>
      </c>
      <c r="W114" s="109">
        <f t="shared" si="46"/>
        <v>0.12804558054160384</v>
      </c>
    </row>
    <row r="115" spans="1:23">
      <c r="A115" s="138">
        <f t="shared" si="36"/>
        <v>2107</v>
      </c>
      <c r="B115" s="108">
        <f t="shared" si="37"/>
        <v>97</v>
      </c>
      <c r="C115" s="108">
        <f t="shared" si="47"/>
        <v>0</v>
      </c>
      <c r="D115" s="108">
        <v>0</v>
      </c>
      <c r="E115" s="108">
        <f t="shared" si="42"/>
        <v>0</v>
      </c>
      <c r="F115" s="108">
        <f t="shared" si="48"/>
        <v>0</v>
      </c>
      <c r="G115" s="108">
        <f t="shared" si="49"/>
        <v>0</v>
      </c>
      <c r="H115" s="140">
        <f t="shared" si="38"/>
        <v>0</v>
      </c>
      <c r="I115" s="108">
        <f>MAX(0,A_0*H115+I114)</f>
        <v>431.78331191645549</v>
      </c>
      <c r="J115" s="108">
        <f t="shared" si="40"/>
        <v>297.91814893954063</v>
      </c>
      <c r="K115" s="108">
        <f t="shared" si="43"/>
        <v>0.99744628726903506</v>
      </c>
      <c r="L115" s="108">
        <f t="shared" si="44"/>
        <v>0</v>
      </c>
      <c r="M115" s="140">
        <f t="shared" si="50"/>
        <v>730.69890714326516</v>
      </c>
      <c r="O115" s="108">
        <f t="shared" si="51"/>
        <v>60</v>
      </c>
      <c r="P115" s="108">
        <f>SUM($O$18:$O115)</f>
        <v>6757.2226358361258</v>
      </c>
      <c r="Q115" s="108">
        <f>NPV(DiscountRate,$O$18:$O115)</f>
        <v>2985.025337411013</v>
      </c>
      <c r="S115" s="114">
        <f t="shared" si="41"/>
        <v>9212</v>
      </c>
      <c r="T115" s="108">
        <f t="shared" si="52"/>
        <v>3425.6132682883622</v>
      </c>
      <c r="V115" s="109">
        <f t="shared" si="45"/>
        <v>0.26647604908422429</v>
      </c>
      <c r="W115" s="109">
        <f t="shared" si="46"/>
        <v>0.12861578245155877</v>
      </c>
    </row>
    <row r="116" spans="1:23">
      <c r="A116" s="138">
        <f t="shared" si="36"/>
        <v>2108</v>
      </c>
      <c r="B116" s="108">
        <f t="shared" si="37"/>
        <v>98</v>
      </c>
      <c r="C116" s="108">
        <f t="shared" si="47"/>
        <v>0</v>
      </c>
      <c r="D116" s="108">
        <v>0</v>
      </c>
      <c r="E116" s="108">
        <f t="shared" si="42"/>
        <v>0</v>
      </c>
      <c r="F116" s="108">
        <f t="shared" si="48"/>
        <v>0</v>
      </c>
      <c r="G116" s="108">
        <f t="shared" si="49"/>
        <v>0</v>
      </c>
      <c r="H116" s="140">
        <f t="shared" si="38"/>
        <v>0</v>
      </c>
      <c r="I116" s="108">
        <f>MAX(0,A_0*H116+I115)</f>
        <v>431.78331191645549</v>
      </c>
      <c r="J116" s="108">
        <f t="shared" si="40"/>
        <v>296.20005597031582</v>
      </c>
      <c r="K116" s="108">
        <f t="shared" si="43"/>
        <v>0.94498915244454751</v>
      </c>
      <c r="L116" s="108">
        <f t="shared" si="44"/>
        <v>0</v>
      </c>
      <c r="M116" s="140">
        <f t="shared" si="50"/>
        <v>728.92835703921583</v>
      </c>
      <c r="O116" s="108">
        <f t="shared" si="51"/>
        <v>60</v>
      </c>
      <c r="P116" s="108">
        <f>SUM($O$18:$O116)</f>
        <v>6817.2226358361258</v>
      </c>
      <c r="Q116" s="108">
        <f>NPV(DiscountRate,$O$18:$O116)</f>
        <v>2990.2311505668767</v>
      </c>
      <c r="S116" s="114">
        <f t="shared" si="41"/>
        <v>9306</v>
      </c>
      <c r="T116" s="108">
        <f t="shared" si="52"/>
        <v>3433.7690422325481</v>
      </c>
      <c r="V116" s="109">
        <f t="shared" si="45"/>
        <v>0.26743792866579347</v>
      </c>
      <c r="W116" s="109">
        <f t="shared" si="46"/>
        <v>0.12916940138096605</v>
      </c>
    </row>
    <row r="117" spans="1:23">
      <c r="A117" s="138">
        <f t="shared" si="36"/>
        <v>2109</v>
      </c>
      <c r="B117" s="108">
        <f t="shared" si="37"/>
        <v>99</v>
      </c>
      <c r="C117" s="108">
        <f t="shared" si="47"/>
        <v>0</v>
      </c>
      <c r="D117" s="108">
        <v>0</v>
      </c>
      <c r="E117" s="108">
        <f t="shared" si="42"/>
        <v>0</v>
      </c>
      <c r="F117" s="108">
        <f t="shared" si="48"/>
        <v>0</v>
      </c>
      <c r="G117" s="108">
        <f t="shared" si="49"/>
        <v>0</v>
      </c>
      <c r="H117" s="140">
        <f t="shared" si="38"/>
        <v>0</v>
      </c>
      <c r="I117" s="108">
        <f>MAX(0,A_0*H117+I116)</f>
        <v>431.78331191645549</v>
      </c>
      <c r="J117" s="108">
        <f t="shared" si="40"/>
        <v>294.49187123750232</v>
      </c>
      <c r="K117" s="108">
        <f t="shared" si="43"/>
        <v>0.89529081378694797</v>
      </c>
      <c r="L117" s="108">
        <f t="shared" si="44"/>
        <v>0</v>
      </c>
      <c r="M117" s="140">
        <f t="shared" si="50"/>
        <v>727.17047396774478</v>
      </c>
      <c r="O117" s="108">
        <f t="shared" si="51"/>
        <v>60</v>
      </c>
      <c r="P117" s="108">
        <f>SUM($O$18:$O117)</f>
        <v>6877.2226358361258</v>
      </c>
      <c r="Q117" s="108">
        <f>NPV(DiscountRate,$O$18:$O117)</f>
        <v>2995.3099926701584</v>
      </c>
      <c r="S117" s="114">
        <f t="shared" si="41"/>
        <v>9400</v>
      </c>
      <c r="T117" s="108">
        <f t="shared" si="52"/>
        <v>3441.7258948610229</v>
      </c>
      <c r="V117" s="109">
        <f t="shared" si="45"/>
        <v>0.26838057065573129</v>
      </c>
      <c r="W117" s="109">
        <f t="shared" si="46"/>
        <v>0.12970698882715376</v>
      </c>
    </row>
    <row r="118" spans="1:23">
      <c r="A118" s="138">
        <f t="shared" si="36"/>
        <v>2110</v>
      </c>
      <c r="B118" s="108">
        <f t="shared" si="37"/>
        <v>100</v>
      </c>
      <c r="C118" s="108">
        <f t="shared" si="47"/>
        <v>0</v>
      </c>
      <c r="D118" s="108">
        <v>0</v>
      </c>
      <c r="E118" s="108">
        <f t="shared" si="42"/>
        <v>0</v>
      </c>
      <c r="F118" s="108">
        <f t="shared" si="48"/>
        <v>0</v>
      </c>
      <c r="G118" s="108">
        <f t="shared" si="49"/>
        <v>0</v>
      </c>
      <c r="H118" s="140">
        <f t="shared" si="38"/>
        <v>0</v>
      </c>
      <c r="I118" s="108">
        <f>MAX(0,A_0*H118+I117)</f>
        <v>431.78331191645549</v>
      </c>
      <c r="J118" s="108">
        <f t="shared" si="40"/>
        <v>292.79353760033382</v>
      </c>
      <c r="K118" s="108">
        <f t="shared" si="43"/>
        <v>0.8482061822379815</v>
      </c>
      <c r="L118" s="108">
        <f t="shared" si="44"/>
        <v>0</v>
      </c>
      <c r="M118" s="140">
        <f t="shared" si="50"/>
        <v>725.42505569902721</v>
      </c>
      <c r="O118" s="108">
        <f t="shared" si="51"/>
        <v>60</v>
      </c>
      <c r="P118" s="108">
        <f>SUM($O$18:$O118)</f>
        <v>6937.2226358361258</v>
      </c>
      <c r="Q118" s="108">
        <f>NPV(DiscountRate,$O$18:$O118)</f>
        <v>3000.2649605757993</v>
      </c>
      <c r="S118" s="114">
        <f t="shared" si="41"/>
        <v>9494</v>
      </c>
      <c r="T118" s="108">
        <f t="shared" si="52"/>
        <v>3449.4886779131934</v>
      </c>
      <c r="V118" s="109">
        <f t="shared" si="45"/>
        <v>0.26930454646765051</v>
      </c>
      <c r="W118" s="109">
        <f t="shared" si="46"/>
        <v>0.13022907430128372</v>
      </c>
    </row>
    <row r="119" spans="1:23">
      <c r="A119" s="138">
        <f t="shared" si="36"/>
        <v>2111</v>
      </c>
      <c r="B119" s="108">
        <f t="shared" si="37"/>
        <v>101</v>
      </c>
      <c r="C119" s="108">
        <f t="shared" si="47"/>
        <v>0</v>
      </c>
      <c r="D119" s="108">
        <v>0</v>
      </c>
      <c r="E119" s="108">
        <f t="shared" si="42"/>
        <v>0</v>
      </c>
      <c r="F119" s="108">
        <f t="shared" si="48"/>
        <v>0</v>
      </c>
      <c r="G119" s="108">
        <f t="shared" si="49"/>
        <v>0</v>
      </c>
      <c r="H119" s="140">
        <f t="shared" si="38"/>
        <v>0</v>
      </c>
      <c r="I119" s="108">
        <f>MAX(0,A_0*H119+I118)</f>
        <v>431.78331191645549</v>
      </c>
      <c r="J119" s="108">
        <f t="shared" si="40"/>
        <v>291.10499824757466</v>
      </c>
      <c r="K119" s="108">
        <f t="shared" si="43"/>
        <v>0.8035977991816412</v>
      </c>
      <c r="L119" s="108">
        <f t="shared" si="44"/>
        <v>0</v>
      </c>
      <c r="M119" s="140">
        <f t="shared" si="50"/>
        <v>723.69190796321175</v>
      </c>
      <c r="O119" s="108">
        <f t="shared" si="51"/>
        <v>60</v>
      </c>
      <c r="P119" s="108">
        <f>SUM($O$18:$O119)</f>
        <v>6997.2226358361258</v>
      </c>
      <c r="Q119" s="108">
        <f>NPV(DiscountRate,$O$18:$O119)</f>
        <v>3005.0990756056922</v>
      </c>
      <c r="S119" s="114">
        <f t="shared" si="41"/>
        <v>9588</v>
      </c>
      <c r="T119" s="108">
        <f t="shared" si="52"/>
        <v>3457.0621247933586</v>
      </c>
      <c r="V119" s="109">
        <f t="shared" si="45"/>
        <v>0.27021040510678707</v>
      </c>
      <c r="W119" s="109">
        <f t="shared" si="46"/>
        <v>0.13073616639581853</v>
      </c>
    </row>
  </sheetData>
  <mergeCells count="4">
    <mergeCell ref="S16:T16"/>
    <mergeCell ref="V16:W16"/>
    <mergeCell ref="O16:Q16"/>
    <mergeCell ref="O15:W15"/>
  </mergeCells>
  <phoneticPr fontId="3" type="noConversion"/>
  <pageMargins left="0.75" right="0.75" top="1" bottom="1" header="0.5" footer="0.5"/>
  <pageSetup orientation="portrait" r:id="rId1"/>
  <headerFooter alignWithMargins="0"/>
  <legacyDrawing r:id="rId2"/>
  <oleObjects>
    <oleObject progId="Equation.3" shapeId="1027" r:id="rId3"/>
    <oleObject progId="Word.Document.8" shapeId="1029" r:id="rId4"/>
  </oleObjects>
</worksheet>
</file>

<file path=xl/worksheets/sheet5.xml><?xml version="1.0" encoding="utf-8"?>
<worksheet xmlns="http://schemas.openxmlformats.org/spreadsheetml/2006/main" xmlns:r="http://schemas.openxmlformats.org/officeDocument/2006/relationships">
  <sheetPr codeName="Sheet5"/>
  <dimension ref="A1:P105"/>
  <sheetViews>
    <sheetView zoomScale="80" zoomScaleNormal="80" workbookViewId="0">
      <selection activeCell="K13" sqref="K13"/>
    </sheetView>
  </sheetViews>
  <sheetFormatPr defaultRowHeight="12.75"/>
  <cols>
    <col min="2" max="2" width="10.28515625" customWidth="1"/>
    <col min="3" max="3" width="11" bestFit="1" customWidth="1"/>
    <col min="6" max="6" width="10" customWidth="1"/>
    <col min="7" max="7" width="10.5703125" customWidth="1"/>
    <col min="11" max="11" width="8.85546875" customWidth="1"/>
  </cols>
  <sheetData>
    <row r="1" spans="1:13" s="76" customFormat="1" ht="18" customHeight="1">
      <c r="A1" s="197" t="s">
        <v>148</v>
      </c>
    </row>
    <row r="3" spans="1:13" ht="26.25">
      <c r="A3" s="199" t="s">
        <v>192</v>
      </c>
      <c r="B3" s="199" t="s">
        <v>191</v>
      </c>
      <c r="C3" s="199" t="s">
        <v>149</v>
      </c>
      <c r="D3" s="199" t="s">
        <v>177</v>
      </c>
      <c r="E3" s="199" t="s">
        <v>178</v>
      </c>
      <c r="F3" s="199" t="s">
        <v>179</v>
      </c>
      <c r="G3" s="199" t="s">
        <v>180</v>
      </c>
      <c r="H3" s="199" t="s">
        <v>232</v>
      </c>
      <c r="K3" s="101"/>
      <c r="L3" s="101"/>
      <c r="M3" s="101"/>
    </row>
    <row r="4" spans="1:13">
      <c r="A4" s="200">
        <v>2010</v>
      </c>
      <c r="B4" s="201">
        <v>0</v>
      </c>
      <c r="C4" s="201">
        <f t="shared" ref="C4:C35" si="0">IF($B4&gt;=ProductionYears, 0, GasolineGWI)</f>
        <v>94</v>
      </c>
      <c r="D4" s="201">
        <f>A_0*C4</f>
        <v>20.398</v>
      </c>
      <c r="E4" s="201">
        <f>A_1*C4</f>
        <v>24.346</v>
      </c>
      <c r="F4" s="201">
        <f>A_2*C4</f>
        <v>31.772000000000002</v>
      </c>
      <c r="G4" s="201">
        <f>A_3*C4</f>
        <v>17.483999999999998</v>
      </c>
      <c r="H4" s="201">
        <f t="shared" ref="H4:H35" si="1">SUM(D4:G4)</f>
        <v>94</v>
      </c>
      <c r="K4" s="174"/>
      <c r="L4" s="174"/>
    </row>
    <row r="5" spans="1:13">
      <c r="A5" s="200">
        <f t="shared" ref="A5:A36" si="2">A4+1</f>
        <v>2011</v>
      </c>
      <c r="B5" s="201">
        <f t="shared" ref="B5:B36" si="3">B4+1</f>
        <v>1</v>
      </c>
      <c r="C5" s="201">
        <f t="shared" si="0"/>
        <v>94</v>
      </c>
      <c r="D5" s="201">
        <f t="shared" ref="D5:D36" si="4">A_0*C5+D4</f>
        <v>40.795999999999999</v>
      </c>
      <c r="E5" s="201">
        <f t="shared" ref="E5:E36" si="5">A_1*C5 + E4*EXP(-1/T_1)</f>
        <v>48.55159669936981</v>
      </c>
      <c r="F5" s="201">
        <f t="shared" ref="F5:F36" si="6">A_2*C5 + F4*EXP(-1/T_2)</f>
        <v>61.873064823924622</v>
      </c>
      <c r="G5" s="201">
        <f t="shared" ref="G5:G36" si="7">A_3*C5 + G4*EXP(-1/T_3)</f>
        <v>25.008135020576976</v>
      </c>
      <c r="H5" s="201">
        <f t="shared" si="1"/>
        <v>176.22879654387143</v>
      </c>
      <c r="K5" s="174"/>
      <c r="L5" s="174"/>
    </row>
    <row r="6" spans="1:13">
      <c r="A6" s="200">
        <f t="shared" si="2"/>
        <v>2012</v>
      </c>
      <c r="B6" s="201">
        <f t="shared" si="3"/>
        <v>2</v>
      </c>
      <c r="C6" s="201">
        <f t="shared" si="0"/>
        <v>94</v>
      </c>
      <c r="D6" s="201">
        <f t="shared" si="4"/>
        <v>61.194000000000003</v>
      </c>
      <c r="E6" s="201">
        <f t="shared" si="5"/>
        <v>72.617599803474917</v>
      </c>
      <c r="F6" s="201">
        <f t="shared" si="6"/>
        <v>90.391071355905993</v>
      </c>
      <c r="G6" s="201">
        <f t="shared" si="7"/>
        <v>28.246101607620723</v>
      </c>
      <c r="H6" s="201">
        <f t="shared" si="1"/>
        <v>252.4487727670016</v>
      </c>
      <c r="K6" s="174"/>
      <c r="L6" s="174"/>
    </row>
    <row r="7" spans="1:13">
      <c r="A7" s="200">
        <f t="shared" si="2"/>
        <v>2013</v>
      </c>
      <c r="B7" s="201">
        <f t="shared" si="3"/>
        <v>3</v>
      </c>
      <c r="C7" s="201">
        <f t="shared" si="0"/>
        <v>94</v>
      </c>
      <c r="D7" s="201">
        <f t="shared" si="4"/>
        <v>81.591999999999999</v>
      </c>
      <c r="E7" s="201">
        <f t="shared" si="5"/>
        <v>96.544814348112652</v>
      </c>
      <c r="F7" s="201">
        <f t="shared" si="6"/>
        <v>117.40927490835082</v>
      </c>
      <c r="G7" s="201">
        <f t="shared" si="7"/>
        <v>29.639541197705029</v>
      </c>
      <c r="H7" s="201">
        <f t="shared" si="1"/>
        <v>325.18563045416852</v>
      </c>
      <c r="K7" s="174"/>
      <c r="L7" s="174"/>
    </row>
    <row r="8" spans="1:13">
      <c r="A8" s="200">
        <f t="shared" si="2"/>
        <v>2014</v>
      </c>
      <c r="B8" s="201">
        <f t="shared" si="3"/>
        <v>4</v>
      </c>
      <c r="C8" s="201">
        <f t="shared" si="0"/>
        <v>94</v>
      </c>
      <c r="D8" s="201">
        <f t="shared" si="4"/>
        <v>101.99</v>
      </c>
      <c r="E8" s="201">
        <f t="shared" si="5"/>
        <v>120.3340407264416</v>
      </c>
      <c r="F8" s="201">
        <f t="shared" si="6"/>
        <v>143.00655227704439</v>
      </c>
      <c r="G8" s="201">
        <f t="shared" si="7"/>
        <v>30.239199606467999</v>
      </c>
      <c r="H8" s="201">
        <f t="shared" si="1"/>
        <v>395.56979260995399</v>
      </c>
      <c r="K8" s="174"/>
      <c r="L8" s="174"/>
    </row>
    <row r="9" spans="1:13">
      <c r="A9" s="200">
        <f t="shared" si="2"/>
        <v>2015</v>
      </c>
      <c r="B9" s="201">
        <f t="shared" si="3"/>
        <v>5</v>
      </c>
      <c r="C9" s="201">
        <f t="shared" si="0"/>
        <v>94</v>
      </c>
      <c r="D9" s="201">
        <f t="shared" si="4"/>
        <v>122.38799999999999</v>
      </c>
      <c r="E9" s="201">
        <f t="shared" si="5"/>
        <v>143.98607471575568</v>
      </c>
      <c r="F9" s="201">
        <f t="shared" si="6"/>
        <v>167.25763201363711</v>
      </c>
      <c r="G9" s="201">
        <f t="shared" si="7"/>
        <v>30.497259022720396</v>
      </c>
      <c r="H9" s="201">
        <f t="shared" si="1"/>
        <v>464.12896575211323</v>
      </c>
      <c r="K9" s="174"/>
      <c r="L9" s="174"/>
    </row>
    <row r="10" spans="1:13">
      <c r="A10" s="200">
        <f t="shared" si="2"/>
        <v>2016</v>
      </c>
      <c r="B10" s="201">
        <f t="shared" si="3"/>
        <v>6</v>
      </c>
      <c r="C10" s="201">
        <f t="shared" si="0"/>
        <v>94</v>
      </c>
      <c r="D10" s="201">
        <f t="shared" si="4"/>
        <v>142.786</v>
      </c>
      <c r="E10" s="201">
        <f t="shared" si="5"/>
        <v>167.50170750410379</v>
      </c>
      <c r="F10" s="201">
        <f t="shared" si="6"/>
        <v>190.23331258776975</v>
      </c>
      <c r="G10" s="201">
        <f t="shared" si="7"/>
        <v>30.608313351890743</v>
      </c>
      <c r="H10" s="201">
        <f t="shared" si="1"/>
        <v>531.12933344376427</v>
      </c>
      <c r="K10" s="174"/>
      <c r="L10" s="174"/>
    </row>
    <row r="11" spans="1:13">
      <c r="A11" s="200">
        <f t="shared" si="2"/>
        <v>2017</v>
      </c>
      <c r="B11" s="201">
        <f t="shared" si="3"/>
        <v>7</v>
      </c>
      <c r="C11" s="201">
        <f t="shared" si="0"/>
        <v>94</v>
      </c>
      <c r="D11" s="201">
        <f t="shared" si="4"/>
        <v>163.184</v>
      </c>
      <c r="E11" s="201">
        <f t="shared" si="5"/>
        <v>190.88172571675605</v>
      </c>
      <c r="F11" s="201">
        <f t="shared" si="6"/>
        <v>212.00066907573878</v>
      </c>
      <c r="G11" s="201">
        <f t="shared" si="7"/>
        <v>30.656104919455217</v>
      </c>
      <c r="H11" s="201">
        <f t="shared" si="1"/>
        <v>596.72249971195004</v>
      </c>
      <c r="K11" s="174"/>
      <c r="L11" s="174"/>
    </row>
    <row r="12" spans="1:13">
      <c r="A12" s="200">
        <f t="shared" si="2"/>
        <v>2018</v>
      </c>
      <c r="B12" s="201">
        <f t="shared" si="3"/>
        <v>8</v>
      </c>
      <c r="C12" s="201">
        <f t="shared" si="0"/>
        <v>94</v>
      </c>
      <c r="D12" s="201">
        <f t="shared" si="4"/>
        <v>183.58199999999999</v>
      </c>
      <c r="E12" s="201">
        <f t="shared" si="5"/>
        <v>214.12691144251724</v>
      </c>
      <c r="F12" s="201">
        <f t="shared" si="6"/>
        <v>232.62324897910756</v>
      </c>
      <c r="G12" s="201">
        <f t="shared" si="7"/>
        <v>30.676671735241086</v>
      </c>
      <c r="H12" s="201">
        <f t="shared" si="1"/>
        <v>661.00883215686576</v>
      </c>
      <c r="K12" s="174"/>
      <c r="L12" s="174"/>
    </row>
    <row r="13" spans="1:13">
      <c r="A13" s="200">
        <f t="shared" si="2"/>
        <v>2019</v>
      </c>
      <c r="B13" s="201">
        <f t="shared" si="3"/>
        <v>9</v>
      </c>
      <c r="C13" s="201">
        <f t="shared" si="0"/>
        <v>94</v>
      </c>
      <c r="D13" s="201">
        <f t="shared" si="4"/>
        <v>203.98</v>
      </c>
      <c r="E13" s="201">
        <f t="shared" si="5"/>
        <v>237.2380422598886</v>
      </c>
      <c r="F13" s="201">
        <f t="shared" si="6"/>
        <v>252.16125774493497</v>
      </c>
      <c r="G13" s="201">
        <f t="shared" si="7"/>
        <v>30.685522541630711</v>
      </c>
      <c r="H13" s="201">
        <f t="shared" si="1"/>
        <v>724.06482254645425</v>
      </c>
      <c r="K13" s="174"/>
      <c r="L13" s="174"/>
    </row>
    <row r="14" spans="1:13">
      <c r="A14" s="200">
        <f t="shared" si="2"/>
        <v>2020</v>
      </c>
      <c r="B14" s="201">
        <f t="shared" si="3"/>
        <v>10</v>
      </c>
      <c r="C14" s="201">
        <f t="shared" si="0"/>
        <v>94</v>
      </c>
      <c r="D14" s="201">
        <f t="shared" si="4"/>
        <v>224.37799999999999</v>
      </c>
      <c r="E14" s="201">
        <f t="shared" si="5"/>
        <v>260.21589126307879</v>
      </c>
      <c r="F14" s="201">
        <f t="shared" si="6"/>
        <v>270.67173452922862</v>
      </c>
      <c r="G14" s="201">
        <f t="shared" si="7"/>
        <v>30.6893314333212</v>
      </c>
      <c r="H14" s="201">
        <f t="shared" si="1"/>
        <v>785.95495722562862</v>
      </c>
      <c r="K14" s="174"/>
      <c r="L14" s="174"/>
    </row>
    <row r="15" spans="1:13">
      <c r="A15" s="200">
        <f t="shared" si="2"/>
        <v>2021</v>
      </c>
      <c r="B15" s="201">
        <f t="shared" si="3"/>
        <v>11</v>
      </c>
      <c r="C15" s="201">
        <f t="shared" si="0"/>
        <v>94</v>
      </c>
      <c r="D15" s="201">
        <f t="shared" si="4"/>
        <v>244.77599999999998</v>
      </c>
      <c r="E15" s="201">
        <f t="shared" si="5"/>
        <v>283.06122708786472</v>
      </c>
      <c r="F15" s="201">
        <f t="shared" si="6"/>
        <v>288.20871871674512</v>
      </c>
      <c r="G15" s="201">
        <f t="shared" si="7"/>
        <v>30.690970567121134</v>
      </c>
      <c r="H15" s="201">
        <f t="shared" si="1"/>
        <v>846.7369163717309</v>
      </c>
      <c r="K15" s="174"/>
      <c r="L15" s="174"/>
    </row>
    <row r="16" spans="1:13">
      <c r="A16" s="200">
        <f t="shared" si="2"/>
        <v>2022</v>
      </c>
      <c r="B16" s="201">
        <f t="shared" si="3"/>
        <v>12</v>
      </c>
      <c r="C16" s="201">
        <f t="shared" si="0"/>
        <v>94</v>
      </c>
      <c r="D16" s="201">
        <f t="shared" si="4"/>
        <v>265.17399999999998</v>
      </c>
      <c r="E16" s="201">
        <f t="shared" si="5"/>
        <v>305.77481393730335</v>
      </c>
      <c r="F16" s="201">
        <f t="shared" si="6"/>
        <v>304.82340768327464</v>
      </c>
      <c r="G16" s="201">
        <f t="shared" si="7"/>
        <v>30.691675958566311</v>
      </c>
      <c r="H16" s="201">
        <f t="shared" si="1"/>
        <v>906.46389757914426</v>
      </c>
      <c r="K16" s="174"/>
      <c r="L16" s="174"/>
    </row>
    <row r="17" spans="1:16">
      <c r="A17" s="200">
        <f t="shared" si="2"/>
        <v>2023</v>
      </c>
      <c r="B17" s="201">
        <f t="shared" si="3"/>
        <v>13</v>
      </c>
      <c r="C17" s="201">
        <f t="shared" si="0"/>
        <v>94</v>
      </c>
      <c r="D17" s="201">
        <f t="shared" si="4"/>
        <v>285.572</v>
      </c>
      <c r="E17" s="201">
        <f t="shared" si="5"/>
        <v>328.35741160729521</v>
      </c>
      <c r="F17" s="201">
        <f t="shared" si="6"/>
        <v>320.56430626097989</v>
      </c>
      <c r="G17" s="201">
        <f t="shared" si="7"/>
        <v>30.69197951956356</v>
      </c>
      <c r="H17" s="201">
        <f t="shared" si="1"/>
        <v>965.18569738783867</v>
      </c>
      <c r="K17" s="174"/>
      <c r="L17" s="174"/>
    </row>
    <row r="18" spans="1:16">
      <c r="A18" s="200">
        <f t="shared" si="2"/>
        <v>2024</v>
      </c>
      <c r="B18" s="201">
        <f t="shared" si="3"/>
        <v>14</v>
      </c>
      <c r="C18" s="201">
        <f t="shared" si="0"/>
        <v>94</v>
      </c>
      <c r="D18" s="201">
        <f t="shared" si="4"/>
        <v>305.97000000000003</v>
      </c>
      <c r="E18" s="201">
        <f t="shared" si="5"/>
        <v>350.80977551200033</v>
      </c>
      <c r="F18" s="201">
        <f t="shared" si="6"/>
        <v>335.47736834313804</v>
      </c>
      <c r="G18" s="201">
        <f t="shared" si="7"/>
        <v>30.692110155226466</v>
      </c>
      <c r="H18" s="201">
        <f t="shared" si="1"/>
        <v>1022.9492540103648</v>
      </c>
      <c r="K18" s="174"/>
      <c r="L18" s="174"/>
    </row>
    <row r="19" spans="1:16">
      <c r="A19" s="200">
        <f t="shared" si="2"/>
        <v>2025</v>
      </c>
      <c r="B19" s="201">
        <f t="shared" si="3"/>
        <v>15</v>
      </c>
      <c r="C19" s="201">
        <f t="shared" si="0"/>
        <v>94</v>
      </c>
      <c r="D19" s="201">
        <f t="shared" si="4"/>
        <v>326.36800000000005</v>
      </c>
      <c r="E19" s="201">
        <f t="shared" si="5"/>
        <v>373.13265670910789</v>
      </c>
      <c r="F19" s="201">
        <f t="shared" si="6"/>
        <v>349.60613104168561</v>
      </c>
      <c r="G19" s="201">
        <f t="shared" si="7"/>
        <v>30.692166373504101</v>
      </c>
      <c r="H19" s="201">
        <f t="shared" si="1"/>
        <v>1079.7989541242976</v>
      </c>
      <c r="K19" s="174"/>
      <c r="L19" s="174"/>
    </row>
    <row r="20" spans="1:16">
      <c r="A20" s="200">
        <f t="shared" si="2"/>
        <v>2026</v>
      </c>
      <c r="B20" s="201">
        <f t="shared" si="3"/>
        <v>16</v>
      </c>
      <c r="C20" s="201">
        <f t="shared" si="0"/>
        <v>94</v>
      </c>
      <c r="D20" s="201">
        <f t="shared" si="4"/>
        <v>346.76600000000008</v>
      </c>
      <c r="E20" s="201">
        <f t="shared" si="5"/>
        <v>395.32680192495985</v>
      </c>
      <c r="F20" s="201">
        <f t="shared" si="6"/>
        <v>362.99184178922525</v>
      </c>
      <c r="G20" s="201">
        <f t="shared" si="7"/>
        <v>30.692190566704262</v>
      </c>
      <c r="H20" s="201">
        <f t="shared" si="1"/>
        <v>1135.7768342808895</v>
      </c>
      <c r="K20" s="174"/>
      <c r="L20" s="174"/>
      <c r="P20" s="75"/>
    </row>
    <row r="21" spans="1:16">
      <c r="A21" s="200">
        <f t="shared" si="2"/>
        <v>2027</v>
      </c>
      <c r="B21" s="201">
        <f t="shared" si="3"/>
        <v>17</v>
      </c>
      <c r="C21" s="201">
        <f t="shared" si="0"/>
        <v>94</v>
      </c>
      <c r="D21" s="201">
        <f t="shared" si="4"/>
        <v>367.1640000000001</v>
      </c>
      <c r="E21" s="201">
        <f t="shared" si="5"/>
        <v>417.39295357952983</v>
      </c>
      <c r="F21" s="201">
        <f t="shared" si="6"/>
        <v>375.67357875655483</v>
      </c>
      <c r="G21" s="201">
        <f t="shared" si="7"/>
        <v>30.692200978103514</v>
      </c>
      <c r="H21" s="201">
        <f t="shared" si="1"/>
        <v>1190.9227333141882</v>
      </c>
      <c r="K21" s="174"/>
      <c r="L21" s="174"/>
    </row>
    <row r="22" spans="1:16">
      <c r="A22" s="200">
        <f t="shared" si="2"/>
        <v>2028</v>
      </c>
      <c r="B22" s="201">
        <f t="shared" si="3"/>
        <v>18</v>
      </c>
      <c r="C22" s="201">
        <f t="shared" si="0"/>
        <v>94</v>
      </c>
      <c r="D22" s="201">
        <f t="shared" si="4"/>
        <v>387.56200000000013</v>
      </c>
      <c r="E22" s="201">
        <f t="shared" si="5"/>
        <v>439.33184981125794</v>
      </c>
      <c r="F22" s="201">
        <f t="shared" si="6"/>
        <v>387.68836493726576</v>
      </c>
      <c r="G22" s="201">
        <f t="shared" si="7"/>
        <v>30.692205458587029</v>
      </c>
      <c r="H22" s="201">
        <f t="shared" si="1"/>
        <v>1245.2744202071108</v>
      </c>
      <c r="K22" s="174"/>
      <c r="L22" s="174"/>
    </row>
    <row r="23" spans="1:16">
      <c r="A23" s="200">
        <f t="shared" si="2"/>
        <v>2029</v>
      </c>
      <c r="B23" s="201">
        <f t="shared" si="3"/>
        <v>19</v>
      </c>
      <c r="C23" s="201">
        <f t="shared" si="0"/>
        <v>94</v>
      </c>
      <c r="D23" s="201">
        <f t="shared" si="4"/>
        <v>407.96000000000015</v>
      </c>
      <c r="E23" s="201">
        <f t="shared" si="5"/>
        <v>461.14422450174237</v>
      </c>
      <c r="F23" s="201">
        <f t="shared" si="6"/>
        <v>399.07127623246828</v>
      </c>
      <c r="G23" s="201">
        <f t="shared" si="7"/>
        <v>30.69220738673636</v>
      </c>
      <c r="H23" s="201">
        <f t="shared" si="1"/>
        <v>1298.8677081209471</v>
      </c>
      <c r="K23" s="174"/>
      <c r="L23" s="174"/>
    </row>
    <row r="24" spans="1:16">
      <c r="A24" s="200">
        <f t="shared" si="2"/>
        <v>2030</v>
      </c>
      <c r="B24" s="201">
        <f t="shared" si="3"/>
        <v>20</v>
      </c>
      <c r="C24" s="201">
        <f t="shared" si="0"/>
        <v>94</v>
      </c>
      <c r="D24" s="201">
        <f t="shared" si="4"/>
        <v>428.35800000000017</v>
      </c>
      <c r="E24" s="201">
        <f t="shared" si="5"/>
        <v>482.83080730028865</v>
      </c>
      <c r="F24" s="201">
        <f t="shared" si="6"/>
        <v>409.85554385118525</v>
      </c>
      <c r="G24" s="201">
        <f t="shared" si="7"/>
        <v>30.692208216503914</v>
      </c>
      <c r="H24" s="201">
        <f t="shared" si="1"/>
        <v>1351.7365593679781</v>
      </c>
      <c r="K24" s="174"/>
      <c r="L24" s="174"/>
    </row>
    <row r="25" spans="1:16">
      <c r="A25" s="200">
        <f t="shared" si="2"/>
        <v>2031</v>
      </c>
      <c r="B25" s="201">
        <f t="shared" si="3"/>
        <v>21</v>
      </c>
      <c r="C25" s="201">
        <f t="shared" si="0"/>
        <v>94</v>
      </c>
      <c r="D25" s="201">
        <f t="shared" si="4"/>
        <v>448.7560000000002</v>
      </c>
      <c r="E25" s="201">
        <f t="shared" si="5"/>
        <v>504.39232364831719</v>
      </c>
      <c r="F25" s="201">
        <f t="shared" si="6"/>
        <v>420.07265132536219</v>
      </c>
      <c r="G25" s="201">
        <f t="shared" si="7"/>
        <v>30.692208573589426</v>
      </c>
      <c r="H25" s="201">
        <f t="shared" si="1"/>
        <v>1403.913183547269</v>
      </c>
      <c r="K25" s="174"/>
      <c r="L25" s="174"/>
    </row>
    <row r="26" spans="1:16">
      <c r="A26" s="200">
        <f t="shared" si="2"/>
        <v>2032</v>
      </c>
      <c r="B26" s="201">
        <f t="shared" si="3"/>
        <v>22</v>
      </c>
      <c r="C26" s="201">
        <f t="shared" si="0"/>
        <v>94</v>
      </c>
      <c r="D26" s="201">
        <f t="shared" si="4"/>
        <v>469.15400000000022</v>
      </c>
      <c r="E26" s="201">
        <f t="shared" si="5"/>
        <v>525.82949480363004</v>
      </c>
      <c r="F26" s="201">
        <f t="shared" si="6"/>
        <v>429.75242642271849</v>
      </c>
      <c r="G26" s="201">
        <f t="shared" si="7"/>
        <v>30.692208727259043</v>
      </c>
      <c r="H26" s="201">
        <f t="shared" si="1"/>
        <v>1455.4281299536076</v>
      </c>
      <c r="K26" s="174"/>
      <c r="L26" s="174"/>
    </row>
    <row r="27" spans="1:16">
      <c r="A27" s="200">
        <f t="shared" si="2"/>
        <v>2033</v>
      </c>
      <c r="B27" s="201">
        <f t="shared" si="3"/>
        <v>23</v>
      </c>
      <c r="C27" s="201">
        <f t="shared" si="0"/>
        <v>94</v>
      </c>
      <c r="D27" s="201">
        <f t="shared" si="4"/>
        <v>489.55200000000025</v>
      </c>
      <c r="E27" s="201">
        <f t="shared" si="5"/>
        <v>547.14303786453809</v>
      </c>
      <c r="F27" s="201">
        <f t="shared" si="6"/>
        <v>438.9231282257694</v>
      </c>
      <c r="G27" s="201">
        <f t="shared" si="7"/>
        <v>30.692208793389845</v>
      </c>
      <c r="H27" s="201">
        <f t="shared" si="1"/>
        <v>1506.3103748836977</v>
      </c>
      <c r="K27" s="174"/>
      <c r="L27" s="174"/>
    </row>
    <row r="28" spans="1:16">
      <c r="A28" s="200">
        <f t="shared" si="2"/>
        <v>2034</v>
      </c>
      <c r="B28" s="201">
        <f t="shared" si="3"/>
        <v>24</v>
      </c>
      <c r="C28" s="201">
        <f t="shared" si="0"/>
        <v>94</v>
      </c>
      <c r="D28" s="201">
        <f t="shared" si="4"/>
        <v>509.95000000000027</v>
      </c>
      <c r="E28" s="201">
        <f t="shared" si="5"/>
        <v>568.33366579384858</v>
      </c>
      <c r="F28" s="201">
        <f t="shared" si="6"/>
        <v>447.61152963123703</v>
      </c>
      <c r="G28" s="201">
        <f t="shared" si="7"/>
        <v>30.692208821848844</v>
      </c>
      <c r="H28" s="201">
        <f t="shared" si="1"/>
        <v>1556.5874042469347</v>
      </c>
      <c r="K28" s="174"/>
      <c r="L28" s="174"/>
    </row>
    <row r="29" spans="1:16">
      <c r="A29" s="200">
        <f t="shared" si="2"/>
        <v>2035</v>
      </c>
      <c r="B29" s="201">
        <f t="shared" si="3"/>
        <v>25</v>
      </c>
      <c r="C29" s="201">
        <f t="shared" si="0"/>
        <v>0</v>
      </c>
      <c r="D29" s="201">
        <f t="shared" si="4"/>
        <v>509.95000000000027</v>
      </c>
      <c r="E29" s="201">
        <f t="shared" si="5"/>
        <v>565.05608744271456</v>
      </c>
      <c r="F29" s="201">
        <f t="shared" si="6"/>
        <v>424.07099551069882</v>
      </c>
      <c r="G29" s="201">
        <f t="shared" si="7"/>
        <v>13.208208834096006</v>
      </c>
      <c r="H29" s="201">
        <f t="shared" si="1"/>
        <v>1512.2852917875098</v>
      </c>
      <c r="K29" s="174"/>
      <c r="L29" s="174"/>
    </row>
    <row r="30" spans="1:16">
      <c r="A30" s="200">
        <f t="shared" si="2"/>
        <v>2036</v>
      </c>
      <c r="B30" s="201">
        <f t="shared" si="3"/>
        <v>26</v>
      </c>
      <c r="C30" s="201">
        <f t="shared" si="0"/>
        <v>0</v>
      </c>
      <c r="D30" s="201">
        <f t="shared" si="4"/>
        <v>509.95000000000027</v>
      </c>
      <c r="E30" s="201">
        <f t="shared" si="5"/>
        <v>561.79741087497712</v>
      </c>
      <c r="F30" s="201">
        <f t="shared" si="6"/>
        <v>401.76849193673024</v>
      </c>
      <c r="G30" s="201">
        <f t="shared" si="7"/>
        <v>5.6840738187895203</v>
      </c>
      <c r="H30" s="201">
        <f t="shared" si="1"/>
        <v>1479.1999766304973</v>
      </c>
      <c r="K30" s="174"/>
      <c r="L30" s="174"/>
    </row>
    <row r="31" spans="1:16">
      <c r="A31" s="200">
        <f t="shared" si="2"/>
        <v>2037</v>
      </c>
      <c r="B31" s="201">
        <f t="shared" si="3"/>
        <v>27</v>
      </c>
      <c r="C31" s="201">
        <f t="shared" si="0"/>
        <v>0</v>
      </c>
      <c r="D31" s="201">
        <f t="shared" si="4"/>
        <v>509.95000000000027</v>
      </c>
      <c r="E31" s="201">
        <f t="shared" si="5"/>
        <v>558.55752708411455</v>
      </c>
      <c r="F31" s="201">
        <f t="shared" si="6"/>
        <v>380.63890910228986</v>
      </c>
      <c r="G31" s="201">
        <f t="shared" si="7"/>
        <v>2.4461072340138958</v>
      </c>
      <c r="H31" s="201">
        <f t="shared" si="1"/>
        <v>1451.5925434204185</v>
      </c>
      <c r="K31" s="174"/>
      <c r="L31" s="174"/>
    </row>
    <row r="32" spans="1:16">
      <c r="A32" s="200">
        <f t="shared" si="2"/>
        <v>2038</v>
      </c>
      <c r="B32" s="201">
        <f t="shared" si="3"/>
        <v>28</v>
      </c>
      <c r="C32" s="201">
        <f t="shared" si="0"/>
        <v>0</v>
      </c>
      <c r="D32" s="201">
        <f t="shared" si="4"/>
        <v>509.95000000000027</v>
      </c>
      <c r="E32" s="201">
        <f t="shared" si="5"/>
        <v>555.3363276922455</v>
      </c>
      <c r="F32" s="201">
        <f t="shared" si="6"/>
        <v>360.62056141873279</v>
      </c>
      <c r="G32" s="201">
        <f t="shared" si="7"/>
        <v>1.0526676449056647</v>
      </c>
      <c r="H32" s="201">
        <f t="shared" si="1"/>
        <v>1426.9595567558843</v>
      </c>
      <c r="K32" s="174"/>
      <c r="L32" s="174"/>
    </row>
    <row r="33" spans="1:12">
      <c r="A33" s="200">
        <f t="shared" si="2"/>
        <v>2039</v>
      </c>
      <c r="B33" s="201">
        <f t="shared" si="3"/>
        <v>29</v>
      </c>
      <c r="C33" s="201">
        <f t="shared" si="0"/>
        <v>0</v>
      </c>
      <c r="D33" s="201">
        <f t="shared" si="4"/>
        <v>509.95000000000027</v>
      </c>
      <c r="E33" s="201">
        <f t="shared" si="5"/>
        <v>552.13370494650337</v>
      </c>
      <c r="F33" s="201">
        <f t="shared" si="6"/>
        <v>341.65500743124028</v>
      </c>
      <c r="G33" s="201">
        <f t="shared" si="7"/>
        <v>0.45300923656274322</v>
      </c>
      <c r="H33" s="201">
        <f t="shared" si="1"/>
        <v>1404.1917216143067</v>
      </c>
      <c r="K33" s="174"/>
      <c r="L33" s="174"/>
    </row>
    <row r="34" spans="1:12">
      <c r="A34" s="200">
        <f t="shared" si="2"/>
        <v>2040</v>
      </c>
      <c r="B34" s="201">
        <f t="shared" si="3"/>
        <v>30</v>
      </c>
      <c r="C34" s="201">
        <f t="shared" si="0"/>
        <v>0</v>
      </c>
      <c r="D34" s="201">
        <f t="shared" si="4"/>
        <v>509.95000000000027</v>
      </c>
      <c r="E34" s="201">
        <f t="shared" si="5"/>
        <v>548.94955171543211</v>
      </c>
      <c r="F34" s="201">
        <f t="shared" si="6"/>
        <v>323.68687920515589</v>
      </c>
      <c r="G34" s="201">
        <f t="shared" si="7"/>
        <v>0.19494982049111056</v>
      </c>
      <c r="H34" s="201">
        <f t="shared" si="1"/>
        <v>1382.7813807410794</v>
      </c>
      <c r="K34" s="174"/>
      <c r="L34" s="174"/>
    </row>
    <row r="35" spans="1:12">
      <c r="A35" s="200">
        <f t="shared" si="2"/>
        <v>2041</v>
      </c>
      <c r="B35" s="201">
        <f t="shared" si="3"/>
        <v>31</v>
      </c>
      <c r="C35" s="201">
        <f t="shared" si="0"/>
        <v>0</v>
      </c>
      <c r="D35" s="201">
        <f t="shared" si="4"/>
        <v>509.95000000000027</v>
      </c>
      <c r="E35" s="201">
        <f t="shared" si="5"/>
        <v>545.78376148540224</v>
      </c>
      <c r="F35" s="201">
        <f t="shared" si="6"/>
        <v>306.66372068513965</v>
      </c>
      <c r="G35" s="201">
        <f t="shared" si="7"/>
        <v>8.3895491398556413E-2</v>
      </c>
      <c r="H35" s="201">
        <f t="shared" si="1"/>
        <v>1362.4813776619408</v>
      </c>
      <c r="K35" s="174"/>
      <c r="L35" s="174"/>
    </row>
    <row r="36" spans="1:12">
      <c r="A36" s="200">
        <f t="shared" si="2"/>
        <v>2042</v>
      </c>
      <c r="B36" s="201">
        <f t="shared" si="3"/>
        <v>32</v>
      </c>
      <c r="C36" s="201">
        <f t="shared" ref="C36:C67" si="8">IF($B36&gt;=ProductionYears, 0, GasolineGWI)</f>
        <v>0</v>
      </c>
      <c r="D36" s="201">
        <f t="shared" si="4"/>
        <v>509.95000000000027</v>
      </c>
      <c r="E36" s="201">
        <f t="shared" si="5"/>
        <v>542.63622835704814</v>
      </c>
      <c r="F36" s="201">
        <f t="shared" si="6"/>
        <v>290.53583455524682</v>
      </c>
      <c r="G36" s="201">
        <f t="shared" si="7"/>
        <v>3.6103923867558507E-2</v>
      </c>
      <c r="H36" s="201">
        <f t="shared" ref="H36:H67" si="9">SUM(D36:G36)</f>
        <v>1343.1581668361628</v>
      </c>
      <c r="K36" s="174"/>
      <c r="L36" s="174"/>
    </row>
    <row r="37" spans="1:12">
      <c r="A37" s="200">
        <f t="shared" ref="A37:A68" si="10">A36+1</f>
        <v>2043</v>
      </c>
      <c r="B37" s="201">
        <f t="shared" ref="B37:B68" si="11">B36+1</f>
        <v>33</v>
      </c>
      <c r="C37" s="201">
        <f t="shared" si="8"/>
        <v>0</v>
      </c>
      <c r="D37" s="201">
        <f t="shared" ref="D37:D68" si="12">A_0*C37+D36</f>
        <v>509.95000000000027</v>
      </c>
      <c r="E37" s="201">
        <f t="shared" ref="E37:E68" si="13">A_1*C37 + E36*EXP(-1/T_1)</f>
        <v>539.50684704172556</v>
      </c>
      <c r="F37" s="201">
        <f t="shared" ref="F37:F68" si="14">A_2*C37 + F36*EXP(-1/T_2)</f>
        <v>275.25613715285544</v>
      </c>
      <c r="G37" s="201">
        <f t="shared" ref="G37:G68" si="15">A_3*C37 + G36*EXP(-1/T_3)</f>
        <v>1.5537108096095972E-2</v>
      </c>
      <c r="H37" s="201">
        <f t="shared" si="9"/>
        <v>1324.7285213026773</v>
      </c>
      <c r="K37" s="174"/>
      <c r="L37" s="174"/>
    </row>
    <row r="38" spans="1:12">
      <c r="A38" s="200">
        <f t="shared" si="10"/>
        <v>2044</v>
      </c>
      <c r="B38" s="201">
        <f t="shared" si="11"/>
        <v>34</v>
      </c>
      <c r="C38" s="201">
        <f t="shared" si="8"/>
        <v>0</v>
      </c>
      <c r="D38" s="201">
        <f t="shared" si="12"/>
        <v>509.95000000000027</v>
      </c>
      <c r="E38" s="201">
        <f t="shared" si="13"/>
        <v>536.39551285798927</v>
      </c>
      <c r="F38" s="201">
        <f t="shared" si="14"/>
        <v>260.78002101287888</v>
      </c>
      <c r="G38" s="201">
        <f t="shared" si="15"/>
        <v>6.6863017126702019E-3</v>
      </c>
      <c r="H38" s="201">
        <f t="shared" si="9"/>
        <v>1307.1322201725811</v>
      </c>
      <c r="K38" s="174"/>
      <c r="L38" s="174"/>
    </row>
    <row r="39" spans="1:12">
      <c r="A39" s="200">
        <f t="shared" si="10"/>
        <v>2045</v>
      </c>
      <c r="B39" s="201">
        <f t="shared" si="11"/>
        <v>35</v>
      </c>
      <c r="C39" s="201">
        <f t="shared" si="8"/>
        <v>0</v>
      </c>
      <c r="D39" s="201">
        <f t="shared" si="12"/>
        <v>509.95000000000027</v>
      </c>
      <c r="E39" s="201">
        <f t="shared" si="13"/>
        <v>533.30212172809183</v>
      </c>
      <c r="F39" s="201">
        <f t="shared" si="14"/>
        <v>247.06522464097608</v>
      </c>
      <c r="G39" s="201">
        <f t="shared" si="15"/>
        <v>2.8774100248481868E-3</v>
      </c>
      <c r="H39" s="201">
        <f t="shared" si="9"/>
        <v>1290.3202237790931</v>
      </c>
      <c r="K39" s="174"/>
      <c r="L39" s="174"/>
    </row>
    <row r="40" spans="1:12">
      <c r="A40" s="200">
        <f t="shared" si="10"/>
        <v>2046</v>
      </c>
      <c r="B40" s="201">
        <f t="shared" si="11"/>
        <v>36</v>
      </c>
      <c r="C40" s="201">
        <f t="shared" si="8"/>
        <v>0</v>
      </c>
      <c r="D40" s="201">
        <f t="shared" si="12"/>
        <v>509.95000000000027</v>
      </c>
      <c r="E40" s="201">
        <f t="shared" si="13"/>
        <v>530.22657017450172</v>
      </c>
      <c r="F40" s="201">
        <f t="shared" si="14"/>
        <v>234.07170913557599</v>
      </c>
      <c r="G40" s="201">
        <f t="shared" si="15"/>
        <v>1.238276226064946E-3</v>
      </c>
      <c r="H40" s="201">
        <f t="shared" si="9"/>
        <v>1274.2495175863041</v>
      </c>
      <c r="K40" s="174"/>
      <c r="L40" s="174"/>
    </row>
    <row r="41" spans="1:12">
      <c r="A41" s="200">
        <f t="shared" si="10"/>
        <v>2047</v>
      </c>
      <c r="B41" s="201">
        <f t="shared" si="11"/>
        <v>37</v>
      </c>
      <c r="C41" s="201">
        <f t="shared" si="8"/>
        <v>0</v>
      </c>
      <c r="D41" s="201">
        <f t="shared" si="12"/>
        <v>509.95000000000027</v>
      </c>
      <c r="E41" s="201">
        <f t="shared" si="13"/>
        <v>527.168755316442</v>
      </c>
      <c r="F41" s="201">
        <f t="shared" si="14"/>
        <v>221.76154129852708</v>
      </c>
      <c r="G41" s="201">
        <f t="shared" si="15"/>
        <v>5.3288478138201526E-4</v>
      </c>
      <c r="H41" s="201">
        <f t="shared" si="9"/>
        <v>1258.8808294997509</v>
      </c>
      <c r="K41" s="174"/>
      <c r="L41" s="174"/>
    </row>
    <row r="42" spans="1:12">
      <c r="A42" s="200">
        <f t="shared" si="10"/>
        <v>2048</v>
      </c>
      <c r="B42" s="201">
        <f t="shared" si="11"/>
        <v>38</v>
      </c>
      <c r="C42" s="201">
        <f t="shared" si="8"/>
        <v>0</v>
      </c>
      <c r="D42" s="201">
        <f t="shared" si="12"/>
        <v>509.95000000000027</v>
      </c>
      <c r="E42" s="201">
        <f t="shared" si="13"/>
        <v>524.12857486644873</v>
      </c>
      <c r="F42" s="201">
        <f t="shared" si="14"/>
        <v>210.09878289312604</v>
      </c>
      <c r="G42" s="201">
        <f t="shared" si="15"/>
        <v>2.2932378434734201E-4</v>
      </c>
      <c r="H42" s="201">
        <f t="shared" si="9"/>
        <v>1244.1775870833594</v>
      </c>
      <c r="K42" s="174"/>
      <c r="L42" s="174"/>
    </row>
    <row r="43" spans="1:12">
      <c r="A43" s="200">
        <f t="shared" si="10"/>
        <v>2049</v>
      </c>
      <c r="B43" s="201">
        <f t="shared" si="11"/>
        <v>39</v>
      </c>
      <c r="C43" s="201">
        <f t="shared" si="8"/>
        <v>0</v>
      </c>
      <c r="D43" s="201">
        <f t="shared" si="12"/>
        <v>509.95000000000027</v>
      </c>
      <c r="E43" s="201">
        <f t="shared" si="13"/>
        <v>521.10592712694961</v>
      </c>
      <c r="F43" s="201">
        <f t="shared" si="14"/>
        <v>199.04938572622601</v>
      </c>
      <c r="G43" s="201">
        <f t="shared" si="15"/>
        <v>9.8688121531633418E-5</v>
      </c>
      <c r="H43" s="201">
        <f t="shared" si="9"/>
        <v>1230.1054115412976</v>
      </c>
      <c r="K43" s="174"/>
      <c r="L43" s="174"/>
    </row>
    <row r="44" spans="1:12">
      <c r="A44" s="200">
        <f t="shared" si="10"/>
        <v>2050</v>
      </c>
      <c r="B44" s="201">
        <f t="shared" si="11"/>
        <v>40</v>
      </c>
      <c r="C44" s="201">
        <f t="shared" si="8"/>
        <v>0</v>
      </c>
      <c r="D44" s="201">
        <f t="shared" si="12"/>
        <v>509.95000000000027</v>
      </c>
      <c r="E44" s="201">
        <f t="shared" si="13"/>
        <v>518.10071098686183</v>
      </c>
      <c r="F44" s="201">
        <f t="shared" si="14"/>
        <v>188.58109224812745</v>
      </c>
      <c r="G44" s="201">
        <f t="shared" si="15"/>
        <v>4.2469843933374508E-5</v>
      </c>
      <c r="H44" s="201">
        <f t="shared" si="9"/>
        <v>1216.6318457048335</v>
      </c>
      <c r="K44" s="174"/>
      <c r="L44" s="174"/>
    </row>
    <row r="45" spans="1:12">
      <c r="A45" s="200">
        <f t="shared" si="10"/>
        <v>2051</v>
      </c>
      <c r="B45" s="201">
        <f t="shared" si="11"/>
        <v>41</v>
      </c>
      <c r="C45" s="201">
        <f t="shared" si="8"/>
        <v>0</v>
      </c>
      <c r="D45" s="201">
        <f t="shared" si="12"/>
        <v>509.95000000000027</v>
      </c>
      <c r="E45" s="201">
        <f t="shared" si="13"/>
        <v>515.11282591820986</v>
      </c>
      <c r="F45" s="201">
        <f t="shared" si="14"/>
        <v>178.663341380064</v>
      </c>
      <c r="G45" s="201">
        <f t="shared" si="15"/>
        <v>1.8276643791897843E-5</v>
      </c>
      <c r="H45" s="201">
        <f t="shared" si="9"/>
        <v>1203.7261855749177</v>
      </c>
      <c r="K45" s="174"/>
      <c r="L45" s="174"/>
    </row>
    <row r="46" spans="1:12">
      <c r="A46" s="200">
        <f t="shared" si="10"/>
        <v>2052</v>
      </c>
      <c r="B46" s="201">
        <f t="shared" si="11"/>
        <v>42</v>
      </c>
      <c r="C46" s="201">
        <f t="shared" si="8"/>
        <v>0</v>
      </c>
      <c r="D46" s="201">
        <f t="shared" si="12"/>
        <v>509.95000000000027</v>
      </c>
      <c r="E46" s="201">
        <f t="shared" si="13"/>
        <v>512.14217197276264</v>
      </c>
      <c r="F46" s="201">
        <f t="shared" si="14"/>
        <v>169.26717929435605</v>
      </c>
      <c r="G46" s="201">
        <f t="shared" si="15"/>
        <v>7.8652445443393598E-6</v>
      </c>
      <c r="H46" s="201">
        <f t="shared" si="9"/>
        <v>1191.3593591323634</v>
      </c>
      <c r="K46" s="174"/>
      <c r="L46" s="174"/>
    </row>
    <row r="47" spans="1:12">
      <c r="A47" s="200">
        <f t="shared" si="10"/>
        <v>2053</v>
      </c>
      <c r="B47" s="201">
        <f t="shared" si="11"/>
        <v>43</v>
      </c>
      <c r="C47" s="201">
        <f t="shared" si="8"/>
        <v>0</v>
      </c>
      <c r="D47" s="201">
        <f t="shared" si="12"/>
        <v>509.95000000000027</v>
      </c>
      <c r="E47" s="201">
        <f t="shared" si="13"/>
        <v>509.18864977869021</v>
      </c>
      <c r="F47" s="201">
        <f t="shared" si="14"/>
        <v>160.36517488676455</v>
      </c>
      <c r="G47" s="201">
        <f t="shared" si="15"/>
        <v>3.3847610341721456E-6</v>
      </c>
      <c r="H47" s="201">
        <f t="shared" si="9"/>
        <v>1179.503828050216</v>
      </c>
      <c r="K47" s="174"/>
      <c r="L47" s="174"/>
    </row>
    <row r="48" spans="1:12">
      <c r="A48" s="200">
        <f t="shared" si="10"/>
        <v>2054</v>
      </c>
      <c r="B48" s="201">
        <f t="shared" si="11"/>
        <v>44</v>
      </c>
      <c r="C48" s="201">
        <f t="shared" si="8"/>
        <v>0</v>
      </c>
      <c r="D48" s="201">
        <f t="shared" si="12"/>
        <v>509.95000000000027</v>
      </c>
      <c r="E48" s="201">
        <f t="shared" si="13"/>
        <v>506.25216053723966</v>
      </c>
      <c r="F48" s="201">
        <f t="shared" si="14"/>
        <v>151.9313396942751</v>
      </c>
      <c r="G48" s="201">
        <f t="shared" si="15"/>
        <v>1.4566117040436394E-6</v>
      </c>
      <c r="H48" s="201">
        <f t="shared" si="9"/>
        <v>1168.1335016881267</v>
      </c>
      <c r="K48" s="174"/>
      <c r="L48" s="174"/>
    </row>
    <row r="49" spans="1:12">
      <c r="A49" s="200">
        <f t="shared" si="10"/>
        <v>2055</v>
      </c>
      <c r="B49" s="201">
        <f t="shared" si="11"/>
        <v>45</v>
      </c>
      <c r="C49" s="201">
        <f t="shared" si="8"/>
        <v>0</v>
      </c>
      <c r="D49" s="201">
        <f t="shared" si="12"/>
        <v>509.95000000000027</v>
      </c>
      <c r="E49" s="201">
        <f t="shared" si="13"/>
        <v>503.3326060194301</v>
      </c>
      <c r="F49" s="201">
        <f t="shared" si="14"/>
        <v>143.94105202452118</v>
      </c>
      <c r="G49" s="201">
        <f t="shared" si="15"/>
        <v>6.2684415086805401E-7</v>
      </c>
      <c r="H49" s="201">
        <f t="shared" si="9"/>
        <v>1157.2236586707959</v>
      </c>
      <c r="K49" s="174"/>
      <c r="L49" s="174"/>
    </row>
    <row r="50" spans="1:12">
      <c r="A50" s="200">
        <f t="shared" si="10"/>
        <v>2056</v>
      </c>
      <c r="B50" s="201">
        <f t="shared" si="11"/>
        <v>46</v>
      </c>
      <c r="C50" s="201">
        <f t="shared" si="8"/>
        <v>0</v>
      </c>
      <c r="D50" s="201">
        <f t="shared" si="12"/>
        <v>509.95000000000027</v>
      </c>
      <c r="E50" s="201">
        <f t="shared" si="13"/>
        <v>500.42988856276696</v>
      </c>
      <c r="F50" s="201">
        <f t="shared" si="14"/>
        <v>136.37098507534995</v>
      </c>
      <c r="G50" s="201">
        <f t="shared" si="15"/>
        <v>2.6975863806852918E-7</v>
      </c>
      <c r="H50" s="201">
        <f t="shared" si="9"/>
        <v>1146.750873907876</v>
      </c>
      <c r="K50" s="174"/>
      <c r="L50" s="174"/>
    </row>
    <row r="51" spans="1:12">
      <c r="A51" s="200">
        <f t="shared" si="10"/>
        <v>2057</v>
      </c>
      <c r="B51" s="201">
        <f t="shared" si="11"/>
        <v>47</v>
      </c>
      <c r="C51" s="201">
        <f t="shared" si="8"/>
        <v>0</v>
      </c>
      <c r="D51" s="201">
        <f t="shared" si="12"/>
        <v>509.95000000000027</v>
      </c>
      <c r="E51" s="201">
        <f t="shared" si="13"/>
        <v>497.54391106797488</v>
      </c>
      <c r="F51" s="201">
        <f t="shared" si="14"/>
        <v>129.19903883468356</v>
      </c>
      <c r="G51" s="201">
        <f t="shared" si="15"/>
        <v>1.1608901943460137E-7</v>
      </c>
      <c r="H51" s="201">
        <f t="shared" si="9"/>
        <v>1136.6929500187478</v>
      </c>
      <c r="K51" s="174"/>
      <c r="L51" s="174"/>
    </row>
    <row r="52" spans="1:12">
      <c r="A52" s="200">
        <f t="shared" si="10"/>
        <v>2058</v>
      </c>
      <c r="B52" s="201">
        <f t="shared" si="11"/>
        <v>48</v>
      </c>
      <c r="C52" s="201">
        <f t="shared" si="8"/>
        <v>0</v>
      </c>
      <c r="D52" s="201">
        <f t="shared" si="12"/>
        <v>509.95000000000027</v>
      </c>
      <c r="E52" s="201">
        <f t="shared" si="13"/>
        <v>494.67457699574965</v>
      </c>
      <c r="F52" s="201">
        <f t="shared" si="14"/>
        <v>122.40427556186468</v>
      </c>
      <c r="G52" s="201">
        <f t="shared" si="15"/>
        <v>4.9958216462612999E-8</v>
      </c>
      <c r="H52" s="201">
        <f t="shared" si="9"/>
        <v>1127.0288526075731</v>
      </c>
      <c r="K52" s="174"/>
      <c r="L52" s="174"/>
    </row>
    <row r="53" spans="1:12">
      <c r="A53" s="200">
        <f t="shared" si="10"/>
        <v>2059</v>
      </c>
      <c r="B53" s="201">
        <f t="shared" si="11"/>
        <v>49</v>
      </c>
      <c r="C53" s="201">
        <f t="shared" si="8"/>
        <v>0</v>
      </c>
      <c r="D53" s="201">
        <f t="shared" si="12"/>
        <v>509.95000000000027</v>
      </c>
      <c r="E53" s="201">
        <f t="shared" si="13"/>
        <v>491.82179036352898</v>
      </c>
      <c r="F53" s="201">
        <f t="shared" si="14"/>
        <v>115.96685866213085</v>
      </c>
      <c r="G53" s="201">
        <f t="shared" si="15"/>
        <v>2.1499220204296029E-8</v>
      </c>
      <c r="H53" s="201">
        <f t="shared" si="9"/>
        <v>1117.7386490471595</v>
      </c>
      <c r="K53" s="174"/>
      <c r="L53" s="174"/>
    </row>
    <row r="54" spans="1:12">
      <c r="A54" s="200">
        <f t="shared" si="10"/>
        <v>2060</v>
      </c>
      <c r="B54" s="201">
        <f t="shared" si="11"/>
        <v>50</v>
      </c>
      <c r="C54" s="201">
        <f t="shared" si="8"/>
        <v>0</v>
      </c>
      <c r="D54" s="201">
        <f t="shared" si="12"/>
        <v>509.95000000000027</v>
      </c>
      <c r="E54" s="201">
        <f t="shared" si="13"/>
        <v>488.98545574228166</v>
      </c>
      <c r="F54" s="201">
        <f t="shared" si="14"/>
        <v>109.86799477576814</v>
      </c>
      <c r="G54" s="201">
        <f t="shared" si="15"/>
        <v>9.2520610646442396E-9</v>
      </c>
      <c r="H54" s="201">
        <f t="shared" si="9"/>
        <v>1108.8034505273022</v>
      </c>
      <c r="K54" s="174"/>
      <c r="L54" s="174"/>
    </row>
    <row r="55" spans="1:12">
      <c r="A55" s="200">
        <f t="shared" si="10"/>
        <v>2061</v>
      </c>
      <c r="B55" s="201">
        <f t="shared" si="11"/>
        <v>51</v>
      </c>
      <c r="C55" s="201">
        <f t="shared" si="8"/>
        <v>0</v>
      </c>
      <c r="D55" s="201">
        <f t="shared" si="12"/>
        <v>509.95000000000027</v>
      </c>
      <c r="E55" s="201">
        <f t="shared" si="13"/>
        <v>486.16547825331543</v>
      </c>
      <c r="F55" s="201">
        <f t="shared" si="14"/>
        <v>104.08987891287953</v>
      </c>
      <c r="G55" s="201">
        <f t="shared" si="15"/>
        <v>3.9815692443952439E-9</v>
      </c>
      <c r="H55" s="201">
        <f t="shared" si="9"/>
        <v>1100.2053571701767</v>
      </c>
    </row>
    <row r="56" spans="1:12">
      <c r="A56" s="200">
        <f t="shared" si="10"/>
        <v>2062</v>
      </c>
      <c r="B56" s="201">
        <f t="shared" si="11"/>
        <v>52</v>
      </c>
      <c r="C56" s="201">
        <f t="shared" si="8"/>
        <v>0</v>
      </c>
      <c r="D56" s="201">
        <f t="shared" si="12"/>
        <v>509.95000000000027</v>
      </c>
      <c r="E56" s="201">
        <f t="shared" si="13"/>
        <v>483.36176356510305</v>
      </c>
      <c r="F56" s="201">
        <f t="shared" si="14"/>
        <v>98.615642473594718</v>
      </c>
      <c r="G56" s="201">
        <f t="shared" si="15"/>
        <v>1.7134445543700796E-9</v>
      </c>
      <c r="H56" s="201">
        <f t="shared" si="9"/>
        <v>1091.9274060404116</v>
      </c>
    </row>
    <row r="57" spans="1:12">
      <c r="A57" s="200">
        <f t="shared" si="10"/>
        <v>2063</v>
      </c>
      <c r="B57" s="201">
        <f t="shared" si="11"/>
        <v>53</v>
      </c>
      <c r="C57" s="201">
        <f t="shared" si="8"/>
        <v>0</v>
      </c>
      <c r="D57" s="201">
        <f t="shared" si="12"/>
        <v>509.95000000000027</v>
      </c>
      <c r="E57" s="201">
        <f t="shared" si="13"/>
        <v>480.57421789012699</v>
      </c>
      <c r="F57" s="201">
        <f t="shared" si="14"/>
        <v>93.429304001971829</v>
      </c>
      <c r="G57" s="201">
        <f t="shared" si="15"/>
        <v>7.3737063471475808E-10</v>
      </c>
      <c r="H57" s="201">
        <f t="shared" si="9"/>
        <v>1083.9535218928365</v>
      </c>
    </row>
    <row r="58" spans="1:12">
      <c r="A58" s="200">
        <f t="shared" si="10"/>
        <v>2064</v>
      </c>
      <c r="B58" s="201">
        <f t="shared" si="11"/>
        <v>54</v>
      </c>
      <c r="C58" s="201">
        <f t="shared" si="8"/>
        <v>0</v>
      </c>
      <c r="D58" s="201">
        <f t="shared" si="12"/>
        <v>509.95000000000027</v>
      </c>
      <c r="E58" s="201">
        <f t="shared" si="13"/>
        <v>477.8027479817419</v>
      </c>
      <c r="F58" s="201">
        <f t="shared" si="14"/>
        <v>88.515722529822298</v>
      </c>
      <c r="G58" s="201">
        <f t="shared" si="15"/>
        <v>3.1732305054920991E-10</v>
      </c>
      <c r="H58" s="201">
        <f t="shared" si="9"/>
        <v>1076.268470511882</v>
      </c>
    </row>
    <row r="59" spans="1:12">
      <c r="A59" s="200">
        <f t="shared" si="10"/>
        <v>2065</v>
      </c>
      <c r="B59" s="201">
        <f t="shared" si="11"/>
        <v>55</v>
      </c>
      <c r="C59" s="201">
        <f t="shared" si="8"/>
        <v>0</v>
      </c>
      <c r="D59" s="201">
        <f t="shared" si="12"/>
        <v>509.95000000000027</v>
      </c>
      <c r="E59" s="201">
        <f t="shared" si="13"/>
        <v>475.04726113105556</v>
      </c>
      <c r="F59" s="201">
        <f t="shared" si="14"/>
        <v>83.860553374251111</v>
      </c>
      <c r="G59" s="201">
        <f t="shared" si="15"/>
        <v>1.3655808038627483E-10</v>
      </c>
      <c r="H59" s="201">
        <f t="shared" si="9"/>
        <v>1068.8578145054437</v>
      </c>
    </row>
    <row r="60" spans="1:12">
      <c r="A60" s="200">
        <f t="shared" si="10"/>
        <v>2066</v>
      </c>
      <c r="B60" s="201">
        <f t="shared" si="11"/>
        <v>56</v>
      </c>
      <c r="C60" s="201">
        <f t="shared" si="8"/>
        <v>0</v>
      </c>
      <c r="D60" s="201">
        <f t="shared" si="12"/>
        <v>509.95000000000027</v>
      </c>
      <c r="E60" s="201">
        <f t="shared" si="13"/>
        <v>472.30766516382766</v>
      </c>
      <c r="F60" s="201">
        <f t="shared" si="14"/>
        <v>79.450206259867912</v>
      </c>
      <c r="G60" s="201">
        <f t="shared" si="15"/>
        <v>5.8766954642938494E-11</v>
      </c>
      <c r="H60" s="201">
        <f t="shared" si="9"/>
        <v>1061.7078714237546</v>
      </c>
    </row>
    <row r="61" spans="1:12">
      <c r="A61" s="200">
        <f t="shared" si="10"/>
        <v>2067</v>
      </c>
      <c r="B61" s="201">
        <f t="shared" si="11"/>
        <v>57</v>
      </c>
      <c r="C61" s="201">
        <f t="shared" si="8"/>
        <v>0</v>
      </c>
      <c r="D61" s="201">
        <f t="shared" si="12"/>
        <v>509.95000000000027</v>
      </c>
      <c r="E61" s="201">
        <f t="shared" si="13"/>
        <v>469.58386843738646</v>
      </c>
      <c r="F61" s="201">
        <f t="shared" si="14"/>
        <v>75.271805643411369</v>
      </c>
      <c r="G61" s="201">
        <f t="shared" si="15"/>
        <v>2.5290008092060878E-11</v>
      </c>
      <c r="H61" s="201">
        <f t="shared" si="9"/>
        <v>1054.8056740808233</v>
      </c>
    </row>
    <row r="62" spans="1:12">
      <c r="A62" s="200">
        <f t="shared" si="10"/>
        <v>2068</v>
      </c>
      <c r="B62" s="201">
        <f t="shared" si="11"/>
        <v>58</v>
      </c>
      <c r="C62" s="201">
        <f t="shared" si="8"/>
        <v>0</v>
      </c>
      <c r="D62" s="201">
        <f t="shared" si="12"/>
        <v>509.95000000000027</v>
      </c>
      <c r="E62" s="201">
        <f t="shared" si="13"/>
        <v>466.87577983756307</v>
      </c>
      <c r="F62" s="201">
        <f t="shared" si="14"/>
        <v>71.313153124958475</v>
      </c>
      <c r="G62" s="201">
        <f t="shared" si="15"/>
        <v>1.0883404001152506E-11</v>
      </c>
      <c r="H62" s="201">
        <f t="shared" si="9"/>
        <v>1048.1389329625326</v>
      </c>
    </row>
    <row r="63" spans="1:12">
      <c r="A63" s="200">
        <f t="shared" si="10"/>
        <v>2069</v>
      </c>
      <c r="B63" s="201">
        <f t="shared" si="11"/>
        <v>59</v>
      </c>
      <c r="C63" s="201">
        <f t="shared" si="8"/>
        <v>0</v>
      </c>
      <c r="D63" s="201">
        <f t="shared" si="12"/>
        <v>509.95000000000027</v>
      </c>
      <c r="E63" s="201">
        <f t="shared" si="13"/>
        <v>464.18330877564387</v>
      </c>
      <c r="F63" s="201">
        <f t="shared" si="14"/>
        <v>67.562691835982562</v>
      </c>
      <c r="G63" s="201">
        <f t="shared" si="15"/>
        <v>4.6836079380095619E-12</v>
      </c>
      <c r="H63" s="201">
        <f t="shared" si="9"/>
        <v>1041.6960006116315</v>
      </c>
    </row>
    <row r="64" spans="1:12">
      <c r="A64" s="200">
        <f t="shared" si="10"/>
        <v>2070</v>
      </c>
      <c r="B64" s="201">
        <f t="shared" si="11"/>
        <v>60</v>
      </c>
      <c r="C64" s="201">
        <f t="shared" si="8"/>
        <v>0</v>
      </c>
      <c r="D64" s="201">
        <f t="shared" si="12"/>
        <v>509.95000000000027</v>
      </c>
      <c r="E64" s="201">
        <f t="shared" si="13"/>
        <v>461.50636518533986</v>
      </c>
      <c r="F64" s="201">
        <f t="shared" si="14"/>
        <v>64.00947270029441</v>
      </c>
      <c r="G64" s="201">
        <f t="shared" si="15"/>
        <v>2.0155627149982885E-12</v>
      </c>
      <c r="H64" s="201">
        <f t="shared" si="9"/>
        <v>1035.4658378856366</v>
      </c>
    </row>
    <row r="65" spans="1:8">
      <c r="A65" s="200">
        <f t="shared" si="10"/>
        <v>2071</v>
      </c>
      <c r="B65" s="201">
        <f t="shared" si="11"/>
        <v>61</v>
      </c>
      <c r="C65" s="201">
        <f t="shared" si="8"/>
        <v>0</v>
      </c>
      <c r="D65" s="201">
        <f t="shared" si="12"/>
        <v>509.95000000000027</v>
      </c>
      <c r="E65" s="201">
        <f t="shared" si="13"/>
        <v>458.84485951977422</v>
      </c>
      <c r="F65" s="201">
        <f t="shared" si="14"/>
        <v>60.643122469369111</v>
      </c>
      <c r="G65" s="201">
        <f t="shared" si="15"/>
        <v>8.6738538149667336E-13</v>
      </c>
      <c r="H65" s="201">
        <f t="shared" si="9"/>
        <v>1029.4379819891444</v>
      </c>
    </row>
    <row r="66" spans="1:8">
      <c r="A66" s="200">
        <f t="shared" si="10"/>
        <v>2072</v>
      </c>
      <c r="B66" s="201">
        <f t="shared" si="11"/>
        <v>62</v>
      </c>
      <c r="C66" s="201">
        <f t="shared" si="8"/>
        <v>0</v>
      </c>
      <c r="D66" s="201">
        <f t="shared" si="12"/>
        <v>509.95000000000027</v>
      </c>
      <c r="E66" s="201">
        <f t="shared" si="13"/>
        <v>456.19870274848654</v>
      </c>
      <c r="F66" s="201">
        <f t="shared" si="14"/>
        <v>57.453813438741008</v>
      </c>
      <c r="G66" s="201">
        <f t="shared" si="15"/>
        <v>3.7327412063919256E-13</v>
      </c>
      <c r="H66" s="201">
        <f t="shared" si="9"/>
        <v>1023.6025161872282</v>
      </c>
    </row>
    <row r="67" spans="1:8">
      <c r="A67" s="200">
        <f t="shared" si="10"/>
        <v>2073</v>
      </c>
      <c r="B67" s="201">
        <f t="shared" si="11"/>
        <v>63</v>
      </c>
      <c r="C67" s="201">
        <f t="shared" si="8"/>
        <v>0</v>
      </c>
      <c r="D67" s="201">
        <f t="shared" si="12"/>
        <v>509.95000000000027</v>
      </c>
      <c r="E67" s="201">
        <f t="shared" si="13"/>
        <v>453.56780635445483</v>
      </c>
      <c r="F67" s="201">
        <f t="shared" si="14"/>
        <v>54.432234757056989</v>
      </c>
      <c r="G67" s="201">
        <f t="shared" si="15"/>
        <v>1.6063628937179276E-13</v>
      </c>
      <c r="H67" s="201">
        <f t="shared" si="9"/>
        <v>1017.9500411115123</v>
      </c>
    </row>
    <row r="68" spans="1:8">
      <c r="A68" s="200">
        <f t="shared" si="10"/>
        <v>2074</v>
      </c>
      <c r="B68" s="201">
        <f t="shared" si="11"/>
        <v>64</v>
      </c>
      <c r="C68" s="201">
        <f t="shared" ref="C68:C99" si="16">IF($B68&gt;=ProductionYears, 0, GasolineGWI)</f>
        <v>0</v>
      </c>
      <c r="D68" s="201">
        <f t="shared" si="12"/>
        <v>509.95000000000027</v>
      </c>
      <c r="E68" s="201">
        <f t="shared" si="13"/>
        <v>450.95208233113442</v>
      </c>
      <c r="F68" s="201">
        <f t="shared" si="14"/>
        <v>51.569565244027928</v>
      </c>
      <c r="G68" s="201">
        <f t="shared" si="15"/>
        <v>6.9128868133026959E-14</v>
      </c>
      <c r="H68" s="201">
        <f t="shared" ref="H68:H99" si="17">SUM(D68:G68)</f>
        <v>1012.4716475751627</v>
      </c>
    </row>
    <row r="69" spans="1:8">
      <c r="A69" s="200">
        <f t="shared" ref="A69:A105" si="18">A68+1</f>
        <v>2075</v>
      </c>
      <c r="B69" s="201">
        <f t="shared" ref="B69:B105" si="19">B68+1</f>
        <v>65</v>
      </c>
      <c r="C69" s="201">
        <f t="shared" si="16"/>
        <v>0</v>
      </c>
      <c r="D69" s="201">
        <f t="shared" ref="D69:D100" si="20">A_0*C69+D68</f>
        <v>509.95000000000027</v>
      </c>
      <c r="E69" s="201">
        <f t="shared" ref="E69:E105" si="21">A_1*C69 + E68*EXP(-1/T_1)</f>
        <v>448.35144317951421</v>
      </c>
      <c r="F69" s="201">
        <f t="shared" ref="F69:F105" si="22">A_2*C69 + F68*EXP(-1/T_2)</f>
        <v>48.857447637923165</v>
      </c>
      <c r="G69" s="201">
        <f t="shared" ref="G69:G105" si="23">A_3*C69 + G68*EXP(-1/T_3)</f>
        <v>2.9749195701930679E-14</v>
      </c>
      <c r="H69" s="201">
        <f t="shared" si="17"/>
        <v>1007.1588908174377</v>
      </c>
    </row>
    <row r="70" spans="1:8">
      <c r="A70" s="200">
        <f t="shared" si="18"/>
        <v>2076</v>
      </c>
      <c r="B70" s="201">
        <f t="shared" si="19"/>
        <v>66</v>
      </c>
      <c r="C70" s="201">
        <f t="shared" si="16"/>
        <v>0</v>
      </c>
      <c r="D70" s="201">
        <f t="shared" si="20"/>
        <v>509.95000000000027</v>
      </c>
      <c r="E70" s="201">
        <f t="shared" si="21"/>
        <v>445.76580190518945</v>
      </c>
      <c r="F70" s="201">
        <f t="shared" si="22"/>
        <v>46.287964197426291</v>
      </c>
      <c r="G70" s="201">
        <f t="shared" si="23"/>
        <v>1.2802388767724476E-14</v>
      </c>
      <c r="H70" s="201">
        <f t="shared" si="17"/>
        <v>1002.0037661026159</v>
      </c>
    </row>
    <row r="71" spans="1:8">
      <c r="A71" s="200">
        <f t="shared" si="18"/>
        <v>2077</v>
      </c>
      <c r="B71" s="201">
        <f t="shared" si="19"/>
        <v>67</v>
      </c>
      <c r="C71" s="201">
        <f t="shared" si="16"/>
        <v>0</v>
      </c>
      <c r="D71" s="201">
        <f t="shared" si="20"/>
        <v>509.95000000000027</v>
      </c>
      <c r="E71" s="201">
        <f t="shared" si="21"/>
        <v>443.1950720154519</v>
      </c>
      <c r="F71" s="201">
        <f t="shared" si="22"/>
        <v>43.853613586624412</v>
      </c>
      <c r="G71" s="201">
        <f t="shared" si="23"/>
        <v>5.5094315759710063E-15</v>
      </c>
      <c r="H71" s="201">
        <f t="shared" si="17"/>
        <v>996.99868560207653</v>
      </c>
    </row>
    <row r="72" spans="1:8">
      <c r="A72" s="200">
        <f t="shared" si="18"/>
        <v>2078</v>
      </c>
      <c r="B72" s="201">
        <f t="shared" si="19"/>
        <v>68</v>
      </c>
      <c r="C72" s="201">
        <f t="shared" si="16"/>
        <v>0</v>
      </c>
      <c r="D72" s="201">
        <f t="shared" si="20"/>
        <v>509.95000000000027</v>
      </c>
      <c r="E72" s="201">
        <f t="shared" si="21"/>
        <v>440.63916751639653</v>
      </c>
      <c r="F72" s="201">
        <f t="shared" si="22"/>
        <v>41.547288975649096</v>
      </c>
      <c r="G72" s="201">
        <f t="shared" si="23"/>
        <v>2.3709509874305686E-15</v>
      </c>
      <c r="H72" s="201">
        <f t="shared" si="17"/>
        <v>992.13645649204591</v>
      </c>
    </row>
    <row r="73" spans="1:8">
      <c r="A73" s="200">
        <f t="shared" si="18"/>
        <v>2079</v>
      </c>
      <c r="B73" s="201">
        <f t="shared" si="19"/>
        <v>69</v>
      </c>
      <c r="C73" s="201">
        <f t="shared" si="16"/>
        <v>0</v>
      </c>
      <c r="D73" s="201">
        <f t="shared" si="20"/>
        <v>509.95000000000027</v>
      </c>
      <c r="E73" s="201">
        <f t="shared" si="21"/>
        <v>438.09800291004478</v>
      </c>
      <c r="F73" s="201">
        <f t="shared" si="22"/>
        <v>39.36225729303608</v>
      </c>
      <c r="G73" s="201">
        <f t="shared" si="23"/>
        <v>1.020324602871077E-15</v>
      </c>
      <c r="H73" s="201">
        <f t="shared" si="17"/>
        <v>987.41026020308118</v>
      </c>
    </row>
    <row r="74" spans="1:8">
      <c r="A74" s="200">
        <f t="shared" si="18"/>
        <v>2080</v>
      </c>
      <c r="B74" s="201">
        <f t="shared" si="19"/>
        <v>70</v>
      </c>
      <c r="C74" s="201">
        <f t="shared" si="16"/>
        <v>0</v>
      </c>
      <c r="D74" s="201">
        <f t="shared" si="20"/>
        <v>509.95000000000027</v>
      </c>
      <c r="E74" s="201">
        <f t="shared" si="21"/>
        <v>435.57149319148476</v>
      </c>
      <c r="F74" s="201">
        <f t="shared" si="22"/>
        <v>37.29213956923325</v>
      </c>
      <c r="G74" s="201">
        <f t="shared" si="23"/>
        <v>4.3909060151101395E-16</v>
      </c>
      <c r="H74" s="201">
        <f t="shared" si="17"/>
        <v>982.81363276071818</v>
      </c>
    </row>
    <row r="75" spans="1:8">
      <c r="A75" s="200">
        <f t="shared" si="18"/>
        <v>2081</v>
      </c>
      <c r="B75" s="201">
        <f t="shared" si="19"/>
        <v>71</v>
      </c>
      <c r="C75" s="201">
        <f t="shared" si="16"/>
        <v>0</v>
      </c>
      <c r="D75" s="201">
        <f t="shared" si="20"/>
        <v>509.95000000000027</v>
      </c>
      <c r="E75" s="201">
        <f t="shared" si="21"/>
        <v>433.05955384602748</v>
      </c>
      <c r="F75" s="201">
        <f t="shared" si="22"/>
        <v>35.330892313871786</v>
      </c>
      <c r="G75" s="201">
        <f t="shared" si="23"/>
        <v>1.8896001899080479E-16</v>
      </c>
      <c r="H75" s="201">
        <f t="shared" si="17"/>
        <v>978.34044615989956</v>
      </c>
    </row>
    <row r="76" spans="1:8">
      <c r="A76" s="200">
        <f t="shared" si="18"/>
        <v>2082</v>
      </c>
      <c r="B76" s="201">
        <f t="shared" si="19"/>
        <v>72</v>
      </c>
      <c r="C76" s="201">
        <f t="shared" si="16"/>
        <v>0</v>
      </c>
      <c r="D76" s="201">
        <f t="shared" si="20"/>
        <v>509.95000000000027</v>
      </c>
      <c r="E76" s="201">
        <f t="shared" si="21"/>
        <v>430.56210084638002</v>
      </c>
      <c r="F76" s="201">
        <f t="shared" si="22"/>
        <v>33.472789872433424</v>
      </c>
      <c r="G76" s="201">
        <f t="shared" si="23"/>
        <v>8.1317816081995264E-17</v>
      </c>
      <c r="H76" s="201">
        <f t="shared" si="17"/>
        <v>973.98489071881363</v>
      </c>
    </row>
    <row r="77" spans="1:8">
      <c r="A77" s="200">
        <f t="shared" si="18"/>
        <v>2083</v>
      </c>
      <c r="B77" s="201">
        <f t="shared" si="19"/>
        <v>73</v>
      </c>
      <c r="C77" s="201">
        <f t="shared" si="16"/>
        <v>0</v>
      </c>
      <c r="D77" s="201">
        <f t="shared" si="20"/>
        <v>509.95000000000027</v>
      </c>
      <c r="E77" s="201">
        <f t="shared" si="21"/>
        <v>428.07905064983447</v>
      </c>
      <c r="F77" s="201">
        <f t="shared" si="22"/>
        <v>31.712407710805934</v>
      </c>
      <c r="G77" s="201">
        <f t="shared" si="23"/>
        <v>3.4994636683789657E-17</v>
      </c>
      <c r="H77" s="201">
        <f t="shared" si="17"/>
        <v>969.74145836064065</v>
      </c>
    </row>
    <row r="78" spans="1:8">
      <c r="A78" s="200">
        <f t="shared" si="18"/>
        <v>2084</v>
      </c>
      <c r="B78" s="201">
        <f t="shared" si="19"/>
        <v>74</v>
      </c>
      <c r="C78" s="201">
        <f t="shared" si="16"/>
        <v>0</v>
      </c>
      <c r="D78" s="201">
        <f t="shared" si="20"/>
        <v>509.95000000000027</v>
      </c>
      <c r="E78" s="201">
        <f t="shared" si="21"/>
        <v>425.61032019547349</v>
      </c>
      <c r="F78" s="201">
        <f t="shared" si="22"/>
        <v>30.044606578927876</v>
      </c>
      <c r="G78" s="201">
        <f t="shared" si="23"/>
        <v>1.505973297900192E-17</v>
      </c>
      <c r="H78" s="201">
        <f t="shared" si="17"/>
        <v>965.60492677440163</v>
      </c>
    </row>
    <row r="79" spans="1:8">
      <c r="A79" s="200">
        <f t="shared" si="18"/>
        <v>2085</v>
      </c>
      <c r="B79" s="201">
        <f t="shared" si="19"/>
        <v>75</v>
      </c>
      <c r="C79" s="201">
        <f t="shared" si="16"/>
        <v>0</v>
      </c>
      <c r="D79" s="201">
        <f t="shared" si="20"/>
        <v>509.95000000000027</v>
      </c>
      <c r="E79" s="201">
        <f t="shared" si="21"/>
        <v>423.15582690139172</v>
      </c>
      <c r="F79" s="201">
        <f t="shared" si="22"/>
        <v>28.464517507290072</v>
      </c>
      <c r="G79" s="201">
        <f t="shared" si="23"/>
        <v>6.4808661809566694E-18</v>
      </c>
      <c r="H79" s="201">
        <f t="shared" si="17"/>
        <v>961.5703444086821</v>
      </c>
    </row>
    <row r="80" spans="1:8">
      <c r="A80" s="200">
        <f t="shared" si="18"/>
        <v>2086</v>
      </c>
      <c r="B80" s="201">
        <f t="shared" si="19"/>
        <v>76</v>
      </c>
      <c r="C80" s="201">
        <f t="shared" si="16"/>
        <v>0</v>
      </c>
      <c r="D80" s="201">
        <f t="shared" si="20"/>
        <v>509.95000000000027</v>
      </c>
      <c r="E80" s="201">
        <f t="shared" si="21"/>
        <v>420.71548866193348</v>
      </c>
      <c r="F80" s="201">
        <f t="shared" si="22"/>
        <v>26.967527592492626</v>
      </c>
      <c r="G80" s="201">
        <f t="shared" si="23"/>
        <v>2.7890020702247226E-18</v>
      </c>
      <c r="H80" s="201">
        <f t="shared" si="17"/>
        <v>957.63301625442637</v>
      </c>
    </row>
    <row r="81" spans="1:8">
      <c r="A81" s="200">
        <f t="shared" si="18"/>
        <v>2087</v>
      </c>
      <c r="B81" s="201">
        <f t="shared" si="19"/>
        <v>77</v>
      </c>
      <c r="C81" s="201">
        <f t="shared" si="16"/>
        <v>0</v>
      </c>
      <c r="D81" s="201">
        <f t="shared" si="20"/>
        <v>509.95000000000027</v>
      </c>
      <c r="E81" s="201">
        <f t="shared" si="21"/>
        <v>418.28922384494604</v>
      </c>
      <c r="F81" s="201">
        <f t="shared" si="22"/>
        <v>25.549266530359954</v>
      </c>
      <c r="G81" s="201">
        <f t="shared" si="23"/>
        <v>1.2002303905879392E-18</v>
      </c>
      <c r="H81" s="201">
        <f t="shared" si="17"/>
        <v>953.78849037530631</v>
      </c>
    </row>
    <row r="82" spans="1:8">
      <c r="A82" s="200">
        <f t="shared" si="18"/>
        <v>2088</v>
      </c>
      <c r="B82" s="201">
        <f t="shared" si="19"/>
        <v>78</v>
      </c>
      <c r="C82" s="201">
        <f t="shared" si="16"/>
        <v>0</v>
      </c>
      <c r="D82" s="201">
        <f t="shared" si="20"/>
        <v>509.95000000000027</v>
      </c>
      <c r="E82" s="201">
        <f t="shared" si="21"/>
        <v>415.87695128904903</v>
      </c>
      <c r="F82" s="201">
        <f t="shared" si="22"/>
        <v>24.205593857298648</v>
      </c>
      <c r="G82" s="201">
        <f t="shared" si="23"/>
        <v>5.1651198321799923E-19</v>
      </c>
      <c r="H82" s="201">
        <f t="shared" si="17"/>
        <v>950.03254514634784</v>
      </c>
    </row>
    <row r="83" spans="1:8">
      <c r="A83" s="200">
        <f t="shared" si="18"/>
        <v>2089</v>
      </c>
      <c r="B83" s="201">
        <f t="shared" si="19"/>
        <v>79</v>
      </c>
      <c r="C83" s="201">
        <f t="shared" si="16"/>
        <v>0</v>
      </c>
      <c r="D83" s="201">
        <f t="shared" si="20"/>
        <v>509.95000000000027</v>
      </c>
      <c r="E83" s="201">
        <f t="shared" si="21"/>
        <v>413.47859030091951</v>
      </c>
      <c r="F83" s="201">
        <f t="shared" si="22"/>
        <v>22.932586862650705</v>
      </c>
      <c r="G83" s="201">
        <f t="shared" si="23"/>
        <v>2.2227784840300943E-19</v>
      </c>
      <c r="H83" s="201">
        <f t="shared" si="17"/>
        <v>946.36117716357046</v>
      </c>
    </row>
    <row r="84" spans="1:8">
      <c r="A84" s="200">
        <f t="shared" si="18"/>
        <v>2090</v>
      </c>
      <c r="B84" s="201">
        <f t="shared" si="19"/>
        <v>80</v>
      </c>
      <c r="C84" s="201">
        <f t="shared" si="16"/>
        <v>0</v>
      </c>
      <c r="D84" s="201">
        <f t="shared" si="20"/>
        <v>509.95000000000027</v>
      </c>
      <c r="E84" s="201">
        <f t="shared" si="21"/>
        <v>411.09406065259265</v>
      </c>
      <c r="F84" s="201">
        <f t="shared" si="22"/>
        <v>21.726529136753463</v>
      </c>
      <c r="G84" s="201">
        <f t="shared" si="23"/>
        <v>9.5655945062204515E-20</v>
      </c>
      <c r="H84" s="201">
        <f t="shared" si="17"/>
        <v>942.77058978934633</v>
      </c>
    </row>
    <row r="85" spans="1:8">
      <c r="A85" s="200">
        <f t="shared" si="18"/>
        <v>2091</v>
      </c>
      <c r="B85" s="201">
        <f t="shared" si="19"/>
        <v>81</v>
      </c>
      <c r="C85" s="201">
        <f t="shared" si="16"/>
        <v>0</v>
      </c>
      <c r="D85" s="201">
        <f t="shared" si="20"/>
        <v>509.95000000000027</v>
      </c>
      <c r="E85" s="201">
        <f t="shared" si="21"/>
        <v>408.72328257877808</v>
      </c>
      <c r="F85" s="201">
        <f t="shared" si="22"/>
        <v>20.583899721273543</v>
      </c>
      <c r="G85" s="201">
        <f t="shared" si="23"/>
        <v>4.1164964891839424E-20</v>
      </c>
      <c r="H85" s="201">
        <f t="shared" si="17"/>
        <v>939.2571823000518</v>
      </c>
    </row>
    <row r="86" spans="1:8">
      <c r="A86" s="200">
        <f t="shared" si="18"/>
        <v>2092</v>
      </c>
      <c r="B86" s="201">
        <f t="shared" si="19"/>
        <v>82</v>
      </c>
      <c r="C86" s="201">
        <f t="shared" si="16"/>
        <v>0</v>
      </c>
      <c r="D86" s="201">
        <f t="shared" si="20"/>
        <v>509.95000000000027</v>
      </c>
      <c r="E86" s="201">
        <f t="shared" si="21"/>
        <v>406.3661767741915</v>
      </c>
      <c r="F86" s="201">
        <f t="shared" si="22"/>
        <v>19.501362830140341</v>
      </c>
      <c r="G86" s="201">
        <f t="shared" si="23"/>
        <v>1.7715096886496845E-20</v>
      </c>
      <c r="H86" s="201">
        <f t="shared" si="17"/>
        <v>935.81753960433207</v>
      </c>
    </row>
    <row r="87" spans="1:8">
      <c r="A87" s="200">
        <f t="shared" si="18"/>
        <v>2093</v>
      </c>
      <c r="B87" s="201">
        <f t="shared" si="19"/>
        <v>83</v>
      </c>
      <c r="C87" s="201">
        <f t="shared" si="16"/>
        <v>0</v>
      </c>
      <c r="D87" s="201">
        <f t="shared" si="20"/>
        <v>509.95000000000027</v>
      </c>
      <c r="E87" s="201">
        <f t="shared" si="21"/>
        <v>404.02266439090204</v>
      </c>
      <c r="F87" s="201">
        <f t="shared" si="22"/>
        <v>18.475758111070395</v>
      </c>
      <c r="G87" s="201">
        <f t="shared" si="23"/>
        <v>7.6235861860332367E-21</v>
      </c>
      <c r="H87" s="201">
        <f t="shared" si="17"/>
        <v>932.44842250197269</v>
      </c>
    </row>
    <row r="88" spans="1:8">
      <c r="A88" s="200">
        <f t="shared" si="18"/>
        <v>2094</v>
      </c>
      <c r="B88" s="201">
        <f t="shared" si="19"/>
        <v>84</v>
      </c>
      <c r="C88" s="201">
        <f t="shared" si="16"/>
        <v>0</v>
      </c>
      <c r="D88" s="201">
        <f t="shared" si="20"/>
        <v>509.95000000000027</v>
      </c>
      <c r="E88" s="201">
        <f t="shared" si="21"/>
        <v>401.69266703569446</v>
      </c>
      <c r="F88" s="201">
        <f t="shared" si="22"/>
        <v>17.504091419252205</v>
      </c>
      <c r="G88" s="201">
        <f t="shared" si="23"/>
        <v>3.2807648023747172E-21</v>
      </c>
      <c r="H88" s="201">
        <f t="shared" si="17"/>
        <v>929.14675845494696</v>
      </c>
    </row>
    <row r="89" spans="1:8">
      <c r="A89" s="200">
        <f t="shared" si="18"/>
        <v>2095</v>
      </c>
      <c r="B89" s="201">
        <f t="shared" si="19"/>
        <v>85</v>
      </c>
      <c r="C89" s="201">
        <f t="shared" si="16"/>
        <v>0</v>
      </c>
      <c r="D89" s="201">
        <f t="shared" si="20"/>
        <v>509.95000000000027</v>
      </c>
      <c r="E89" s="201">
        <f t="shared" si="21"/>
        <v>399.37610676744697</v>
      </c>
      <c r="F89" s="201">
        <f t="shared" si="22"/>
        <v>16.583526076256245</v>
      </c>
      <c r="G89" s="201">
        <f t="shared" si="23"/>
        <v>1.411857546546781E-21</v>
      </c>
      <c r="H89" s="201">
        <f t="shared" si="17"/>
        <v>925.90963284370355</v>
      </c>
    </row>
    <row r="90" spans="1:8">
      <c r="A90" s="200">
        <f t="shared" si="18"/>
        <v>2096</v>
      </c>
      <c r="B90" s="201">
        <f t="shared" si="19"/>
        <v>86</v>
      </c>
      <c r="C90" s="201">
        <f t="shared" si="16"/>
        <v>0</v>
      </c>
      <c r="D90" s="201">
        <f t="shared" si="20"/>
        <v>509.95000000000027</v>
      </c>
      <c r="E90" s="201">
        <f t="shared" si="21"/>
        <v>397.072906094524</v>
      </c>
      <c r="F90" s="201">
        <f t="shared" si="22"/>
        <v>15.71137458865144</v>
      </c>
      <c r="G90" s="201">
        <f t="shared" si="23"/>
        <v>6.0758446637145538E-22</v>
      </c>
      <c r="H90" s="201">
        <f t="shared" si="17"/>
        <v>922.73428068317571</v>
      </c>
    </row>
    <row r="91" spans="1:8">
      <c r="A91" s="200">
        <f t="shared" si="18"/>
        <v>2097</v>
      </c>
      <c r="B91" s="201">
        <f t="shared" si="19"/>
        <v>87</v>
      </c>
      <c r="C91" s="201">
        <f t="shared" si="16"/>
        <v>0</v>
      </c>
      <c r="D91" s="201">
        <f t="shared" si="20"/>
        <v>509.95000000000027</v>
      </c>
      <c r="E91" s="201">
        <f t="shared" si="21"/>
        <v>394.78298797218395</v>
      </c>
      <c r="F91" s="201">
        <f t="shared" si="22"/>
        <v>14.88509080215155</v>
      </c>
      <c r="G91" s="201">
        <f t="shared" si="23"/>
        <v>2.6147034782567161E-22</v>
      </c>
      <c r="H91" s="201">
        <f t="shared" si="17"/>
        <v>919.6180787743358</v>
      </c>
    </row>
    <row r="92" spans="1:8">
      <c r="A92" s="200">
        <f t="shared" si="18"/>
        <v>2098</v>
      </c>
      <c r="B92" s="201">
        <f t="shared" si="19"/>
        <v>88</v>
      </c>
      <c r="C92" s="201">
        <f t="shared" si="16"/>
        <v>0</v>
      </c>
      <c r="D92" s="201">
        <f t="shared" si="20"/>
        <v>509.95000000000027</v>
      </c>
      <c r="E92" s="201">
        <f t="shared" si="21"/>
        <v>392.50627580000202</v>
      </c>
      <c r="F92" s="201">
        <f t="shared" si="22"/>
        <v>14.102262468386252</v>
      </c>
      <c r="G92" s="201">
        <f t="shared" si="23"/>
        <v>1.1252220320965336E-22</v>
      </c>
      <c r="H92" s="201">
        <f t="shared" si="17"/>
        <v>916.55853826838847</v>
      </c>
    </row>
    <row r="93" spans="1:8">
      <c r="A93" s="200">
        <f t="shared" si="18"/>
        <v>2099</v>
      </c>
      <c r="B93" s="201">
        <f t="shared" si="19"/>
        <v>89</v>
      </c>
      <c r="C93" s="201">
        <f t="shared" si="16"/>
        <v>0</v>
      </c>
      <c r="D93" s="201">
        <f t="shared" si="20"/>
        <v>509.95000000000027</v>
      </c>
      <c r="E93" s="201">
        <f t="shared" si="21"/>
        <v>390.24269341930778</v>
      </c>
      <c r="F93" s="201">
        <f t="shared" si="22"/>
        <v>13.360604202596432</v>
      </c>
      <c r="G93" s="201">
        <f t="shared" si="23"/>
        <v>4.8423258394087858E-23</v>
      </c>
      <c r="H93" s="201">
        <f t="shared" si="17"/>
        <v>913.55329762190445</v>
      </c>
    </row>
    <row r="94" spans="1:8">
      <c r="A94" s="200">
        <f t="shared" si="18"/>
        <v>2100</v>
      </c>
      <c r="B94" s="201">
        <f t="shared" si="19"/>
        <v>90</v>
      </c>
      <c r="C94" s="201">
        <f t="shared" si="16"/>
        <v>0</v>
      </c>
      <c r="D94" s="201">
        <f t="shared" si="20"/>
        <v>509.95000000000027</v>
      </c>
      <c r="E94" s="201">
        <f t="shared" si="21"/>
        <v>387.99216511063759</v>
      </c>
      <c r="F94" s="201">
        <f t="shared" si="22"/>
        <v>12.657950811694414</v>
      </c>
      <c r="G94" s="201">
        <f t="shared" si="23"/>
        <v>2.0838660163200903E-23</v>
      </c>
      <c r="H94" s="201">
        <f t="shared" si="17"/>
        <v>910.60011592233229</v>
      </c>
    </row>
    <row r="95" spans="1:8">
      <c r="A95" s="200">
        <f t="shared" si="18"/>
        <v>2101</v>
      </c>
      <c r="B95" s="201">
        <f t="shared" si="19"/>
        <v>91</v>
      </c>
      <c r="C95" s="201">
        <f t="shared" si="16"/>
        <v>0</v>
      </c>
      <c r="D95" s="201">
        <f t="shared" si="20"/>
        <v>509.95000000000027</v>
      </c>
      <c r="E95" s="201">
        <f t="shared" si="21"/>
        <v>385.75461559120174</v>
      </c>
      <c r="F95" s="201">
        <f t="shared" si="22"/>
        <v>11.992250973211092</v>
      </c>
      <c r="G95" s="201">
        <f t="shared" si="23"/>
        <v>8.9677929945002454E-24</v>
      </c>
      <c r="H95" s="201">
        <f t="shared" si="17"/>
        <v>907.69686656441309</v>
      </c>
    </row>
    <row r="96" spans="1:8">
      <c r="A96" s="200">
        <f t="shared" si="18"/>
        <v>2102</v>
      </c>
      <c r="B96" s="201">
        <f t="shared" si="19"/>
        <v>92</v>
      </c>
      <c r="C96" s="201">
        <f t="shared" si="16"/>
        <v>0</v>
      </c>
      <c r="D96" s="201">
        <f t="shared" si="20"/>
        <v>509.95000000000027</v>
      </c>
      <c r="E96" s="201">
        <f t="shared" si="21"/>
        <v>383.52997001236605</v>
      </c>
      <c r="F96" s="201">
        <f t="shared" si="22"/>
        <v>11.361561246676326</v>
      </c>
      <c r="G96" s="201">
        <f t="shared" si="23"/>
        <v>3.8592361774882282E-24</v>
      </c>
      <c r="H96" s="201">
        <f t="shared" si="17"/>
        <v>904.84153125904254</v>
      </c>
    </row>
    <row r="97" spans="1:8">
      <c r="A97" s="200">
        <f t="shared" si="18"/>
        <v>2103</v>
      </c>
      <c r="B97" s="201">
        <f t="shared" si="19"/>
        <v>93</v>
      </c>
      <c r="C97" s="201">
        <f t="shared" si="16"/>
        <v>0</v>
      </c>
      <c r="D97" s="201">
        <f t="shared" si="20"/>
        <v>509.95000000000027</v>
      </c>
      <c r="E97" s="201">
        <f t="shared" si="21"/>
        <v>381.31815395714824</v>
      </c>
      <c r="F97" s="201">
        <f t="shared" si="22"/>
        <v>10.764040399949449</v>
      </c>
      <c r="G97" s="201">
        <f t="shared" si="23"/>
        <v>1.6607992493546561E-24</v>
      </c>
      <c r="H97" s="201">
        <f t="shared" si="17"/>
        <v>902.03219435709798</v>
      </c>
    </row>
    <row r="98" spans="1:8">
      <c r="A98" s="200">
        <f t="shared" si="18"/>
        <v>2104</v>
      </c>
      <c r="B98" s="201">
        <f t="shared" si="19"/>
        <v>94</v>
      </c>
      <c r="C98" s="201">
        <f t="shared" si="16"/>
        <v>0</v>
      </c>
      <c r="D98" s="201">
        <f t="shared" si="20"/>
        <v>509.95000000000027</v>
      </c>
      <c r="E98" s="201">
        <f t="shared" si="21"/>
        <v>379.11909343772851</v>
      </c>
      <c r="F98" s="201">
        <f t="shared" si="22"/>
        <v>10.19794403393623</v>
      </c>
      <c r="G98" s="201">
        <f t="shared" si="23"/>
        <v>7.1471504199366994E-25</v>
      </c>
      <c r="H98" s="201">
        <f t="shared" si="17"/>
        <v>899.26703747166493</v>
      </c>
    </row>
    <row r="99" spans="1:8">
      <c r="A99" s="200">
        <f t="shared" si="18"/>
        <v>2105</v>
      </c>
      <c r="B99" s="201">
        <f t="shared" si="19"/>
        <v>95</v>
      </c>
      <c r="C99" s="201">
        <f t="shared" si="16"/>
        <v>0</v>
      </c>
      <c r="D99" s="201">
        <f t="shared" si="20"/>
        <v>509.95000000000027</v>
      </c>
      <c r="E99" s="201">
        <f t="shared" si="21"/>
        <v>376.9327148929745</v>
      </c>
      <c r="F99" s="201">
        <f t="shared" si="22"/>
        <v>9.6616194899996799</v>
      </c>
      <c r="G99" s="201">
        <f t="shared" si="23"/>
        <v>3.0757335147550431E-25</v>
      </c>
      <c r="H99" s="201">
        <f t="shared" si="17"/>
        <v>896.5443343829744</v>
      </c>
    </row>
    <row r="100" spans="1:8">
      <c r="A100" s="200">
        <f t="shared" si="18"/>
        <v>2106</v>
      </c>
      <c r="B100" s="201">
        <f t="shared" si="19"/>
        <v>96</v>
      </c>
      <c r="C100" s="201">
        <f t="shared" ref="C100:C105" si="24">IF($B100&gt;=ProductionYears, 0, GasolineGWI)</f>
        <v>0</v>
      </c>
      <c r="D100" s="201">
        <f t="shared" si="20"/>
        <v>509.95000000000027</v>
      </c>
      <c r="E100" s="201">
        <f t="shared" si="21"/>
        <v>374.75894518598074</v>
      </c>
      <c r="F100" s="201">
        <f t="shared" si="22"/>
        <v>9.1535010251974676</v>
      </c>
      <c r="G100" s="201">
        <f t="shared" si="23"/>
        <v>1.3236235559557733E-25</v>
      </c>
      <c r="H100" s="201">
        <f t="shared" ref="H100:H105" si="25">SUM(D100:G100)</f>
        <v>893.86244621117851</v>
      </c>
    </row>
    <row r="101" spans="1:8">
      <c r="A101" s="200">
        <f t="shared" si="18"/>
        <v>2107</v>
      </c>
      <c r="B101" s="201">
        <f t="shared" si="19"/>
        <v>97</v>
      </c>
      <c r="C101" s="201">
        <f t="shared" si="24"/>
        <v>0</v>
      </c>
      <c r="D101" s="201">
        <f>A_0*C101+D100</f>
        <v>509.95000000000027</v>
      </c>
      <c r="E101" s="201">
        <f t="shared" si="21"/>
        <v>372.597711601622</v>
      </c>
      <c r="F101" s="201">
        <f t="shared" si="22"/>
        <v>8.6721052412605264</v>
      </c>
      <c r="G101" s="201">
        <f t="shared" si="23"/>
        <v>5.6961349527725153E-26</v>
      </c>
      <c r="H101" s="201">
        <f t="shared" si="25"/>
        <v>891.21981684288278</v>
      </c>
    </row>
    <row r="102" spans="1:8">
      <c r="A102" s="200">
        <f t="shared" si="18"/>
        <v>2108</v>
      </c>
      <c r="B102" s="201">
        <f t="shared" si="19"/>
        <v>98</v>
      </c>
      <c r="C102" s="201">
        <f t="shared" si="24"/>
        <v>0</v>
      </c>
      <c r="D102" s="201">
        <f>A_0*C102+D101</f>
        <v>509.95000000000027</v>
      </c>
      <c r="E102" s="201">
        <f t="shared" si="21"/>
        <v>370.4489418441209</v>
      </c>
      <c r="F102" s="201">
        <f t="shared" si="22"/>
        <v>8.2160267539682614</v>
      </c>
      <c r="G102" s="201">
        <f t="shared" si="23"/>
        <v>2.451297671018547E-26</v>
      </c>
      <c r="H102" s="201">
        <f t="shared" si="25"/>
        <v>888.61496859808938</v>
      </c>
    </row>
    <row r="103" spans="1:8">
      <c r="A103" s="200">
        <f t="shared" si="18"/>
        <v>2109</v>
      </c>
      <c r="B103" s="201">
        <f t="shared" si="19"/>
        <v>99</v>
      </c>
      <c r="C103" s="201">
        <f t="shared" si="24"/>
        <v>0</v>
      </c>
      <c r="D103" s="201">
        <f>A_0*C103+D102</f>
        <v>509.95000000000027</v>
      </c>
      <c r="E103" s="201">
        <f t="shared" si="21"/>
        <v>368.31256403462964</v>
      </c>
      <c r="F103" s="201">
        <f t="shared" si="22"/>
        <v>7.783934090277528</v>
      </c>
      <c r="G103" s="201">
        <f t="shared" si="23"/>
        <v>1.0549013184837242E-26</v>
      </c>
      <c r="H103" s="201">
        <f t="shared" si="25"/>
        <v>886.04649812490743</v>
      </c>
    </row>
    <row r="104" spans="1:8">
      <c r="A104" s="200">
        <f t="shared" si="18"/>
        <v>2110</v>
      </c>
      <c r="B104" s="201">
        <f t="shared" si="19"/>
        <v>100</v>
      </c>
      <c r="C104" s="201">
        <f t="shared" si="24"/>
        <v>0</v>
      </c>
      <c r="D104" s="201">
        <f>A_0*C104+D103</f>
        <v>509.95000000000027</v>
      </c>
      <c r="E104" s="201">
        <f t="shared" si="21"/>
        <v>366.18850670882546</v>
      </c>
      <c r="F104" s="201">
        <f t="shared" si="22"/>
        <v>7.374565801227515</v>
      </c>
      <c r="G104" s="201">
        <f t="shared" si="23"/>
        <v>4.5397048465203716E-27</v>
      </c>
      <c r="H104" s="201">
        <f t="shared" si="25"/>
        <v>883.51307251005323</v>
      </c>
    </row>
    <row r="105" spans="1:8">
      <c r="A105" s="200">
        <f t="shared" si="18"/>
        <v>2111</v>
      </c>
      <c r="B105" s="201">
        <f t="shared" si="19"/>
        <v>101</v>
      </c>
      <c r="C105" s="201">
        <f t="shared" si="24"/>
        <v>0</v>
      </c>
      <c r="D105" s="201">
        <f>A_0*C105+D104</f>
        <v>509.95000000000027</v>
      </c>
      <c r="E105" s="201">
        <f t="shared" si="21"/>
        <v>364.07669881452011</v>
      </c>
      <c r="F105" s="201">
        <f t="shared" si="22"/>
        <v>6.9867267792725372</v>
      </c>
      <c r="G105" s="201">
        <f t="shared" si="23"/>
        <v>1.9536348786769024E-27</v>
      </c>
      <c r="H105" s="201">
        <f t="shared" si="25"/>
        <v>881.01342559379293</v>
      </c>
    </row>
  </sheetData>
  <phoneticPr fontId="4"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sheetPr published="0" codeName="Sheet6"/>
  <dimension ref="A1:C31"/>
  <sheetViews>
    <sheetView workbookViewId="0"/>
  </sheetViews>
  <sheetFormatPr defaultRowHeight="12.75"/>
  <cols>
    <col min="1" max="3" width="36.7109375" customWidth="1"/>
  </cols>
  <sheetData>
    <row r="1" spans="1:3">
      <c r="A1" s="24" t="s">
        <v>59</v>
      </c>
    </row>
    <row r="3" spans="1:3">
      <c r="A3" t="s">
        <v>60</v>
      </c>
      <c r="B3" t="s">
        <v>61</v>
      </c>
      <c r="C3">
        <v>0</v>
      </c>
    </row>
    <row r="4" spans="1:3">
      <c r="A4" t="s">
        <v>62</v>
      </c>
    </row>
    <row r="5" spans="1:3">
      <c r="A5" t="s">
        <v>63</v>
      </c>
    </row>
    <row r="7" spans="1:3">
      <c r="A7" s="24" t="s">
        <v>64</v>
      </c>
      <c r="B7" t="s">
        <v>65</v>
      </c>
    </row>
    <row r="8" spans="1:3">
      <c r="B8">
        <v>3</v>
      </c>
    </row>
    <row r="10" spans="1:3">
      <c r="A10" t="s">
        <v>66</v>
      </c>
    </row>
    <row r="11" spans="1:3">
      <c r="A11" t="e">
        <f>CB_DATA_!#REF!</f>
        <v>#REF!</v>
      </c>
      <c r="B11" t="e">
        <f>Scenarios!#REF!</f>
        <v>#REF!</v>
      </c>
      <c r="C11" t="e">
        <f>#REF!</f>
        <v>#REF!</v>
      </c>
    </row>
    <row r="13" spans="1:3">
      <c r="A13" t="s">
        <v>67</v>
      </c>
    </row>
    <row r="14" spans="1:3">
      <c r="A14" t="s">
        <v>113</v>
      </c>
      <c r="B14" s="25" t="s">
        <v>71</v>
      </c>
      <c r="C14" t="s">
        <v>227</v>
      </c>
    </row>
    <row r="16" spans="1:3">
      <c r="A16" t="s">
        <v>68</v>
      </c>
    </row>
    <row r="17" spans="1:3">
      <c r="C17">
        <v>4</v>
      </c>
    </row>
    <row r="19" spans="1:3">
      <c r="A19" t="s">
        <v>69</v>
      </c>
    </row>
    <row r="20" spans="1:3">
      <c r="A20">
        <v>31</v>
      </c>
      <c r="B20">
        <v>31</v>
      </c>
      <c r="C20">
        <v>31</v>
      </c>
    </row>
    <row r="25" spans="1:3">
      <c r="A25" s="24" t="s">
        <v>70</v>
      </c>
    </row>
    <row r="26" spans="1:3">
      <c r="A26" s="25" t="s">
        <v>72</v>
      </c>
      <c r="B26" s="25" t="s">
        <v>72</v>
      </c>
      <c r="C26" s="25" t="s">
        <v>72</v>
      </c>
    </row>
    <row r="27" spans="1:3">
      <c r="A27" t="s">
        <v>114</v>
      </c>
      <c r="B27" t="s">
        <v>98</v>
      </c>
      <c r="C27" t="s">
        <v>98</v>
      </c>
    </row>
    <row r="28" spans="1:3">
      <c r="A28" s="25" t="s">
        <v>99</v>
      </c>
      <c r="B28" s="25" t="s">
        <v>99</v>
      </c>
      <c r="C28" s="25" t="s">
        <v>99</v>
      </c>
    </row>
    <row r="29" spans="1:3">
      <c r="A29" s="25" t="s">
        <v>100</v>
      </c>
      <c r="B29" s="25" t="s">
        <v>100</v>
      </c>
      <c r="C29" s="25" t="s">
        <v>100</v>
      </c>
    </row>
    <row r="30" spans="1:3">
      <c r="A30" t="s">
        <v>97</v>
      </c>
      <c r="B30" t="s">
        <v>1</v>
      </c>
      <c r="C30" t="s">
        <v>228</v>
      </c>
    </row>
    <row r="31" spans="1:3">
      <c r="A31" s="25" t="s">
        <v>99</v>
      </c>
      <c r="B31" s="25" t="s">
        <v>99</v>
      </c>
      <c r="C31" s="25" t="s">
        <v>99</v>
      </c>
    </row>
  </sheetData>
  <phoneticPr fontId="25"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published="0"/>
  <dimension ref="A1:C1"/>
  <sheetViews>
    <sheetView workbookViewId="0">
      <selection activeCell="P36" sqref="P36"/>
    </sheetView>
  </sheetViews>
  <sheetFormatPr defaultRowHeight="12.75"/>
  <sheetData>
    <row r="1" spans="1:3">
      <c r="A1" s="196" t="s">
        <v>231</v>
      </c>
      <c r="B1" s="4" t="s">
        <v>168</v>
      </c>
      <c r="C1" s="4" t="str">
        <f>CONCATENATE("Extra CO2 in Atmosphere")</f>
        <v>Extra CO2 in Atmosphere</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sheetPr codeName="Sheet8"/>
  <dimension ref="A1:K104"/>
  <sheetViews>
    <sheetView zoomScale="90" zoomScaleNormal="90" workbookViewId="0">
      <selection activeCell="J25" sqref="J25"/>
    </sheetView>
  </sheetViews>
  <sheetFormatPr defaultRowHeight="12.75"/>
  <cols>
    <col min="1" max="1" width="9.85546875" customWidth="1"/>
    <col min="3" max="3" width="9.7109375" customWidth="1"/>
    <col min="5" max="5" width="4.85546875" customWidth="1"/>
    <col min="6" max="6" width="9.7109375" customWidth="1"/>
    <col min="11" max="11" width="8.5703125" customWidth="1"/>
  </cols>
  <sheetData>
    <row r="1" spans="1:11">
      <c r="A1" s="238" t="s">
        <v>81</v>
      </c>
      <c r="B1" s="238"/>
      <c r="C1" s="164">
        <v>0.03</v>
      </c>
      <c r="D1" s="164">
        <v>7.0000000000000007E-2</v>
      </c>
      <c r="H1" s="162"/>
      <c r="I1" s="162"/>
    </row>
    <row r="2" spans="1:11">
      <c r="D2" s="160"/>
      <c r="F2" s="157"/>
    </row>
    <row r="3" spans="1:11" ht="39.75">
      <c r="A3" s="101" t="s">
        <v>192</v>
      </c>
      <c r="B3" s="101" t="s">
        <v>77</v>
      </c>
      <c r="C3" s="101" t="s">
        <v>79</v>
      </c>
      <c r="D3" s="101" t="s">
        <v>80</v>
      </c>
      <c r="F3" s="101" t="s">
        <v>76</v>
      </c>
      <c r="G3" s="101" t="s">
        <v>78</v>
      </c>
      <c r="H3" s="163" t="str">
        <f>CONCATENATE("Ethanol FWIe", " (", 100* $C$1, "%)")</f>
        <v>Ethanol FWIe (3%)</v>
      </c>
      <c r="I3" s="163" t="str">
        <f>CONCATENATE("Ethanol FWIe", " (", 100* $D$1, "%)")</f>
        <v>Ethanol FWIe (7%)</v>
      </c>
      <c r="K3" s="101"/>
    </row>
    <row r="4" spans="1:11">
      <c r="A4" s="161">
        <v>2010</v>
      </c>
      <c r="B4" s="54">
        <f t="shared" ref="B4:B35" si="0">A4-A$4</f>
        <v>0</v>
      </c>
      <c r="C4" s="54">
        <f t="shared" ref="C4:C35" si="1">GasolineGWI</f>
        <v>94</v>
      </c>
      <c r="D4" s="54">
        <f>Gasoline!$H4</f>
        <v>94</v>
      </c>
      <c r="F4" s="54">
        <f>Ethanol!$M18</f>
        <v>546.14623628550646</v>
      </c>
      <c r="G4" s="54">
        <f>SUM(F$4:F4)/SUM(D$4:D4)*GasolineGWI</f>
        <v>546.14623628550646</v>
      </c>
      <c r="H4" s="54">
        <f>GasolineGWI*(NPV($C$1,F$4:F4)/NPV($C$1,D$4:D4))</f>
        <v>546.14623628550646</v>
      </c>
      <c r="I4" s="54">
        <f>GasolineGWI*(NPV($D$1,F$4:F4)/NPV($D$1,D$4:D4))</f>
        <v>546.14623628550646</v>
      </c>
      <c r="K4" s="54"/>
    </row>
    <row r="5" spans="1:11">
      <c r="A5" s="161">
        <f>A4+1</f>
        <v>2011</v>
      </c>
      <c r="B5" s="54">
        <f t="shared" si="0"/>
        <v>1</v>
      </c>
      <c r="C5" s="54">
        <f t="shared" si="1"/>
        <v>94</v>
      </c>
      <c r="D5" s="54">
        <f>Gasoline!$H5</f>
        <v>176.22879654387143</v>
      </c>
      <c r="F5" s="54">
        <f>Ethanol!$M19</f>
        <v>597.62449757077354</v>
      </c>
      <c r="G5" s="54">
        <f>SUM(F$4:F5)/SUM(D$4:D5)*GasolineGWI</f>
        <v>397.86451465410505</v>
      </c>
      <c r="H5" s="54">
        <f>GasolineGWI*(NPV($C$1,F$4:F5)/NPV($C$1,D$4:D5))</f>
        <v>399.39594222417082</v>
      </c>
      <c r="I5" s="54">
        <f>GasolineGWI*(NPV($D$1,F$4:F5)/NPV($D$1,D$4:D5))</f>
        <v>401.38930772613452</v>
      </c>
      <c r="K5" s="54"/>
    </row>
    <row r="6" spans="1:11">
      <c r="A6" s="161">
        <f t="shared" ref="A6:A69" si="2">A5+1</f>
        <v>2012</v>
      </c>
      <c r="B6" s="54">
        <f t="shared" si="0"/>
        <v>2</v>
      </c>
      <c r="C6" s="54">
        <f t="shared" si="1"/>
        <v>94</v>
      </c>
      <c r="D6" s="54">
        <f>Gasoline!$H6</f>
        <v>252.4487727670016</v>
      </c>
      <c r="F6" s="54">
        <f>Ethanol!$M20</f>
        <v>667.5718315226153</v>
      </c>
      <c r="G6" s="54">
        <f>SUM(F$4:F6)/SUM(D$4:D6)*GasolineGWI</f>
        <v>325.75762026693536</v>
      </c>
      <c r="H6" s="54">
        <f>GasolineGWI*(NPV($C$1,F$4:F6)/NPV($C$1,D$4:D6))</f>
        <v>328.05240520098306</v>
      </c>
      <c r="I6" s="54">
        <f>GasolineGWI*(NPV($D$1,F$4:F6)/NPV($D$1,D$4:D6))</f>
        <v>331.0719869611421</v>
      </c>
      <c r="K6" s="54"/>
    </row>
    <row r="7" spans="1:11">
      <c r="A7" s="161">
        <f t="shared" si="2"/>
        <v>2013</v>
      </c>
      <c r="B7" s="54">
        <f t="shared" si="0"/>
        <v>3</v>
      </c>
      <c r="C7" s="54">
        <f t="shared" si="1"/>
        <v>94</v>
      </c>
      <c r="D7" s="54">
        <f>Gasoline!$H7</f>
        <v>325.18563045416852</v>
      </c>
      <c r="F7" s="54">
        <f>Ethanol!$M21</f>
        <v>744.53115301047421</v>
      </c>
      <c r="G7" s="54">
        <f>SUM(F$4:F7)/SUM(D$4:D7)*GasolineGWI</f>
        <v>283.36190271635684</v>
      </c>
      <c r="H7" s="54">
        <f>GasolineGWI*(NPV($C$1,F$4:F7)/NPV($C$1,D$4:D7))</f>
        <v>286.11319514591395</v>
      </c>
      <c r="I7" s="54">
        <f>GasolineGWI*(NPV($D$1,F$4:F7)/NPV($D$1,D$4:D7))</f>
        <v>289.77301235319106</v>
      </c>
      <c r="K7" s="54"/>
    </row>
    <row r="8" spans="1:11">
      <c r="A8" s="161">
        <f t="shared" si="2"/>
        <v>2014</v>
      </c>
      <c r="B8" s="54">
        <f t="shared" si="0"/>
        <v>4</v>
      </c>
      <c r="C8" s="54">
        <f t="shared" si="1"/>
        <v>94</v>
      </c>
      <c r="D8" s="54">
        <f>Gasoline!$H8</f>
        <v>395.56979260995399</v>
      </c>
      <c r="F8" s="54">
        <f>Ethanol!$M22</f>
        <v>823.61659977380737</v>
      </c>
      <c r="G8" s="54">
        <f>SUM(F$4:F8)/SUM(D$4:D8)*GasolineGWI</f>
        <v>255.47986248987581</v>
      </c>
      <c r="H8" s="54">
        <f>GasolineGWI*(NPV($C$1,F$4:F8)/NPV($C$1,D$4:D8))</f>
        <v>258.53724823528898</v>
      </c>
      <c r="I8" s="54">
        <f>GasolineGWI*(NPV($D$1,F$4:F8)/NPV($D$1,D$4:D8))</f>
        <v>262.64838269088199</v>
      </c>
      <c r="K8" s="54"/>
    </row>
    <row r="9" spans="1:11">
      <c r="A9" s="161">
        <f t="shared" si="2"/>
        <v>2015</v>
      </c>
      <c r="B9" s="54">
        <f t="shared" si="0"/>
        <v>5</v>
      </c>
      <c r="C9" s="54">
        <f t="shared" si="1"/>
        <v>94</v>
      </c>
      <c r="D9" s="54">
        <f>Gasoline!$H9</f>
        <v>464.12896575211323</v>
      </c>
      <c r="F9" s="54">
        <f>Ethanol!$M23</f>
        <v>850.47801449727467</v>
      </c>
      <c r="G9" s="54">
        <f>SUM(F$4:F9)/SUM(D$4:D9)*GasolineGWI</f>
        <v>232.85657154496315</v>
      </c>
      <c r="H9" s="54">
        <f>GasolineGWI*(NPV($C$1,F$4:F9)/NPV($C$1,D$4:D9))</f>
        <v>236.28410228734683</v>
      </c>
      <c r="I9" s="54">
        <f>GasolineGWI*(NPV($D$1,F$4:F9)/NPV($D$1,D$4:D9))</f>
        <v>240.92878639415034</v>
      </c>
      <c r="K9" s="54"/>
    </row>
    <row r="10" spans="1:11">
      <c r="A10" s="161">
        <f t="shared" si="2"/>
        <v>2016</v>
      </c>
      <c r="B10" s="54">
        <f t="shared" si="0"/>
        <v>6</v>
      </c>
      <c r="C10" s="54">
        <f t="shared" si="1"/>
        <v>94</v>
      </c>
      <c r="D10" s="54">
        <f>Gasoline!$H10</f>
        <v>531.12933344376427</v>
      </c>
      <c r="F10" s="54">
        <f>Ethanol!$M24</f>
        <v>883.10675685650222</v>
      </c>
      <c r="G10" s="54">
        <f>SUM(F$4:F10)/SUM(D$4:D10)*GasolineGWI</f>
        <v>214.69197661341676</v>
      </c>
      <c r="H10" s="54">
        <f>GasolineGWI*(NPV($C$1,F$4:F10)/NPV($C$1,D$4:D10))</f>
        <v>218.46942657510962</v>
      </c>
      <c r="I10" s="54">
        <f>GasolineGWI*(NPV($D$1,F$4:F10)/NPV($D$1,D$4:D10))</f>
        <v>223.62711913650719</v>
      </c>
      <c r="K10" s="54"/>
    </row>
    <row r="11" spans="1:11">
      <c r="A11" s="161">
        <f t="shared" si="2"/>
        <v>2017</v>
      </c>
      <c r="B11" s="54">
        <f t="shared" si="0"/>
        <v>7</v>
      </c>
      <c r="C11" s="54">
        <f t="shared" si="1"/>
        <v>94</v>
      </c>
      <c r="D11" s="54">
        <f>Gasoline!$H11</f>
        <v>596.72249971195004</v>
      </c>
      <c r="F11" s="54">
        <f>Ethanol!$M25</f>
        <v>917.97108170597676</v>
      </c>
      <c r="G11" s="54">
        <f>SUM(F$4:F11)/SUM(D$4:D11)*GasolineGWI</f>
        <v>199.94201263952561</v>
      </c>
      <c r="H11" s="54">
        <f>GasolineGWI*(NPV($C$1,F$4:F11)/NPV($C$1,D$4:D11))</f>
        <v>204.03294025962353</v>
      </c>
      <c r="I11" s="54">
        <f>GasolineGWI*(NPV($D$1,F$4:F11)/NPV($D$1,D$4:D11))</f>
        <v>209.66275588678073</v>
      </c>
      <c r="K11" s="54"/>
    </row>
    <row r="12" spans="1:11">
      <c r="A12" s="161">
        <f t="shared" si="2"/>
        <v>2018</v>
      </c>
      <c r="B12" s="54">
        <f t="shared" si="0"/>
        <v>8</v>
      </c>
      <c r="C12" s="54">
        <f t="shared" si="1"/>
        <v>94</v>
      </c>
      <c r="D12" s="54">
        <f>Gasoline!$H12</f>
        <v>661.00883215686576</v>
      </c>
      <c r="F12" s="54">
        <f>Ethanol!$M26</f>
        <v>953.56164390761592</v>
      </c>
      <c r="G12" s="54">
        <f>SUM(F$4:F12)/SUM(D$4:D12)*GasolineGWI</f>
        <v>187.77853976255639</v>
      </c>
      <c r="H12" s="54">
        <f>GasolineGWI*(NPV($C$1,F$4:F12)/NPV($C$1,D$4:D12))</f>
        <v>192.14747865550709</v>
      </c>
      <c r="I12" s="54">
        <f>GasolineGWI*(NPV($D$1,F$4:F12)/NPV($D$1,D$4:D12))</f>
        <v>198.20914504590036</v>
      </c>
      <c r="K12" s="54"/>
    </row>
    <row r="13" spans="1:11">
      <c r="A13" s="161">
        <f t="shared" si="2"/>
        <v>2019</v>
      </c>
      <c r="B13" s="54">
        <f t="shared" si="0"/>
        <v>9</v>
      </c>
      <c r="C13" s="54">
        <f t="shared" si="1"/>
        <v>94</v>
      </c>
      <c r="D13" s="54">
        <f>Gasoline!$H13</f>
        <v>724.06482254645425</v>
      </c>
      <c r="F13" s="54">
        <f>Ethanol!$M27</f>
        <v>989.23888686192913</v>
      </c>
      <c r="G13" s="54">
        <f>SUM(F$4:F13)/SUM(D$4:D13)*GasolineGWI</f>
        <v>177.59597666855694</v>
      </c>
      <c r="H13" s="54">
        <f>GasolineGWI*(NPV($C$1,F$4:F13)/NPV($C$1,D$4:D13))</f>
        <v>182.21225656785583</v>
      </c>
      <c r="I13" s="54">
        <f>GasolineGWI*(NPV($D$1,F$4:F13)/NPV($D$1,D$4:D13))</f>
        <v>188.67087321164234</v>
      </c>
      <c r="K13" s="54"/>
    </row>
    <row r="14" spans="1:11">
      <c r="A14" s="161">
        <f t="shared" si="2"/>
        <v>2020</v>
      </c>
      <c r="B14" s="54">
        <f t="shared" si="0"/>
        <v>10</v>
      </c>
      <c r="C14" s="54">
        <f t="shared" si="1"/>
        <v>94</v>
      </c>
      <c r="D14" s="54">
        <f>Gasoline!$H14</f>
        <v>785.95495722562862</v>
      </c>
      <c r="F14" s="54">
        <f>Ethanol!$M28</f>
        <v>1024.7370513214078</v>
      </c>
      <c r="G14" s="54">
        <f>SUM(F$4:F14)/SUM(D$4:D14)*GasolineGWI</f>
        <v>168.95567844121365</v>
      </c>
      <c r="H14" s="54">
        <f>GasolineGWI*(NPV($C$1,F$4:F14)/NPV($C$1,D$4:D14))</f>
        <v>173.79362217006732</v>
      </c>
      <c r="I14" s="54">
        <f>GasolineGWI*(NPV($D$1,F$4:F14)/NPV($D$1,D$4:D14))</f>
        <v>180.61999965283155</v>
      </c>
      <c r="K14" s="54"/>
    </row>
    <row r="15" spans="1:11">
      <c r="A15" s="161">
        <f t="shared" si="2"/>
        <v>2021</v>
      </c>
      <c r="B15" s="54">
        <f t="shared" si="0"/>
        <v>11</v>
      </c>
      <c r="C15" s="54">
        <f t="shared" si="1"/>
        <v>94</v>
      </c>
      <c r="D15" s="54">
        <f>Gasoline!$H15</f>
        <v>846.7369163717309</v>
      </c>
      <c r="F15" s="54">
        <f>Ethanol!$M29</f>
        <v>1059.9507553356441</v>
      </c>
      <c r="G15" s="54">
        <f>SUM(F$4:F15)/SUM(D$4:D15)*GasolineGWI</f>
        <v>161.53652437225091</v>
      </c>
      <c r="H15" s="54">
        <f>GasolineGWI*(NPV($C$1,F$4:F15)/NPV($C$1,D$4:D15))</f>
        <v>166.57476147797021</v>
      </c>
      <c r="I15" s="54">
        <f>GasolineGWI*(NPV($D$1,F$4:F15)/NPV($D$1,D$4:D15))</f>
        <v>173.74466275388863</v>
      </c>
      <c r="K15" s="54"/>
    </row>
    <row r="16" spans="1:11">
      <c r="A16" s="161">
        <f t="shared" si="2"/>
        <v>2022</v>
      </c>
      <c r="B16" s="54">
        <f t="shared" si="0"/>
        <v>12</v>
      </c>
      <c r="C16" s="54">
        <f t="shared" si="1"/>
        <v>94</v>
      </c>
      <c r="D16" s="54">
        <f>Gasoline!$H16</f>
        <v>906.46389757914426</v>
      </c>
      <c r="F16" s="54">
        <f>Ethanol!$M30</f>
        <v>1094.843175587517</v>
      </c>
      <c r="G16" s="54">
        <f>SUM(F$4:F16)/SUM(D$4:D16)*GasolineGWI</f>
        <v>155.09953242152832</v>
      </c>
      <c r="H16" s="54">
        <f>GasolineGWI*(NPV($C$1,F$4:F16)/NPV($C$1,D$4:D16))</f>
        <v>160.32021097924357</v>
      </c>
      <c r="I16" s="54">
        <f>GasolineGWI*(NPV($D$1,F$4:F16)/NPV($D$1,D$4:D16))</f>
        <v>167.81344794868699</v>
      </c>
      <c r="K16" s="54"/>
    </row>
    <row r="17" spans="1:11">
      <c r="A17" s="161">
        <f t="shared" si="2"/>
        <v>2023</v>
      </c>
      <c r="B17" s="54">
        <f t="shared" si="0"/>
        <v>13</v>
      </c>
      <c r="C17" s="54">
        <f t="shared" si="1"/>
        <v>94</v>
      </c>
      <c r="D17" s="54">
        <f>Gasoline!$H17</f>
        <v>965.18569738783867</v>
      </c>
      <c r="F17" s="54">
        <f>Ethanol!$M31</f>
        <v>1129.4065578276131</v>
      </c>
      <c r="G17" s="54">
        <f>SUM(F$4:F17)/SUM(D$4:D17)*GasolineGWI</f>
        <v>149.4637268379249</v>
      </c>
      <c r="H17" s="54">
        <f>GasolineGWI*(NPV($C$1,F$4:F17)/NPV($C$1,D$4:D17))</f>
        <v>154.85182665034384</v>
      </c>
      <c r="I17" s="54">
        <f>GasolineGWI*(NPV($D$1,F$4:F17)/NPV($D$1,D$4:D17))</f>
        <v>162.65146441051286</v>
      </c>
      <c r="K17" s="54"/>
    </row>
    <row r="18" spans="1:11">
      <c r="A18" s="161">
        <f t="shared" si="2"/>
        <v>2024</v>
      </c>
      <c r="B18" s="54">
        <f t="shared" si="0"/>
        <v>14</v>
      </c>
      <c r="C18" s="54">
        <f t="shared" si="1"/>
        <v>94</v>
      </c>
      <c r="D18" s="54">
        <f>Gasoline!$H18</f>
        <v>1022.9492540103648</v>
      </c>
      <c r="F18" s="54">
        <f>Ethanol!$M32</f>
        <v>1163.6452455593965</v>
      </c>
      <c r="G18" s="54">
        <f>SUM(F$4:F18)/SUM(D$4:D18)*GasolineGWI</f>
        <v>144.48976042617269</v>
      </c>
      <c r="H18" s="54">
        <f>GasolineGWI*(NPV($C$1,F$4:F18)/NPV($C$1,D$4:D18))</f>
        <v>150.03253949908111</v>
      </c>
      <c r="I18" s="54">
        <f>GasolineGWI*(NPV($D$1,F$4:F18)/NPV($D$1,D$4:D18))</f>
        <v>158.12425155459357</v>
      </c>
      <c r="K18" s="54"/>
    </row>
    <row r="19" spans="1:11">
      <c r="A19" s="161">
        <f t="shared" si="2"/>
        <v>2025</v>
      </c>
      <c r="B19" s="54">
        <f t="shared" si="0"/>
        <v>15</v>
      </c>
      <c r="C19" s="54">
        <f t="shared" si="1"/>
        <v>94</v>
      </c>
      <c r="D19" s="54">
        <f>Gasoline!$H19</f>
        <v>1079.7989541242976</v>
      </c>
      <c r="F19" s="54">
        <f>Ethanol!$M33</f>
        <v>1197.5683981213674</v>
      </c>
      <c r="G19" s="54">
        <f>SUM(F$4:F19)/SUM(D$4:D19)*GasolineGWI</f>
        <v>140.06868468959564</v>
      </c>
      <c r="H19" s="54">
        <f>GasolineGWI*(NPV($C$1,F$4:F19)/NPV($C$1,D$4:D19))</f>
        <v>145.75524410898839</v>
      </c>
      <c r="I19" s="54">
        <f>GasolineGWI*(NPV($D$1,F$4:F19)/NPV($D$1,D$4:D19))</f>
        <v>154.12680380117749</v>
      </c>
      <c r="K19" s="54"/>
    </row>
    <row r="20" spans="1:11">
      <c r="A20" s="161">
        <f t="shared" si="2"/>
        <v>2026</v>
      </c>
      <c r="B20" s="54">
        <f t="shared" si="0"/>
        <v>16</v>
      </c>
      <c r="C20" s="54">
        <f t="shared" si="1"/>
        <v>94</v>
      </c>
      <c r="D20" s="54">
        <f>Gasoline!$H20</f>
        <v>1135.7768342808895</v>
      </c>
      <c r="F20" s="54">
        <f>Ethanol!$M34</f>
        <v>1231.1868774085819</v>
      </c>
      <c r="G20" s="54">
        <f>SUM(F$4:F20)/SUM(D$4:D20)*GasolineGWI</f>
        <v>136.11412835834787</v>
      </c>
      <c r="H20" s="54">
        <f>GasolineGWI*(NPV($C$1,F$4:F20)/NPV($C$1,D$4:D20))</f>
        <v>141.93507198665282</v>
      </c>
      <c r="I20" s="54">
        <f>GasolineGWI*(NPV($D$1,F$4:F20)/NPV($D$1,D$4:D20))</f>
        <v>150.57595381004063</v>
      </c>
      <c r="K20" s="54"/>
    </row>
    <row r="21" spans="1:11">
      <c r="A21" s="161">
        <f t="shared" si="2"/>
        <v>2027</v>
      </c>
      <c r="B21" s="54">
        <f t="shared" si="0"/>
        <v>17</v>
      </c>
      <c r="C21" s="54">
        <f t="shared" si="1"/>
        <v>94</v>
      </c>
      <c r="D21" s="54">
        <f>Gasoline!$H21</f>
        <v>1190.9227333141882</v>
      </c>
      <c r="F21" s="54">
        <f>Ethanol!$M35</f>
        <v>1264.5119274681058</v>
      </c>
      <c r="G21" s="54">
        <f>SUM(F$4:F21)/SUM(D$4:D21)*GasolineGWI</f>
        <v>132.55675594475315</v>
      </c>
      <c r="H21" s="54">
        <f>GasolineGWI*(NPV($C$1,F$4:F21)/NPV($C$1,D$4:D21))</f>
        <v>138.50392341992551</v>
      </c>
      <c r="I21" s="54">
        <f>GasolineGWI*(NPV($D$1,F$4:F21)/NPV($D$1,D$4:D21))</f>
        <v>147.4049896744832</v>
      </c>
      <c r="K21" s="54"/>
    </row>
    <row r="22" spans="1:11">
      <c r="A22" s="161">
        <f t="shared" si="2"/>
        <v>2028</v>
      </c>
      <c r="B22" s="54">
        <f t="shared" si="0"/>
        <v>18</v>
      </c>
      <c r="C22" s="54">
        <f t="shared" si="1"/>
        <v>94</v>
      </c>
      <c r="D22" s="54">
        <f>Gasoline!$H22</f>
        <v>1245.2744202071108</v>
      </c>
      <c r="F22" s="54">
        <f>Ethanol!$M36</f>
        <v>1297.5546246284994</v>
      </c>
      <c r="G22" s="54">
        <f>SUM(F$4:F22)/SUM(D$4:D22)*GasolineGWI</f>
        <v>129.34027486018707</v>
      </c>
      <c r="H22" s="54">
        <f>GasolineGWI*(NPV($C$1,F$4:F22)/NPV($C$1,D$4:D22))</f>
        <v>135.40653069069609</v>
      </c>
      <c r="I22" s="54">
        <f>GasolineGWI*(NPV($D$1,F$4:F22)/NPV($D$1,D$4:D22))</f>
        <v>144.55978365193499</v>
      </c>
      <c r="K22" s="54"/>
    </row>
    <row r="23" spans="1:11">
      <c r="A23" s="161">
        <f t="shared" si="2"/>
        <v>2029</v>
      </c>
      <c r="B23" s="54">
        <f t="shared" si="0"/>
        <v>19</v>
      </c>
      <c r="C23" s="54">
        <f t="shared" si="1"/>
        <v>94</v>
      </c>
      <c r="D23" s="54">
        <f>Gasoline!$H23</f>
        <v>1298.8677081209471</v>
      </c>
      <c r="F23" s="54">
        <f>Ethanol!$M37</f>
        <v>1330.325658258997</v>
      </c>
      <c r="G23" s="54">
        <f>SUM(F$4:F23)/SUM(D$4:D23)*GasolineGWI</f>
        <v>126.41851198017784</v>
      </c>
      <c r="H23" s="54">
        <f>GasolineGWI*(NPV($C$1,F$4:F23)/NPV($C$1,D$4:D23))</f>
        <v>132.59757759205812</v>
      </c>
      <c r="I23" s="54">
        <f>GasolineGWI*(NPV($D$1,F$4:F23)/NPV($D$1,D$4:D23))</f>
        <v>141.99596197891728</v>
      </c>
      <c r="K23" s="54"/>
    </row>
    <row r="24" spans="1:11">
      <c r="A24" s="161">
        <f t="shared" si="2"/>
        <v>2030</v>
      </c>
      <c r="B24" s="54">
        <f t="shared" si="0"/>
        <v>20</v>
      </c>
      <c r="C24" s="54">
        <f t="shared" si="1"/>
        <v>94</v>
      </c>
      <c r="D24" s="54">
        <f>Gasoline!$H24</f>
        <v>1351.7365593679781</v>
      </c>
      <c r="F24" s="54">
        <f>Ethanol!$M38</f>
        <v>1362.835252898951</v>
      </c>
      <c r="G24" s="54">
        <f>SUM(F$4:F24)/SUM(D$4:D24)*GasolineGWI</f>
        <v>123.75324116848822</v>
      </c>
      <c r="H24" s="54">
        <f>GasolineGWI*(NPV($C$1,F$4:F24)/NPV($C$1,D$4:D24))</f>
        <v>130.03956001735708</v>
      </c>
      <c r="I24" s="54">
        <f>GasolineGWI*(NPV($D$1,F$4:F24)/NPV($D$1,D$4:D24))</f>
        <v>139.67680426715324</v>
      </c>
      <c r="J24" s="176"/>
      <c r="K24" s="54"/>
    </row>
    <row r="25" spans="1:11">
      <c r="A25" s="161">
        <f t="shared" si="2"/>
        <v>2031</v>
      </c>
      <c r="B25" s="54">
        <f t="shared" si="0"/>
        <v>21</v>
      </c>
      <c r="C25" s="54">
        <f t="shared" si="1"/>
        <v>94</v>
      </c>
      <c r="D25" s="54">
        <f>Gasoline!$H25</f>
        <v>1403.913183547269</v>
      </c>
      <c r="F25" s="54">
        <f>Ethanol!$M39</f>
        <v>1395.0931503589352</v>
      </c>
      <c r="G25" s="54">
        <f>SUM(F$4:F25)/SUM(D$4:D25)*GasolineGWI</f>
        <v>121.31254658205151</v>
      </c>
      <c r="H25" s="54">
        <f>GasolineGWI*(NPV($C$1,F$4:F25)/NPV($C$1,D$4:D25))</f>
        <v>127.701174909424</v>
      </c>
      <c r="I25" s="54">
        <f>GasolineGWI*(NPV($D$1,F$4:F25)/NPV($D$1,D$4:D25))</f>
        <v>137.57166261221241</v>
      </c>
      <c r="K25" s="54"/>
    </row>
    <row r="26" spans="1:11">
      <c r="A26" s="161">
        <f t="shared" si="2"/>
        <v>2032</v>
      </c>
      <c r="B26" s="54">
        <f t="shared" si="0"/>
        <v>22</v>
      </c>
      <c r="C26" s="54">
        <f t="shared" si="1"/>
        <v>94</v>
      </c>
      <c r="D26" s="54">
        <f>Gasoline!$H26</f>
        <v>1455.4281299536076</v>
      </c>
      <c r="F26" s="54">
        <f>Ethanol!$M40</f>
        <v>1427.1086168096638</v>
      </c>
      <c r="G26" s="54">
        <f>SUM(F$4:F26)/SUM(D$4:D26)*GasolineGWI</f>
        <v>119.06957398877073</v>
      </c>
      <c r="H26" s="54">
        <f>GasolineGWI*(NPV($C$1,F$4:F26)/NPV($C$1,D$4:D26))</f>
        <v>125.55609163179653</v>
      </c>
      <c r="I26" s="54">
        <f>GasolineGWI*(NPV($D$1,F$4:F26)/NPV($D$1,D$4:D26))</f>
        <v>135.65475659501092</v>
      </c>
      <c r="K26" s="54"/>
    </row>
    <row r="27" spans="1:11">
      <c r="A27" s="161">
        <f t="shared" si="2"/>
        <v>2033</v>
      </c>
      <c r="B27" s="54">
        <f t="shared" si="0"/>
        <v>23</v>
      </c>
      <c r="C27" s="54">
        <f t="shared" si="1"/>
        <v>94</v>
      </c>
      <c r="D27" s="54">
        <f>Gasoline!$H27</f>
        <v>1506.3103748836977</v>
      </c>
      <c r="F27" s="54">
        <f>Ethanol!$M41</f>
        <v>1458.8904598467955</v>
      </c>
      <c r="G27" s="54">
        <f>SUM(F$4:F27)/SUM(D$4:D27)*GasolineGWI</f>
        <v>117.00156701410477</v>
      </c>
      <c r="H27" s="54">
        <f>GasolineGWI*(NPV($C$1,F$4:F27)/NPV($C$1,D$4:D27))</f>
        <v>123.5820040283909</v>
      </c>
      <c r="I27" s="54">
        <f>GasolineGWI*(NPV($D$1,F$4:F27)/NPV($D$1,D$4:D27))</f>
        <v>133.90424401131307</v>
      </c>
      <c r="K27" s="54"/>
    </row>
    <row r="28" spans="1:11">
      <c r="A28" s="161">
        <f t="shared" si="2"/>
        <v>2034</v>
      </c>
      <c r="B28" s="54">
        <f t="shared" si="0"/>
        <v>24</v>
      </c>
      <c r="C28" s="54">
        <f t="shared" si="1"/>
        <v>94</v>
      </c>
      <c r="D28" s="54">
        <f>Gasoline!$H28</f>
        <v>1556.5874042469347</v>
      </c>
      <c r="F28" s="54">
        <f>Ethanol!$M42</f>
        <v>1490.4470491122042</v>
      </c>
      <c r="G28" s="54">
        <f>SUM(F$4:F28)/SUM(D$4:D28)*GasolineGWI</f>
        <v>115.08911532701291</v>
      </c>
      <c r="H28" s="54">
        <f>GasolineGWI*(NPV($C$1,F$4:F28)/NPV($C$1,D$4:D28))</f>
        <v>121.75989118116358</v>
      </c>
      <c r="I28" s="54">
        <f>GasolineGWI*(NPV($D$1,F$4:F28)/NPV($D$1,D$4:D28))</f>
        <v>132.3014965019909</v>
      </c>
      <c r="K28" s="54"/>
    </row>
    <row r="29" spans="1:11">
      <c r="A29" s="161">
        <f t="shared" si="2"/>
        <v>2035</v>
      </c>
      <c r="B29" s="54">
        <f t="shared" si="0"/>
        <v>25</v>
      </c>
      <c r="C29" s="54">
        <f t="shared" si="1"/>
        <v>94</v>
      </c>
      <c r="D29" s="54">
        <f>Gasoline!$H29</f>
        <v>1512.2852917875098</v>
      </c>
      <c r="F29" s="54">
        <f>Ethanol!$M43</f>
        <v>1441.2918716887666</v>
      </c>
      <c r="G29" s="54">
        <f>SUM(F$4:F29)/SUM(D$4:D29)*GasolineGWI</f>
        <v>113.44693238880278</v>
      </c>
      <c r="H29" s="54">
        <f>GasolineGWI*(NPV($C$1,F$4:F29)/NPV($C$1,D$4:D29))</f>
        <v>120.19323220894445</v>
      </c>
      <c r="I29" s="54">
        <f>GasolineGWI*(NPV($D$1,F$4:F29)/NPV($D$1,D$4:D29))</f>
        <v>130.93092216995416</v>
      </c>
      <c r="K29" s="54"/>
    </row>
    <row r="30" spans="1:11">
      <c r="A30" s="161">
        <f t="shared" si="2"/>
        <v>2036</v>
      </c>
      <c r="B30" s="54">
        <f t="shared" si="0"/>
        <v>26</v>
      </c>
      <c r="C30" s="54">
        <f t="shared" si="1"/>
        <v>94</v>
      </c>
      <c r="D30" s="54">
        <f>Gasoline!$H30</f>
        <v>1479.1999766304973</v>
      </c>
      <c r="F30" s="54">
        <f>Ethanol!$M44</f>
        <v>1402.0069167169013</v>
      </c>
      <c r="G30" s="54">
        <f>SUM(F$4:F30)/SUM(D$4:D30)*GasolineGWI</f>
        <v>112.0039655926354</v>
      </c>
      <c r="H30" s="54">
        <f>GasolineGWI*(NPV($C$1,F$4:F30)/NPV($C$1,D$4:D30))</f>
        <v>118.81870641631717</v>
      </c>
      <c r="I30" s="54">
        <f>GasolineGWI*(NPV($D$1,F$4:F30)/NPV($D$1,D$4:D30))</f>
        <v>129.73875380136118</v>
      </c>
      <c r="K30" s="54"/>
    </row>
    <row r="31" spans="1:11">
      <c r="A31" s="161">
        <f t="shared" si="2"/>
        <v>2037</v>
      </c>
      <c r="B31" s="54">
        <f t="shared" si="0"/>
        <v>27</v>
      </c>
      <c r="C31" s="54">
        <f t="shared" si="1"/>
        <v>94</v>
      </c>
      <c r="D31" s="54">
        <f>Gasoline!$H31</f>
        <v>1451.5925434204185</v>
      </c>
      <c r="F31" s="54">
        <f>Ethanol!$M45</f>
        <v>1369.7870194539162</v>
      </c>
      <c r="G31" s="54">
        <f>SUM(F$4:F31)/SUM(D$4:D31)*GasolineGWI</f>
        <v>110.723498558109</v>
      </c>
      <c r="H31" s="54">
        <f>GasolineGWI*(NPV($C$1,F$4:F31)/NPV($C$1,D$4:D31))</f>
        <v>117.60174447577575</v>
      </c>
      <c r="I31" s="54">
        <f>GasolineGWI*(NPV($D$1,F$4:F31)/NPV($D$1,D$4:D31))</f>
        <v>128.69359988471416</v>
      </c>
      <c r="K31" s="54"/>
    </row>
    <row r="32" spans="1:11">
      <c r="A32" s="161">
        <f t="shared" si="2"/>
        <v>2038</v>
      </c>
      <c r="B32" s="54">
        <f t="shared" si="0"/>
        <v>28</v>
      </c>
      <c r="C32" s="54">
        <f t="shared" si="1"/>
        <v>94</v>
      </c>
      <c r="D32" s="54">
        <f>Gasoline!$H32</f>
        <v>1426.9595567558843</v>
      </c>
      <c r="F32" s="54">
        <f>Ethanol!$M46</f>
        <v>1339.4251838660464</v>
      </c>
      <c r="G32" s="54">
        <f>SUM(F$4:F32)/SUM(D$4:D32)*GasolineGWI</f>
        <v>109.57086981767168</v>
      </c>
      <c r="H32" s="54">
        <f>GasolineGWI*(NPV($C$1,F$4:F32)/NPV($C$1,D$4:D32))</f>
        <v>116.5111891339586</v>
      </c>
      <c r="I32" s="54">
        <f>GasolineGWI*(NPV($D$1,F$4:F32)/NPV($D$1,D$4:D32))</f>
        <v>127.76852717829148</v>
      </c>
      <c r="K32" s="54"/>
    </row>
    <row r="33" spans="1:11">
      <c r="A33" s="161">
        <f t="shared" si="2"/>
        <v>2039</v>
      </c>
      <c r="B33" s="54">
        <f t="shared" si="0"/>
        <v>29</v>
      </c>
      <c r="C33" s="54">
        <f t="shared" si="1"/>
        <v>94</v>
      </c>
      <c r="D33" s="54">
        <f>Gasoline!$H33</f>
        <v>1404.1917216143067</v>
      </c>
      <c r="F33" s="54">
        <f>Ethanol!$M47</f>
        <v>1310.2090419538167</v>
      </c>
      <c r="G33" s="54">
        <f>SUM(F$4:F33)/SUM(D$4:D33)*GasolineGWI</f>
        <v>108.52121503203261</v>
      </c>
      <c r="H33" s="54">
        <f>GasolineGWI*(NPV($C$1,F$4:F33)/NPV($C$1,D$4:D33))</f>
        <v>115.52435980658935</v>
      </c>
      <c r="I33" s="54">
        <f>GasolineGWI*(NPV($D$1,F$4:F33)/NPV($D$1,D$4:D33))</f>
        <v>126.9435242140663</v>
      </c>
      <c r="K33" s="54"/>
    </row>
    <row r="34" spans="1:11">
      <c r="A34" s="161">
        <f t="shared" si="2"/>
        <v>2040</v>
      </c>
      <c r="B34" s="54">
        <f t="shared" si="0"/>
        <v>30</v>
      </c>
      <c r="C34" s="54">
        <f t="shared" si="1"/>
        <v>94</v>
      </c>
      <c r="D34" s="54">
        <f>Gasoline!$H34</f>
        <v>1382.7813807410794</v>
      </c>
      <c r="F34" s="54">
        <f>Ethanol!$M48</f>
        <v>1282.0800914365459</v>
      </c>
      <c r="G34" s="54">
        <f>SUM(F$4:F34)/SUM(D$4:D34)*GasolineGWI</f>
        <v>107.5565999171444</v>
      </c>
      <c r="H34" s="54">
        <f>GasolineGWI*(NPV($C$1,F$4:F34)/NPV($C$1,D$4:D34))</f>
        <v>114.62453044119816</v>
      </c>
      <c r="I34" s="54">
        <f>GasolineGWI*(NPV($D$1,F$4:F34)/NPV($D$1,D$4:D34))</f>
        <v>126.20341119483771</v>
      </c>
      <c r="J34" s="176"/>
      <c r="K34" s="54"/>
    </row>
    <row r="35" spans="1:11">
      <c r="A35" s="161">
        <f t="shared" si="2"/>
        <v>2041</v>
      </c>
      <c r="B35" s="54">
        <f t="shared" si="0"/>
        <v>31</v>
      </c>
      <c r="C35" s="54">
        <f t="shared" si="1"/>
        <v>94</v>
      </c>
      <c r="D35" s="54">
        <f>Gasoline!$H35</f>
        <v>1362.4813776619408</v>
      </c>
      <c r="F35" s="54">
        <f>Ethanol!$M49</f>
        <v>1254.9828966523307</v>
      </c>
      <c r="G35" s="54">
        <f>SUM(F$4:F35)/SUM(D$4:D35)*GasolineGWI</f>
        <v>106.66338993692328</v>
      </c>
      <c r="H35" s="54">
        <f>GasolineGWI*(NPV($C$1,F$4:F35)/NPV($C$1,D$4:D35))</f>
        <v>113.79876902611286</v>
      </c>
      <c r="I35" s="54">
        <f>GasolineGWI*(NPV($D$1,F$4:F35)/NPV($D$1,D$4:D35))</f>
        <v>125.53619748358435</v>
      </c>
      <c r="K35" s="54"/>
    </row>
    <row r="36" spans="1:11">
      <c r="A36" s="161">
        <f t="shared" si="2"/>
        <v>2042</v>
      </c>
      <c r="B36" s="54">
        <f t="shared" ref="B36:B67" si="3">A36-A$4</f>
        <v>32</v>
      </c>
      <c r="C36" s="54">
        <f t="shared" ref="C36:C67" si="4">GasolineGWI</f>
        <v>94</v>
      </c>
      <c r="D36" s="54">
        <f>Gasoline!$H36</f>
        <v>1343.1581668361628</v>
      </c>
      <c r="F36" s="54">
        <f>Ethanol!$M50</f>
        <v>1228.8649273384024</v>
      </c>
      <c r="G36" s="54">
        <f>SUM(F$4:F36)/SUM(D$4:D36)*GasolineGWI</f>
        <v>105.8308576708269</v>
      </c>
      <c r="H36" s="54">
        <f>GasolineGWI*(NPV($C$1,F$4:F36)/NPV($C$1,D$4:D36))</f>
        <v>113.03677023265014</v>
      </c>
      <c r="I36" s="54">
        <f>GasolineGWI*(NPV($D$1,F$4:F36)/NPV($D$1,D$4:D36))</f>
        <v>124.93216734122478</v>
      </c>
      <c r="K36" s="54"/>
    </row>
    <row r="37" spans="1:11">
      <c r="A37" s="161">
        <f t="shared" si="2"/>
        <v>2043</v>
      </c>
      <c r="B37" s="54">
        <f t="shared" si="3"/>
        <v>33</v>
      </c>
      <c r="C37" s="54">
        <f t="shared" si="4"/>
        <v>94</v>
      </c>
      <c r="D37" s="54">
        <f>Gasoline!$H37</f>
        <v>1324.7285213026773</v>
      </c>
      <c r="F37" s="54">
        <f>Ethanol!$M51</f>
        <v>1203.6764058899203</v>
      </c>
      <c r="G37" s="54">
        <f>SUM(F$4:F37)/SUM(D$4:D37)*GasolineGWI</f>
        <v>105.05036861710248</v>
      </c>
      <c r="H37" s="54">
        <f>GasolineGWI*(NPV($C$1,F$4:F37)/NPV($C$1,D$4:D37))</f>
        <v>112.33015619640224</v>
      </c>
      <c r="I37" s="54">
        <f>GasolineGWI*(NPV($D$1,F$4:F37)/NPV($D$1,D$4:D37))</f>
        <v>124.38331370946203</v>
      </c>
      <c r="K37" s="54"/>
    </row>
    <row r="38" spans="1:11">
      <c r="A38" s="161">
        <f t="shared" si="2"/>
        <v>2044</v>
      </c>
      <c r="B38" s="54">
        <f t="shared" si="3"/>
        <v>34</v>
      </c>
      <c r="C38" s="54">
        <f t="shared" si="4"/>
        <v>94</v>
      </c>
      <c r="D38" s="54">
        <f>Gasoline!$H38</f>
        <v>1307.1322201725811</v>
      </c>
      <c r="F38" s="54">
        <f>Ethanol!$M52</f>
        <v>1179.3701626513107</v>
      </c>
      <c r="G38" s="54">
        <f>SUM(F$4:F38)/SUM(D$4:D38)*GasolineGWI</f>
        <v>104.31486118036733</v>
      </c>
      <c r="H38" s="54">
        <f>GasolineGWI*(NPV($C$1,F$4:F38)/NPV($C$1,D$4:D38))</f>
        <v>111.67201912875846</v>
      </c>
      <c r="I38" s="54">
        <f>GasolineGWI*(NPV($D$1,F$4:F38)/NPV($D$1,D$4:D38))</f>
        <v>123.88295615443111</v>
      </c>
      <c r="K38" s="54"/>
    </row>
    <row r="39" spans="1:11">
      <c r="A39" s="161">
        <f t="shared" si="2"/>
        <v>2045</v>
      </c>
      <c r="B39" s="54">
        <f t="shared" si="3"/>
        <v>35</v>
      </c>
      <c r="C39" s="54">
        <f t="shared" si="4"/>
        <v>94</v>
      </c>
      <c r="D39" s="54">
        <f>Gasoline!$H39</f>
        <v>1290.3202237790931</v>
      </c>
      <c r="F39" s="54">
        <f>Ethanol!$M53</f>
        <v>1155.9014988177107</v>
      </c>
      <c r="G39" s="54">
        <f>SUM(F$4:F39)/SUM(D$4:D39)*GasolineGWI</f>
        <v>103.61849064234167</v>
      </c>
      <c r="H39" s="54">
        <f>GasolineGWI*(NPV($C$1,F$4:F39)/NPV($C$1,D$4:D39))</f>
        <v>111.05660159192648</v>
      </c>
      <c r="I39" s="54">
        <f>GasolineGWI*(NPV($D$1,F$4:F39)/NPV($D$1,D$4:D39))</f>
        <v>123.42546688824105</v>
      </c>
      <c r="K39" s="54"/>
    </row>
    <row r="40" spans="1:11">
      <c r="A40" s="161">
        <f t="shared" si="2"/>
        <v>2046</v>
      </c>
      <c r="B40" s="54">
        <f t="shared" si="3"/>
        <v>36</v>
      </c>
      <c r="C40" s="54">
        <f t="shared" si="4"/>
        <v>94</v>
      </c>
      <c r="D40" s="54">
        <f>Gasoline!$H40</f>
        <v>1274.2495175863041</v>
      </c>
      <c r="F40" s="54">
        <f>Ethanol!$M54</f>
        <v>1133.228056546292</v>
      </c>
      <c r="G40" s="54">
        <f>SUM(F$4:F40)/SUM(D$4:D40)*GasolineGWI</f>
        <v>102.95637286929335</v>
      </c>
      <c r="H40" s="54">
        <f>GasolineGWI*(NPV($C$1,F$4:F40)/NPV($C$1,D$4:D40))</f>
        <v>110.47906243964246</v>
      </c>
      <c r="I40" s="54">
        <f>GasolineGWI*(NPV($D$1,F$4:F40)/NPV($D$1,D$4:D40))</f>
        <v>123.00606616923898</v>
      </c>
      <c r="K40" s="54"/>
    </row>
    <row r="41" spans="1:11">
      <c r="A41" s="161">
        <f t="shared" si="2"/>
        <v>2047</v>
      </c>
      <c r="B41" s="54">
        <f t="shared" si="3"/>
        <v>37</v>
      </c>
      <c r="C41" s="54">
        <f t="shared" si="4"/>
        <v>94</v>
      </c>
      <c r="D41" s="54">
        <f>Gasoline!$H41</f>
        <v>1258.8808294997509</v>
      </c>
      <c r="F41" s="54">
        <f>Ethanol!$M55</f>
        <v>1111.3096958982876</v>
      </c>
      <c r="G41" s="54">
        <f>SUM(F$4:F41)/SUM(D$4:D41)*GasolineGWI</f>
        <v>102.32439328125065</v>
      </c>
      <c r="H41" s="54">
        <f>GasolineGWI*(NPV($C$1,F$4:F41)/NPV($C$1,D$4:D41))</f>
        <v>109.93530002305843</v>
      </c>
      <c r="I41" s="54">
        <f>GasolineGWI*(NPV($D$1,F$4:F41)/NPV($D$1,D$4:D41))</f>
        <v>122.62066536767819</v>
      </c>
      <c r="K41" s="54"/>
    </row>
    <row r="42" spans="1:11">
      <c r="A42" s="161">
        <f t="shared" si="2"/>
        <v>2048</v>
      </c>
      <c r="B42" s="54">
        <f t="shared" si="3"/>
        <v>38</v>
      </c>
      <c r="C42" s="54">
        <f t="shared" si="4"/>
        <v>94</v>
      </c>
      <c r="D42" s="54">
        <f>Gasoline!$H42</f>
        <v>1244.1775870833594</v>
      </c>
      <c r="F42" s="54">
        <f>Ethanol!$M56</f>
        <v>1090.1083782524909</v>
      </c>
      <c r="G42" s="54">
        <f>SUM(F$4:F42)/SUM(D$4:D42)*GasolineGWI</f>
        <v>101.71906096411772</v>
      </c>
      <c r="H42" s="54">
        <f>GasolineGWI*(NPV($C$1,F$4:F42)/NPV($C$1,D$4:D42))</f>
        <v>109.4218157344403</v>
      </c>
      <c r="I42" s="54">
        <f>GasolineGWI*(NPV($D$1,F$4:F42)/NPV($D$1,D$4:D42))</f>
        <v>122.2657443608437</v>
      </c>
      <c r="K42" s="54"/>
    </row>
    <row r="43" spans="1:11">
      <c r="A43" s="161">
        <f t="shared" si="2"/>
        <v>2049</v>
      </c>
      <c r="B43" s="54">
        <f t="shared" si="3"/>
        <v>39</v>
      </c>
      <c r="C43" s="54">
        <f t="shared" si="4"/>
        <v>94</v>
      </c>
      <c r="D43" s="54">
        <f>Gasoline!$H43</f>
        <v>1230.1054115412976</v>
      </c>
      <c r="F43" s="54">
        <f>Ethanol!$M57</f>
        <v>1069.5880558498791</v>
      </c>
      <c r="G43" s="54">
        <f>SUM(F$4:F43)/SUM(D$4:D43)*GasolineGWI</f>
        <v>101.13739527860132</v>
      </c>
      <c r="H43" s="54">
        <f>GasolineGWI*(NPV($C$1,F$4:F43)/NPV($C$1,D$4:D43))</f>
        <v>108.93560702128178</v>
      </c>
      <c r="I43" s="54">
        <f>GasolineGWI*(NPV($D$1,F$4:F43)/NPV($D$1,D$4:D43))</f>
        <v>121.93825445047025</v>
      </c>
      <c r="K43" s="54"/>
    </row>
    <row r="44" spans="1:11">
      <c r="A44" s="161">
        <f t="shared" si="2"/>
        <v>2050</v>
      </c>
      <c r="B44" s="54">
        <f t="shared" si="3"/>
        <v>40</v>
      </c>
      <c r="C44" s="54">
        <f t="shared" si="4"/>
        <v>94</v>
      </c>
      <c r="D44" s="54">
        <f>Gasoline!$H44</f>
        <v>1216.6318457048335</v>
      </c>
      <c r="F44" s="54">
        <f>Ethanol!$M58</f>
        <v>1049.7145671469223</v>
      </c>
      <c r="G44" s="54">
        <f>SUM(F$4:F44)/SUM(D$4:D44)*GasolineGWI</f>
        <v>100.57683653191594</v>
      </c>
      <c r="H44" s="54">
        <f>GasolineGWI*(NPV($C$1,F$4:F44)/NPV($C$1,D$4:D44))</f>
        <v>108.47408248478618</v>
      </c>
      <c r="I44" s="54">
        <f>GasolineGWI*(NPV($D$1,F$4:F44)/NPV($D$1,D$4:D44))</f>
        <v>121.63554067139248</v>
      </c>
      <c r="K44" s="54"/>
    </row>
    <row r="45" spans="1:11">
      <c r="A45" s="161">
        <f t="shared" si="2"/>
        <v>2051</v>
      </c>
      <c r="B45" s="54">
        <f t="shared" si="3"/>
        <v>41</v>
      </c>
      <c r="C45" s="54">
        <f t="shared" si="4"/>
        <v>94</v>
      </c>
      <c r="D45" s="54">
        <f>Gasoline!$H45</f>
        <v>1203.7261855749177</v>
      </c>
      <c r="F45" s="54">
        <f>Ethanol!$M59</f>
        <v>1030.4555376720921</v>
      </c>
      <c r="G45" s="54">
        <f>SUM(F$4:F45)/SUM(D$4:D45)*GasolineGWI</f>
        <v>100.03517483397329</v>
      </c>
      <c r="H45" s="54">
        <f>GasolineGWI*(NPV($C$1,F$4:F45)/NPV($C$1,D$4:D45))</f>
        <v>108.03499383255117</v>
      </c>
      <c r="I45" s="54">
        <f>GasolineGWI*(NPV($D$1,F$4:F45)/NPV($D$1,D$4:D45))</f>
        <v>121.35527906515328</v>
      </c>
      <c r="K45" s="54"/>
    </row>
    <row r="46" spans="1:11">
      <c r="A46" s="161">
        <f t="shared" si="2"/>
        <v>2052</v>
      </c>
      <c r="B46" s="54">
        <f t="shared" si="3"/>
        <v>42</v>
      </c>
      <c r="C46" s="54">
        <f t="shared" si="4"/>
        <v>94</v>
      </c>
      <c r="D46" s="54">
        <f>Gasoline!$H46</f>
        <v>1191.3593591323634</v>
      </c>
      <c r="F46" s="54">
        <f>Ethanol!$M60</f>
        <v>1011.7802860961499</v>
      </c>
      <c r="G46" s="54">
        <f>SUM(F$4:F46)/SUM(D$4:D46)*GasolineGWI</f>
        <v>99.510492908723691</v>
      </c>
      <c r="H46" s="54">
        <f>GasolineGWI*(NPV($C$1,F$4:F46)/NPV($C$1,D$4:D46))</f>
        <v>107.61638087314809</v>
      </c>
      <c r="I46" s="54">
        <f>GasolineGWI*(NPV($D$1,F$4:F46)/NPV($D$1,D$4:D46))</f>
        <v>121.09542564198715</v>
      </c>
      <c r="K46" s="54"/>
    </row>
    <row r="47" spans="1:11">
      <c r="A47" s="161">
        <f t="shared" si="2"/>
        <v>2053</v>
      </c>
      <c r="B47" s="54">
        <f t="shared" si="3"/>
        <v>43</v>
      </c>
      <c r="C47" s="54">
        <f t="shared" si="4"/>
        <v>94</v>
      </c>
      <c r="D47" s="54">
        <f>Gasoline!$H47</f>
        <v>1179.503828050216</v>
      </c>
      <c r="F47" s="54">
        <f>Ethanol!$M61</f>
        <v>993.6597352420165</v>
      </c>
      <c r="G47" s="54">
        <f>SUM(F$4:F47)/SUM(D$4:D47)*GasolineGWI</f>
        <v>99.001119746776013</v>
      </c>
      <c r="H47" s="54">
        <f>GasolineGWI*(NPV($C$1,F$4:F47)/NPV($C$1,D$4:D47))</f>
        <v>107.21652671546141</v>
      </c>
      <c r="I47" s="54">
        <f>GasolineGWI*(NPV($D$1,F$4:F47)/NPV($D$1,D$4:D47))</f>
        <v>120.85417456195646</v>
      </c>
      <c r="K47" s="54"/>
    </row>
    <row r="48" spans="1:11">
      <c r="A48" s="161">
        <f t="shared" si="2"/>
        <v>2054</v>
      </c>
      <c r="B48" s="54">
        <f t="shared" si="3"/>
        <v>44</v>
      </c>
      <c r="C48" s="54">
        <f t="shared" si="4"/>
        <v>94</v>
      </c>
      <c r="D48" s="54">
        <f>Gasoline!$H48</f>
        <v>1168.1335016881267</v>
      </c>
      <c r="F48" s="54">
        <f>Ethanol!$M62</f>
        <v>976.06632777444599</v>
      </c>
      <c r="G48" s="54">
        <f>SUM(F$4:F48)/SUM(D$4:D48)*GasolineGWI</f>
        <v>98.505592766797875</v>
      </c>
      <c r="H48" s="54">
        <f>GasolineGWI*(NPV($C$1,F$4:F48)/NPV($C$1,D$4:D48))</f>
        <v>106.833921028284</v>
      </c>
      <c r="I48" s="54">
        <f>GasolineGWI*(NPV($D$1,F$4:F48)/NPV($D$1,D$4:D48))</f>
        <v>120.62992364920012</v>
      </c>
      <c r="K48" s="54"/>
    </row>
    <row r="49" spans="1:11">
      <c r="A49" s="161">
        <f t="shared" si="2"/>
        <v>2055</v>
      </c>
      <c r="B49" s="54">
        <f t="shared" si="3"/>
        <v>45</v>
      </c>
      <c r="C49" s="54">
        <f t="shared" si="4"/>
        <v>94</v>
      </c>
      <c r="D49" s="54">
        <f>Gasoline!$H49</f>
        <v>1157.2236586707959</v>
      </c>
      <c r="F49" s="54">
        <f>Ethanol!$M63</f>
        <v>958.97394632338728</v>
      </c>
      <c r="G49" s="54">
        <f>SUM(F$4:F49)/SUM(D$4:D49)*GasolineGWI</f>
        <v>98.022626714709574</v>
      </c>
      <c r="H49" s="54">
        <f>GasolineGWI*(NPV($C$1,F$4:F49)/NPV($C$1,D$4:D49))</f>
        <v>106.46722971915631</v>
      </c>
      <c r="I49" s="54">
        <f>GasolineGWI*(NPV($D$1,F$4:F49)/NPV($D$1,D$4:D49))</f>
        <v>120.42124578303928</v>
      </c>
      <c r="K49" s="54"/>
    </row>
    <row r="50" spans="1:11">
      <c r="A50" s="161">
        <f t="shared" si="2"/>
        <v>2056</v>
      </c>
      <c r="B50" s="54">
        <f t="shared" si="3"/>
        <v>46</v>
      </c>
      <c r="C50" s="54">
        <f t="shared" si="4"/>
        <v>94</v>
      </c>
      <c r="D50" s="54">
        <f>Gasoline!$H50</f>
        <v>1146.750873907876</v>
      </c>
      <c r="F50" s="54">
        <f>Ethanol!$M64</f>
        <v>942.35783780786085</v>
      </c>
      <c r="G50" s="54">
        <f>SUM(F$4:F50)/SUM(D$4:D50)*GasolineGWI</f>
        <v>97.551087940966681</v>
      </c>
      <c r="H50" s="54">
        <f>GasolineGWI*(NPV($C$1,F$4:F50)/NPV($C$1,D$4:D50))</f>
        <v>106.11526976380438</v>
      </c>
      <c r="I50" s="54">
        <f>GasolineGWI*(NPV($D$1,F$4:F50)/NPV($D$1,D$4:D50))</f>
        <v>120.22686503119083</v>
      </c>
      <c r="K50" s="54"/>
    </row>
    <row r="51" spans="1:11">
      <c r="A51" s="161">
        <f t="shared" si="2"/>
        <v>2057</v>
      </c>
      <c r="B51" s="54">
        <f t="shared" si="3"/>
        <v>47</v>
      </c>
      <c r="C51" s="54">
        <f t="shared" si="4"/>
        <v>94</v>
      </c>
      <c r="D51" s="54">
        <f>Gasoline!$H51</f>
        <v>1136.6929500187478</v>
      </c>
      <c r="F51" s="54">
        <f>Ethanol!$M65</f>
        <v>926.19454173944291</v>
      </c>
      <c r="G51" s="54">
        <f>SUM(F$4:F51)/SUM(D$4:D51)*GasolineGWI</f>
        <v>97.089973001961184</v>
      </c>
      <c r="H51" s="54">
        <f>GasolineGWI*(NPV($C$1,F$4:F51)/NPV($C$1,D$4:D51))</f>
        <v>105.77698819664423</v>
      </c>
      <c r="I51" s="54">
        <f>GasolineGWI*(NPV($D$1,F$4:F51)/NPV($D$1,D$4:D51))</f>
        <v>120.04563663370489</v>
      </c>
      <c r="K51" s="54"/>
    </row>
    <row r="52" spans="1:11">
      <c r="A52" s="161">
        <f t="shared" si="2"/>
        <v>2058</v>
      </c>
      <c r="B52" s="54">
        <f t="shared" si="3"/>
        <v>48</v>
      </c>
      <c r="C52" s="54">
        <f t="shared" si="4"/>
        <v>94</v>
      </c>
      <c r="D52" s="54">
        <f>Gasoline!$H52</f>
        <v>1127.0288526075731</v>
      </c>
      <c r="F52" s="54">
        <f>Ethanol!$M66</f>
        <v>910.46182229606336</v>
      </c>
      <c r="G52" s="54">
        <f>SUM(F$4:F52)/SUM(D$4:D52)*GasolineGWI</f>
        <v>96.63839076159465</v>
      </c>
      <c r="H52" s="54">
        <f>GasolineGWI*(NPV($C$1,F$4:F52)/NPV($C$1,D$4:D52))</f>
        <v>105.45144448435974</v>
      </c>
      <c r="I52" s="54">
        <f>GasolineGWI*(NPV($D$1,F$4:F52)/NPV($D$1,D$4:D52))</f>
        <v>119.87653013228274</v>
      </c>
      <c r="K52" s="54"/>
    </row>
    <row r="53" spans="1:11">
      <c r="A53" s="161">
        <f t="shared" si="2"/>
        <v>2059</v>
      </c>
      <c r="B53" s="54">
        <f t="shared" si="3"/>
        <v>49</v>
      </c>
      <c r="C53" s="54">
        <f t="shared" si="4"/>
        <v>94</v>
      </c>
      <c r="D53" s="54">
        <f>Gasoline!$H53</f>
        <v>1117.7386490471595</v>
      </c>
      <c r="F53" s="54">
        <f>Ethanol!$M67</f>
        <v>895.13860396783548</v>
      </c>
      <c r="G53" s="54">
        <f>SUM(F$4:F53)/SUM(D$4:D53)*GasolineGWI</f>
        <v>96.195547343910306</v>
      </c>
      <c r="H53" s="54">
        <f>GasolineGWI*(NPV($C$1,F$4:F53)/NPV($C$1,D$4:D53))</f>
        <v>105.13779566640311</v>
      </c>
      <c r="I53" s="54">
        <f>GasolineGWI*(NPV($D$1,F$4:F53)/NPV($D$1,D$4:D53))</f>
        <v>119.71861508307491</v>
      </c>
      <c r="K53" s="54"/>
    </row>
    <row r="54" spans="1:11">
      <c r="A54" s="161">
        <f t="shared" si="2"/>
        <v>2060</v>
      </c>
      <c r="B54" s="54">
        <f t="shared" si="3"/>
        <v>50</v>
      </c>
      <c r="C54" s="54">
        <f t="shared" si="4"/>
        <v>94</v>
      </c>
      <c r="D54" s="54">
        <f>Gasoline!$H54</f>
        <v>1108.8034505273022</v>
      </c>
      <c r="F54" s="54">
        <f>Ethanol!$M68</f>
        <v>880.20491058705761</v>
      </c>
      <c r="G54" s="54">
        <f>SUM(F$4:F54)/SUM(D$4:D54)*GasolineGWI</f>
        <v>95.76073342175448</v>
      </c>
      <c r="H54" s="54">
        <f>GasolineGWI*(NPV($C$1,F$4:F54)/NPV($C$1,D$4:D54))</f>
        <v>104.83528377113826</v>
      </c>
      <c r="I54" s="54">
        <f>GasolineGWI*(NPV($D$1,F$4:F54)/NPV($D$1,D$4:D54))</f>
        <v>119.57104890252437</v>
      </c>
      <c r="K54" s="54"/>
    </row>
    <row r="55" spans="1:11">
      <c r="A55" s="161">
        <f t="shared" si="2"/>
        <v>2061</v>
      </c>
      <c r="B55" s="54">
        <f t="shared" si="3"/>
        <v>51</v>
      </c>
      <c r="C55" s="54">
        <f t="shared" si="4"/>
        <v>94</v>
      </c>
      <c r="D55" s="54">
        <f>Gasoline!$H55</f>
        <v>1100.2053571701767</v>
      </c>
      <c r="F55" s="54">
        <f>Ethanol!$M69</f>
        <v>865.64180756441408</v>
      </c>
      <c r="G55" s="54">
        <f>SUM(F$4:F55)/SUM(D$4:D55)*GasolineGWI</f>
        <v>95.333313430103956</v>
      </c>
      <c r="H55" s="54">
        <f>GasolineGWI*(NPV($C$1,F$4:F55)/NPV($C$1,D$4:D55))</f>
        <v>104.54322511342961</v>
      </c>
      <c r="I55" s="54">
        <f>GasolineGWI*(NPV($D$1,F$4:F55)/NPV($D$1,D$4:D55))</f>
        <v>119.433066483044</v>
      </c>
      <c r="K55" s="54"/>
    </row>
    <row r="56" spans="1:11">
      <c r="A56" s="161">
        <f t="shared" si="2"/>
        <v>2062</v>
      </c>
      <c r="B56" s="54">
        <f t="shared" si="3"/>
        <v>52</v>
      </c>
      <c r="C56" s="54">
        <f t="shared" si="4"/>
        <v>94</v>
      </c>
      <c r="D56" s="54">
        <f>Gasoline!$H56</f>
        <v>1091.9274060404116</v>
      </c>
      <c r="F56" s="54">
        <f>Ethanol!$M70</f>
        <v>851.43134716275517</v>
      </c>
      <c r="G56" s="54">
        <f>SUM(F$4:F56)/SUM(D$4:D56)*GasolineGWI</f>
        <v>94.91271637344343</v>
      </c>
      <c r="H56" s="54">
        <f>GasolineGWI*(NPV($C$1,F$4:F56)/NPV($C$1,D$4:D56))</f>
        <v>104.26100115549175</v>
      </c>
      <c r="I56" s="54">
        <f>GasolineGWI*(NPV($D$1,F$4:F56)/NPV($D$1,D$4:D56))</f>
        <v>119.3039712840345</v>
      </c>
      <c r="K56" s="54"/>
    </row>
    <row r="57" spans="1:11">
      <c r="A57" s="161">
        <f t="shared" si="2"/>
        <v>2063</v>
      </c>
      <c r="B57" s="54">
        <f t="shared" si="3"/>
        <v>53</v>
      </c>
      <c r="C57" s="54">
        <f t="shared" si="4"/>
        <v>94</v>
      </c>
      <c r="D57" s="54">
        <f>Gasoline!$H57</f>
        <v>1083.9535218928365</v>
      </c>
      <c r="F57" s="54">
        <f>Ethanol!$M71</f>
        <v>837.55651664870925</v>
      </c>
      <c r="G57" s="54">
        <f>SUM(F$4:F57)/SUM(D$4:D57)*GasolineGWI</f>
        <v>94.498427959910174</v>
      </c>
      <c r="H57" s="54">
        <f>GasolineGWI*(NPV($C$1,F$4:F57)/NPV($C$1,D$4:D57))</f>
        <v>103.98805067272895</v>
      </c>
      <c r="I57" s="54">
        <f>GasolineGWI*(NPV($D$1,F$4:F57)/NPV($D$1,D$4:D57))</f>
        <v>119.1831276582149</v>
      </c>
      <c r="K57" s="54"/>
    </row>
    <row r="58" spans="1:11">
      <c r="A58" s="161">
        <f t="shared" si="2"/>
        <v>2064</v>
      </c>
      <c r="B58" s="54">
        <f t="shared" si="3"/>
        <v>54</v>
      </c>
      <c r="C58" s="54">
        <f t="shared" si="4"/>
        <v>94</v>
      </c>
      <c r="D58" s="54">
        <f>Gasoline!$H58</f>
        <v>1076.268470511882</v>
      </c>
      <c r="F58" s="54">
        <f>Ethanol!$M72</f>
        <v>824.00118917077725</v>
      </c>
      <c r="G58" s="54">
        <f>SUM(F$4:F58)/SUM(D$4:D58)*GasolineGWI</f>
        <v>94.089983844921392</v>
      </c>
      <c r="H58" s="54">
        <f>GasolineGWI*(NPV($C$1,F$4:F58)/NPV($C$1,D$4:D58))</f>
        <v>103.72386301380917</v>
      </c>
      <c r="I58" s="54">
        <f>GasolineGWI*(NPV($D$1,F$4:F58)/NPV($D$1,D$4:D58))</f>
        <v>119.06995421666598</v>
      </c>
      <c r="K58" s="54"/>
    </row>
    <row r="59" spans="1:11">
      <c r="A59" s="161">
        <f t="shared" si="2"/>
        <v>2065</v>
      </c>
      <c r="B59" s="54">
        <f t="shared" si="3"/>
        <v>55</v>
      </c>
      <c r="C59" s="54">
        <f t="shared" si="4"/>
        <v>94</v>
      </c>
      <c r="D59" s="54">
        <f>Gasoline!$H59</f>
        <v>1068.8578145054437</v>
      </c>
      <c r="F59" s="54">
        <f>Ethanol!$M73</f>
        <v>821.26255587625906</v>
      </c>
      <c r="G59" s="54">
        <f>SUM(F$4:F59)/SUM(D$4:D59)*GasolineGWI</f>
        <v>93.703313609419268</v>
      </c>
      <c r="H59" s="54">
        <f>GasolineGWI*(NPV($C$1,F$4:F59)/NPV($C$1,D$4:D59))</f>
        <v>103.47526878381663</v>
      </c>
      <c r="I59" s="54">
        <f>GasolineGWI*(NPV($D$1,F$4:F59)/NPV($D$1,D$4:D59))</f>
        <v>118.96597027320398</v>
      </c>
      <c r="K59" s="54"/>
    </row>
    <row r="60" spans="1:11">
      <c r="A60" s="161">
        <f t="shared" si="2"/>
        <v>2066</v>
      </c>
      <c r="B60" s="54">
        <f t="shared" si="3"/>
        <v>56</v>
      </c>
      <c r="C60" s="54">
        <f t="shared" si="4"/>
        <v>94</v>
      </c>
      <c r="D60" s="54">
        <f>Gasoline!$H60</f>
        <v>1061.7078714237546</v>
      </c>
      <c r="F60" s="54">
        <f>Ethanol!$M74</f>
        <v>818.56478735133271</v>
      </c>
      <c r="G60" s="54">
        <f>SUM(F$4:F60)/SUM(D$4:D60)*GasolineGWI</f>
        <v>93.336809003418281</v>
      </c>
      <c r="H60" s="54">
        <f>GasolineGWI*(NPV($C$1,F$4:F60)/NPV($C$1,D$4:D60))</f>
        <v>103.24108819729987</v>
      </c>
      <c r="I60" s="54">
        <f>GasolineGWI*(NPV($D$1,F$4:F60)/NPV($D$1,D$4:D60))</f>
        <v>118.87036049427458</v>
      </c>
      <c r="K60" s="54"/>
    </row>
    <row r="61" spans="1:11">
      <c r="A61" s="161">
        <f t="shared" si="2"/>
        <v>2067</v>
      </c>
      <c r="B61" s="54">
        <f t="shared" si="3"/>
        <v>57</v>
      </c>
      <c r="C61" s="54">
        <f t="shared" si="4"/>
        <v>94</v>
      </c>
      <c r="D61" s="54">
        <f>Gasoline!$H61</f>
        <v>1054.8056740808233</v>
      </c>
      <c r="F61" s="54">
        <f>Ethanol!$M75</f>
        <v>815.90632940482476</v>
      </c>
      <c r="G61" s="54">
        <f>SUM(F$4:F61)/SUM(D$4:D61)*GasolineGWI</f>
        <v>92.989008387050987</v>
      </c>
      <c r="H61" s="54">
        <f>GasolineGWI*(NPV($C$1,F$4:F61)/NPV($C$1,D$4:D61))</f>
        <v>103.02025083117697</v>
      </c>
      <c r="I61" s="54">
        <f>GasolineGWI*(NPV($D$1,F$4:F61)/NPV($D$1,D$4:D61))</f>
        <v>118.78239013073932</v>
      </c>
      <c r="K61" s="54"/>
    </row>
    <row r="62" spans="1:11">
      <c r="A62" s="161">
        <f t="shared" si="2"/>
        <v>2068</v>
      </c>
      <c r="B62" s="54">
        <f t="shared" si="3"/>
        <v>58</v>
      </c>
      <c r="C62" s="54">
        <f t="shared" si="4"/>
        <v>94</v>
      </c>
      <c r="D62" s="54">
        <f>Gasoline!$H62</f>
        <v>1048.1389329625326</v>
      </c>
      <c r="F62" s="54">
        <f>Ethanol!$M76</f>
        <v>813.28570615166007</v>
      </c>
      <c r="G62" s="54">
        <f>SUM(F$4:F62)/SUM(D$4:D62)*GasolineGWI</f>
        <v>92.658580873087317</v>
      </c>
      <c r="H62" s="54">
        <f>GasolineGWI*(NPV($C$1,F$4:F62)/NPV($C$1,D$4:D62))</f>
        <v>102.81178371658497</v>
      </c>
      <c r="I62" s="54">
        <f>GasolineGWI*(NPV($D$1,F$4:F62)/NPV($D$1,D$4:D62))</f>
        <v>118.70139605900317</v>
      </c>
      <c r="K62" s="54"/>
    </row>
    <row r="63" spans="1:11">
      <c r="A63" s="161">
        <f t="shared" si="2"/>
        <v>2069</v>
      </c>
      <c r="B63" s="54">
        <f t="shared" si="3"/>
        <v>59</v>
      </c>
      <c r="C63" s="54">
        <f t="shared" si="4"/>
        <v>94</v>
      </c>
      <c r="D63" s="54">
        <f>Gasoline!$H63</f>
        <v>1041.6960006116315</v>
      </c>
      <c r="F63" s="54">
        <f>Ethanol!$M77</f>
        <v>810.70151591441891</v>
      </c>
      <c r="G63" s="54">
        <f>SUM(F$4:F63)/SUM(D$4:D63)*GasolineGWI</f>
        <v>92.34431246243409</v>
      </c>
      <c r="H63" s="54">
        <f>GasolineGWI*(NPV($C$1,F$4:F63)/NPV($C$1,D$4:D63))</f>
        <v>102.61480091846407</v>
      </c>
      <c r="I63" s="54">
        <f>GasolineGWI*(NPV($D$1,F$4:F63)/NPV($D$1,D$4:D63))</f>
        <v>118.62677894205606</v>
      </c>
      <c r="K63" s="54"/>
    </row>
    <row r="64" spans="1:11">
      <c r="A64" s="161">
        <f t="shared" si="2"/>
        <v>2070</v>
      </c>
      <c r="B64" s="54">
        <f t="shared" si="3"/>
        <v>60</v>
      </c>
      <c r="C64" s="54">
        <f t="shared" si="4"/>
        <v>94</v>
      </c>
      <c r="D64" s="54">
        <f>Gasoline!$H64</f>
        <v>1035.4658378856366</v>
      </c>
      <c r="F64" s="54">
        <f>Ethanol!$M78</f>
        <v>808.15242734032142</v>
      </c>
      <c r="G64" s="54">
        <f>SUM(F$4:F64)/SUM(D$4:D64)*GasolineGWI</f>
        <v>92.045093886918337</v>
      </c>
      <c r="H64" s="54">
        <f>GasolineGWI*(NPV($C$1,F$4:F64)/NPV($C$1,D$4:D64))</f>
        <v>102.42849439254751</v>
      </c>
      <c r="I64" s="54">
        <f>GasolineGWI*(NPV($D$1,F$4:F64)/NPV($D$1,D$4:D64))</f>
        <v>118.5579963539555</v>
      </c>
      <c r="K64" s="54"/>
    </row>
    <row r="65" spans="1:11">
      <c r="A65" s="161">
        <f t="shared" si="2"/>
        <v>2071</v>
      </c>
      <c r="B65" s="54">
        <f t="shared" si="3"/>
        <v>61</v>
      </c>
      <c r="C65" s="54">
        <f t="shared" si="4"/>
        <v>94</v>
      </c>
      <c r="D65" s="54">
        <f>Gasoline!$H65</f>
        <v>1029.4379819891444</v>
      </c>
      <c r="F65" s="54">
        <f>Ethanol!$M79</f>
        <v>805.63717572231417</v>
      </c>
      <c r="G65" s="54">
        <f>SUM(F$4:F65)/SUM(D$4:D65)*GasolineGWI</f>
        <v>91.759909919554104</v>
      </c>
      <c r="H65" s="54">
        <f>GasolineGWI*(NPV($C$1,F$4:F65)/NPV($C$1,D$4:D65))</f>
        <v>102.2521259426678</v>
      </c>
      <c r="I65" s="54">
        <f>GasolineGWI*(NPV($D$1,F$4:F65)/NPV($D$1,D$4:D65))</f>
        <v>118.49455673553261</v>
      </c>
      <c r="K65" s="54"/>
    </row>
    <row r="66" spans="1:11">
      <c r="A66" s="161">
        <f t="shared" si="2"/>
        <v>2072</v>
      </c>
      <c r="B66" s="54">
        <f t="shared" si="3"/>
        <v>62</v>
      </c>
      <c r="C66" s="54">
        <f t="shared" si="4"/>
        <v>94</v>
      </c>
      <c r="D66" s="54">
        <f>Gasoline!$H66</f>
        <v>1023.6025161872282</v>
      </c>
      <c r="F66" s="54">
        <f>Ethanol!$M80</f>
        <v>803.15455951352078</v>
      </c>
      <c r="G66" s="54">
        <f>SUM(F$4:F66)/SUM(D$4:D66)*GasolineGWI</f>
        <v>91.487829950250088</v>
      </c>
      <c r="H66" s="54">
        <f>GasolineGWI*(NPV($C$1,F$4:F66)/NPV($C$1,D$4:D66))</f>
        <v>102.08502012872998</v>
      </c>
      <c r="I66" s="54">
        <f>GasolineGWI*(NPV($D$1,F$4:F66)/NPV($D$1,D$4:D66))</f>
        <v>118.43601406921809</v>
      </c>
      <c r="K66" s="54"/>
    </row>
    <row r="67" spans="1:11">
      <c r="A67" s="161">
        <f t="shared" si="2"/>
        <v>2073</v>
      </c>
      <c r="B67" s="54">
        <f t="shared" si="3"/>
        <v>63</v>
      </c>
      <c r="C67" s="54">
        <f t="shared" si="4"/>
        <v>94</v>
      </c>
      <c r="D67" s="54">
        <f>Gasoline!$H67</f>
        <v>1017.9500411115123</v>
      </c>
      <c r="F67" s="54">
        <f>Ethanol!$M81</f>
        <v>800.70343702489265</v>
      </c>
      <c r="G67" s="54">
        <f>SUM(F$4:F67)/SUM(D$4:D67)*GasolineGWI</f>
        <v>91.227999656110597</v>
      </c>
      <c r="H67" s="54">
        <f>GasolineGWI*(NPV($C$1,F$4:F67)/NPV($C$1,D$4:D67))</f>
        <v>101.92655799844768</v>
      </c>
      <c r="I67" s="54">
        <f>GasolineGWI*(NPV($D$1,F$4:F67)/NPV($D$1,D$4:D67))</f>
        <v>118.38196317763281</v>
      </c>
      <c r="K67" s="54"/>
    </row>
    <row r="68" spans="1:11">
      <c r="A68" s="161">
        <f t="shared" si="2"/>
        <v>2074</v>
      </c>
      <c r="B68" s="54">
        <f t="shared" ref="B68:B99" si="5">A68-A$4</f>
        <v>64</v>
      </c>
      <c r="C68" s="54">
        <f t="shared" ref="C68:C104" si="6">GasolineGWI</f>
        <v>94</v>
      </c>
      <c r="D68" s="54">
        <f>Gasoline!$H68</f>
        <v>1012.4716475751627</v>
      </c>
      <c r="F68" s="54">
        <f>Ethanol!$M82</f>
        <v>798.28272329642243</v>
      </c>
      <c r="G68" s="54">
        <f>SUM(F$4:F68)/SUM(D$4:D68)*GasolineGWI</f>
        <v>90.979633621356257</v>
      </c>
      <c r="H68" s="54">
        <f>GasolineGWI*(NPV($C$1,F$4:F68)/NPV($C$1,D$4:D68))</f>
        <v>101.77617153486378</v>
      </c>
      <c r="I68" s="54">
        <f>GasolineGWI*(NPV($D$1,F$4:F68)/NPV($D$1,D$4:D68))</f>
        <v>118.33203556458164</v>
      </c>
      <c r="K68" s="54"/>
    </row>
    <row r="69" spans="1:11">
      <c r="A69" s="161">
        <f t="shared" si="2"/>
        <v>2075</v>
      </c>
      <c r="B69" s="54">
        <f t="shared" si="5"/>
        <v>65</v>
      </c>
      <c r="C69" s="54">
        <f t="shared" si="6"/>
        <v>94</v>
      </c>
      <c r="D69" s="54">
        <f>Gasoline!$H69</f>
        <v>1007.1588908174377</v>
      </c>
      <c r="F69" s="54">
        <f>Ethanol!$M83</f>
        <v>795.89138713279351</v>
      </c>
      <c r="G69" s="54">
        <f>SUM(F$4:F69)/SUM(D$4:D69)*GasolineGWI</f>
        <v>90.742008783435196</v>
      </c>
      <c r="H69" s="54">
        <f>GasolineGWI*(NPV($C$1,F$4:F69)/NPV($C$1,D$4:D69))</f>
        <v>101.63333872748619</v>
      </c>
      <c r="I69" s="54">
        <f>GasolineGWI*(NPV($D$1,F$4:F69)/NPV($D$1,D$4:D69))</f>
        <v>118.28589572882724</v>
      </c>
      <c r="K69" s="54"/>
    </row>
    <row r="70" spans="1:11">
      <c r="A70" s="161">
        <f t="shared" ref="A70:A104" si="7">A69+1</f>
        <v>2076</v>
      </c>
      <c r="B70" s="54">
        <f t="shared" si="5"/>
        <v>66</v>
      </c>
      <c r="C70" s="54">
        <f t="shared" si="6"/>
        <v>94</v>
      </c>
      <c r="D70" s="54">
        <f>Gasoline!$H70</f>
        <v>1002.0037661026159</v>
      </c>
      <c r="F70" s="54">
        <f>Ethanol!$M84</f>
        <v>793.52844829482012</v>
      </c>
      <c r="G70" s="54">
        <f>SUM(F$4:F70)/SUM(D$4:D70)*GasolineGWI</f>
        <v>90.514458599900749</v>
      </c>
      <c r="H70" s="54">
        <f>GasolineGWI*(NPV($C$1,F$4:F70)/NPV($C$1,D$4:D70))</f>
        <v>101.49757918811959</v>
      </c>
      <c r="I70" s="54">
        <f>GasolineGWI*(NPV($D$1,F$4:F70)/NPV($D$1,D$4:D70))</f>
        <v>118.2432378908954</v>
      </c>
      <c r="K70" s="54"/>
    </row>
    <row r="71" spans="1:11">
      <c r="A71" s="161">
        <f t="shared" si="7"/>
        <v>2077</v>
      </c>
      <c r="B71" s="54">
        <f t="shared" si="5"/>
        <v>67</v>
      </c>
      <c r="C71" s="54">
        <f t="shared" si="6"/>
        <v>94</v>
      </c>
      <c r="D71" s="54">
        <f>Gasoline!$H71</f>
        <v>996.99868560207653</v>
      </c>
      <c r="F71" s="54">
        <f>Ethanol!$M85</f>
        <v>791.192974838483</v>
      </c>
      <c r="G71" s="54">
        <f>SUM(F$4:F71)/SUM(D$4:D71)*GasolineGWI</f>
        <v>90.296367845731837</v>
      </c>
      <c r="H71" s="54">
        <f>GasolineGWI*(NPV($C$1,F$4:F71)/NPV($C$1,D$4:D71))</f>
        <v>101.36845024362023</v>
      </c>
      <c r="I71" s="54">
        <f>GasolineGWI*(NPV($D$1,F$4:F71)/NPV($D$1,D$4:D71))</f>
        <v>118.20378308150336</v>
      </c>
      <c r="K71" s="54"/>
    </row>
    <row r="72" spans="1:11">
      <c r="A72" s="161">
        <f t="shared" si="7"/>
        <v>2078</v>
      </c>
      <c r="B72" s="54">
        <f t="shared" si="5"/>
        <v>68</v>
      </c>
      <c r="C72" s="54">
        <f t="shared" si="6"/>
        <v>94</v>
      </c>
      <c r="D72" s="54">
        <f>Gasoline!$H72</f>
        <v>992.13645649204591</v>
      </c>
      <c r="F72" s="54">
        <f>Ethanol!$M86</f>
        <v>788.88408059380015</v>
      </c>
      <c r="G72" s="54">
        <f>SUM(F$4:F72)/SUM(D$4:D72)*GasolineGWI</f>
        <v>90.087167963479473</v>
      </c>
      <c r="H72" s="54">
        <f>GasolineGWI*(NPV($C$1,F$4:F72)/NPV($C$1,D$4:D72))</f>
        <v>101.24554344720787</v>
      </c>
      <c r="I72" s="54">
        <f>GasolineGWI*(NPV($D$1,F$4:F72)/NPV($D$1,D$4:D72))</f>
        <v>118.16727654726159</v>
      </c>
      <c r="K72" s="54"/>
    </row>
    <row r="73" spans="1:11">
      <c r="A73" s="161">
        <f t="shared" si="7"/>
        <v>2079</v>
      </c>
      <c r="B73" s="54">
        <f t="shared" si="5"/>
        <v>69</v>
      </c>
      <c r="C73" s="54">
        <f t="shared" si="6"/>
        <v>94</v>
      </c>
      <c r="D73" s="54">
        <f>Gasoline!$H73</f>
        <v>987.41026020308118</v>
      </c>
      <c r="F73" s="54">
        <f>Ethanol!$M87</f>
        <v>786.60092277617946</v>
      </c>
      <c r="G73" s="54">
        <f>SUM(F$4:F73)/SUM(D$4:D73)*GasolineGWI</f>
        <v>89.886332899352666</v>
      </c>
      <c r="H73" s="54">
        <f>GasolineGWI*(NPV($C$1,F$4:F73)/NPV($C$1,D$4:D73))</f>
        <v>101.12848145793133</v>
      </c>
      <c r="I73" s="54">
        <f>GasolineGWI*(NPV($D$1,F$4:F73)/NPV($D$1,D$4:D73))</f>
        <v>118.13348543529847</v>
      </c>
      <c r="K73" s="54"/>
    </row>
    <row r="74" spans="1:11">
      <c r="A74" s="161">
        <f t="shared" si="7"/>
        <v>2080</v>
      </c>
      <c r="B74" s="54">
        <f t="shared" si="5"/>
        <v>70</v>
      </c>
      <c r="C74" s="54">
        <f t="shared" si="6"/>
        <v>94</v>
      </c>
      <c r="D74" s="54">
        <f>Gasoline!$H74</f>
        <v>982.81363276071818</v>
      </c>
      <c r="F74" s="54">
        <f>Ethanol!$M88</f>
        <v>784.34269972328639</v>
      </c>
      <c r="G74" s="54">
        <f>SUM(F$4:F74)/SUM(D$4:D74)*GasolineGWI</f>
        <v>89.693375367442911</v>
      </c>
      <c r="H74" s="54">
        <f>GasolineGWI*(NPV($C$1,F$4:F74)/NPV($C$1,D$4:D74))</f>
        <v>101.0169152446492</v>
      </c>
      <c r="I74" s="54">
        <f>GasolineGWI*(NPV($D$1,F$4:F74)/NPV($D$1,D$4:D74))</f>
        <v>118.1021967235654</v>
      </c>
      <c r="K74" s="54"/>
    </row>
    <row r="75" spans="1:11">
      <c r="A75" s="161">
        <f t="shared" si="7"/>
        <v>2081</v>
      </c>
      <c r="B75" s="54">
        <f t="shared" si="5"/>
        <v>71</v>
      </c>
      <c r="C75" s="54">
        <f t="shared" si="6"/>
        <v>94</v>
      </c>
      <c r="D75" s="54">
        <f>Gasoline!$H75</f>
        <v>978.34044615989956</v>
      </c>
      <c r="F75" s="54">
        <f>Ethanol!$M89</f>
        <v>782.1086487508245</v>
      </c>
      <c r="G75" s="54">
        <f>SUM(F$4:F75)/SUM(D$4:D75)*GasolineGWI</f>
        <v>89.507843492008149</v>
      </c>
      <c r="H75" s="54">
        <f>GasolineGWI*(NPV($C$1,F$4:F75)/NPV($C$1,D$4:D75))</f>
        <v>100.91052157664623</v>
      </c>
      <c r="I75" s="54">
        <f>GasolineGWI*(NPV($D$1,F$4:F75)/NPV($D$1,D$4:D75))</f>
        <v>118.07321536794315</v>
      </c>
      <c r="K75" s="54"/>
    </row>
    <row r="76" spans="1:11">
      <c r="A76" s="161">
        <f t="shared" si="7"/>
        <v>2082</v>
      </c>
      <c r="B76" s="54">
        <f t="shared" si="5"/>
        <v>72</v>
      </c>
      <c r="C76" s="54">
        <f t="shared" si="6"/>
        <v>94</v>
      </c>
      <c r="D76" s="54">
        <f>Gasoline!$H76</f>
        <v>973.98489071881363</v>
      </c>
      <c r="F76" s="54">
        <f>Ethanol!$M90</f>
        <v>779.89804412097885</v>
      </c>
      <c r="G76" s="54">
        <f>SUM(F$4:F76)/SUM(D$4:D76)*GasolineGWI</f>
        <v>89.329317784313091</v>
      </c>
      <c r="H76" s="54">
        <f>GasolineGWI*(NPV($C$1,F$4:F76)/NPV($C$1,D$4:D76))</f>
        <v>100.80900076792751</v>
      </c>
      <c r="I76" s="54">
        <f>GasolineGWI*(NPV($D$1,F$4:F76)/NPV($D$1,D$4:D76))</f>
        <v>118.04636264100657</v>
      </c>
      <c r="K76" s="54"/>
    </row>
    <row r="77" spans="1:11">
      <c r="A77" s="161">
        <f t="shared" si="7"/>
        <v>2083</v>
      </c>
      <c r="B77" s="54">
        <f t="shared" si="5"/>
        <v>73</v>
      </c>
      <c r="C77" s="54">
        <f t="shared" si="6"/>
        <v>94</v>
      </c>
      <c r="D77" s="54">
        <f>Gasoline!$H77</f>
        <v>969.74145836064065</v>
      </c>
      <c r="F77" s="54">
        <f>Ethanol!$M91</f>
        <v>777.71019511759448</v>
      </c>
      <c r="G77" s="54">
        <f>SUM(F$4:F77)/SUM(D$4:D77)*GasolineGWI</f>
        <v>89.157408416144989</v>
      </c>
      <c r="H77" s="54">
        <f>GasolineGWI*(NPV($C$1,F$4:F77)/NPV($C$1,D$4:D77))</f>
        <v>100.71207464644708</v>
      </c>
      <c r="I77" s="54">
        <f>GasolineGWI*(NPV($D$1,F$4:F77)/NPV($D$1,D$4:D77))</f>
        <v>118.02147464051394</v>
      </c>
      <c r="K77" s="54"/>
    </row>
    <row r="78" spans="1:11">
      <c r="A78" s="161">
        <f t="shared" si="7"/>
        <v>2084</v>
      </c>
      <c r="B78" s="54">
        <f t="shared" si="5"/>
        <v>74</v>
      </c>
      <c r="C78" s="54">
        <f t="shared" si="6"/>
        <v>94</v>
      </c>
      <c r="D78" s="54">
        <f>Gasoline!$H78</f>
        <v>965.60492677440163</v>
      </c>
      <c r="F78" s="54">
        <f>Ethanol!$M92</f>
        <v>775.54444422248048</v>
      </c>
      <c r="G78" s="54">
        <f>SUM(F$4:F78)/SUM(D$4:D78)*GasolineGWI</f>
        <v>88.991752756938638</v>
      </c>
      <c r="H78" s="54">
        <f>GasolineGWI*(NPV($C$1,F$4:F78)/NPV($C$1,D$4:D78))</f>
        <v>100.61948472314727</v>
      </c>
      <c r="I78" s="54">
        <f>GasolineGWI*(NPV($D$1,F$4:F78)/NPV($D$1,D$4:D78))</f>
        <v>117.99840094844552</v>
      </c>
      <c r="K78" s="54"/>
    </row>
    <row r="79" spans="1:11">
      <c r="A79" s="161">
        <f t="shared" si="7"/>
        <v>2085</v>
      </c>
      <c r="B79" s="54">
        <f t="shared" si="5"/>
        <v>75</v>
      </c>
      <c r="C79" s="54">
        <f t="shared" si="6"/>
        <v>94</v>
      </c>
      <c r="D79" s="54">
        <f>Gasoline!$H79</f>
        <v>961.5703444086821</v>
      </c>
      <c r="F79" s="54">
        <f>Ethanol!$M93</f>
        <v>773.40016538751831</v>
      </c>
      <c r="G79" s="54">
        <f>SUM(F$4:F79)/SUM(D$4:D79)*GasolineGWI</f>
        <v>88.832013145581996</v>
      </c>
      <c r="H79" s="54">
        <f>GasolineGWI*(NPV($C$1,F$4:F79)/NPV($C$1,D$4:D79))</f>
        <v>100.53099053880176</v>
      </c>
      <c r="I79" s="54">
        <f>GasolineGWI*(NPV($D$1,F$4:F79)/NPV($D$1,D$4:D79))</f>
        <v>117.97700342379896</v>
      </c>
      <c r="K79" s="54"/>
    </row>
    <row r="80" spans="1:11">
      <c r="A80" s="161">
        <f t="shared" si="7"/>
        <v>2086</v>
      </c>
      <c r="B80" s="54">
        <f t="shared" si="5"/>
        <v>76</v>
      </c>
      <c r="C80" s="54">
        <f t="shared" si="6"/>
        <v>94</v>
      </c>
      <c r="D80" s="54">
        <f>Gasoline!$H80</f>
        <v>957.63301625442637</v>
      </c>
      <c r="F80" s="54">
        <f>Ethanol!$M94</f>
        <v>771.27676239753998</v>
      </c>
      <c r="G80" s="54">
        <f>SUM(F$4:F80)/SUM(D$4:D80)*GasolineGWI</f>
        <v>88.677874871537185</v>
      </c>
      <c r="H80" s="54">
        <f>GasolineGWI*(NPV($C$1,F$4:F80)/NPV($C$1,D$4:D80))</f>
        <v>100.44636816934495</v>
      </c>
      <c r="I80" s="54">
        <f>GasolineGWI*(NPV($D$1,F$4:F80)/NPV($D$1,D$4:D80))</f>
        <v>117.95715511440636</v>
      </c>
      <c r="K80" s="54"/>
    </row>
    <row r="81" spans="1:11">
      <c r="A81" s="161">
        <f t="shared" si="7"/>
        <v>2087</v>
      </c>
      <c r="B81" s="54">
        <f t="shared" si="5"/>
        <v>77</v>
      </c>
      <c r="C81" s="54">
        <f t="shared" si="6"/>
        <v>94</v>
      </c>
      <c r="D81" s="54">
        <f>Gasoline!$H81</f>
        <v>953.78849037530631</v>
      </c>
      <c r="F81" s="54">
        <f>Ethanol!$M95</f>
        <v>769.17366731920083</v>
      </c>
      <c r="G81" s="54">
        <f>SUM(F$4:F81)/SUM(D$4:D81)*GasolineGWI</f>
        <v>88.52904434298749</v>
      </c>
      <c r="H81" s="54">
        <f>GasolineGWI*(NPV($C$1,F$4:F81)/NPV($C$1,D$4:D81))</f>
        <v>100.36540887269888</v>
      </c>
      <c r="I81" s="54">
        <f>GasolineGWI*(NPV($D$1,F$4:F81)/NPV($D$1,D$4:D81))</f>
        <v>117.93873927482049</v>
      </c>
      <c r="K81" s="54"/>
    </row>
    <row r="82" spans="1:11">
      <c r="A82" s="161">
        <f t="shared" si="7"/>
        <v>2088</v>
      </c>
      <c r="B82" s="54">
        <f t="shared" si="5"/>
        <v>78</v>
      </c>
      <c r="C82" s="54">
        <f t="shared" si="6"/>
        <v>94</v>
      </c>
      <c r="D82" s="54">
        <f>Gasoline!$H82</f>
        <v>950.03254514634784</v>
      </c>
      <c r="F82" s="54">
        <f>Ethanol!$M96</f>
        <v>767.09033903132467</v>
      </c>
      <c r="G82" s="54">
        <f>SUM(F$4:F82)/SUM(D$4:D82)*GasolineGWI</f>
        <v>88.38524742238468</v>
      </c>
      <c r="H82" s="54">
        <f>GasolineGWI*(NPV($C$1,F$4:F82)/NPV($C$1,D$4:D82))</f>
        <v>100.28791786212548</v>
      </c>
      <c r="I82" s="54">
        <f>GasolineGWI*(NPV($D$1,F$4:F82)/NPV($D$1,D$4:D82))</f>
        <v>117.92164847886654</v>
      </c>
      <c r="K82" s="54"/>
    </row>
    <row r="83" spans="1:11">
      <c r="A83" s="161">
        <f t="shared" si="7"/>
        <v>2089</v>
      </c>
      <c r="B83" s="54">
        <f t="shared" si="5"/>
        <v>79</v>
      </c>
      <c r="C83" s="54">
        <f t="shared" si="6"/>
        <v>94</v>
      </c>
      <c r="D83" s="54">
        <f>Gasoline!$H83</f>
        <v>946.36117716357046</v>
      </c>
      <c r="F83" s="54">
        <f>Ethanol!$M97</f>
        <v>765.02626183244001</v>
      </c>
      <c r="G83" s="54">
        <f>SUM(F$4:F83)/SUM(D$4:D83)*GasolineGWI</f>
        <v>88.24622791208013</v>
      </c>
      <c r="H83" s="54">
        <f>GasolineGWI*(NPV($C$1,F$4:F83)/NPV($C$1,D$4:D83))</f>
        <v>100.21371319288779</v>
      </c>
      <c r="I83" s="54">
        <f>GasolineGWI*(NPV($D$1,F$4:F83)/NPV($D$1,D$4:D83))</f>
        <v>117.90578381680069</v>
      </c>
      <c r="K83" s="54"/>
    </row>
    <row r="84" spans="1:11">
      <c r="A84" s="161">
        <f t="shared" si="7"/>
        <v>2090</v>
      </c>
      <c r="B84" s="54">
        <f t="shared" si="5"/>
        <v>80</v>
      </c>
      <c r="C84" s="54">
        <f t="shared" si="6"/>
        <v>94</v>
      </c>
      <c r="D84" s="54">
        <f>Gasoline!$H84</f>
        <v>942.77058978934633</v>
      </c>
      <c r="F84" s="54">
        <f>Ethanol!$M98</f>
        <v>762.98094412144428</v>
      </c>
      <c r="G84" s="54">
        <f>SUM(F$4:F84)/SUM(D$4:D84)*GasolineGWI</f>
        <v>88.111746174732062</v>
      </c>
      <c r="H84" s="54">
        <f>GasolineGWI*(NPV($C$1,F$4:F84)/NPV($C$1,D$4:D84))</f>
        <v>100.14262475053052</v>
      </c>
      <c r="I84" s="54">
        <f>GasolineGWI*(NPV($D$1,F$4:F84)/NPV($D$1,D$4:D84))</f>
        <v>117.89105416819</v>
      </c>
      <c r="K84" s="54"/>
    </row>
    <row r="85" spans="1:11">
      <c r="A85" s="161">
        <f t="shared" si="7"/>
        <v>2091</v>
      </c>
      <c r="B85" s="54">
        <f t="shared" si="5"/>
        <v>81</v>
      </c>
      <c r="C85" s="54">
        <f t="shared" si="6"/>
        <v>94</v>
      </c>
      <c r="D85" s="54">
        <f>Gasoline!$H85</f>
        <v>939.2571823000518</v>
      </c>
      <c r="F85" s="54">
        <f>Ethanol!$M99</f>
        <v>760.95391714755283</v>
      </c>
      <c r="G85" s="54">
        <f>SUM(F$4:F85)/SUM(D$4:D85)*GasolineGWI</f>
        <v>87.981577874930423</v>
      </c>
      <c r="H85" s="54">
        <f>GasolineGWI*(NPV($C$1,F$4:F85)/NPV($C$1,D$4:D85))</f>
        <v>100.07449333042416</v>
      </c>
      <c r="I85" s="54">
        <f>GasolineGWI*(NPV($D$1,F$4:F85)/NPV($D$1,D$4:D85))</f>
        <v>117.87737554265233</v>
      </c>
      <c r="K85" s="54"/>
    </row>
    <row r="86" spans="1:11">
      <c r="A86" s="161">
        <f t="shared" si="7"/>
        <v>2092</v>
      </c>
      <c r="B86" s="54">
        <f t="shared" si="5"/>
        <v>82</v>
      </c>
      <c r="C86" s="54">
        <f t="shared" si="6"/>
        <v>94</v>
      </c>
      <c r="D86" s="54">
        <f>Gasoline!$H86</f>
        <v>935.81753960433207</v>
      </c>
      <c r="F86" s="54">
        <f>Ethanol!$M100</f>
        <v>758.94473382589172</v>
      </c>
      <c r="G86" s="54">
        <f>SUM(F$4:F86)/SUM(D$4:D86)*GasolineGWI</f>
        <v>87.855512830010269</v>
      </c>
      <c r="H86" s="54">
        <f>GasolineGWI*(NPV($C$1,F$4:F86)/NPV($C$1,D$4:D86))</f>
        <v>100.00916979938296</v>
      </c>
      <c r="I86" s="54">
        <f>GasolineGWI*(NPV($D$1,F$4:F86)/NPV($D$1,D$4:D86))</f>
        <v>117.86467048149039</v>
      </c>
      <c r="K86" s="54"/>
    </row>
    <row r="87" spans="1:11">
      <c r="A87" s="161">
        <f t="shared" si="7"/>
        <v>2093</v>
      </c>
      <c r="B87" s="54">
        <f t="shared" si="5"/>
        <v>83</v>
      </c>
      <c r="C87" s="54">
        <f t="shared" si="6"/>
        <v>94</v>
      </c>
      <c r="D87" s="54">
        <f>Gasoline!$H87</f>
        <v>932.44842250197269</v>
      </c>
      <c r="F87" s="54">
        <f>Ethanol!$M101</f>
        <v>756.95296761527754</v>
      </c>
      <c r="G87" s="54">
        <f>SUM(F$4:F87)/SUM(D$4:D87)*GasolineGWI</f>
        <v>87.733353959360244</v>
      </c>
      <c r="H87" s="54">
        <f>GasolineGWI*(NPV($C$1,F$4:F87)/NPV($C$1,D$4:D87))</f>
        <v>99.946514331188823</v>
      </c>
      <c r="I87" s="54">
        <f>GasolineGWI*(NPV($D$1,F$4:F87)/NPV($D$1,D$4:D87))</f>
        <v>117.85286751403788</v>
      </c>
      <c r="K87" s="54"/>
    </row>
    <row r="88" spans="1:11">
      <c r="A88" s="161">
        <f t="shared" si="7"/>
        <v>2094</v>
      </c>
      <c r="B88" s="54">
        <f t="shared" si="5"/>
        <v>84</v>
      </c>
      <c r="C88" s="54">
        <f t="shared" si="6"/>
        <v>94</v>
      </c>
      <c r="D88" s="54">
        <f>Gasoline!$H88</f>
        <v>929.14675845494696</v>
      </c>
      <c r="F88" s="54">
        <f>Ethanol!$M102</f>
        <v>754.97821145491844</v>
      </c>
      <c r="G88" s="54">
        <f>SUM(F$4:F88)/SUM(D$4:D88)*GasolineGWI</f>
        <v>87.614916322705611</v>
      </c>
      <c r="H88" s="54">
        <f>GasolineGWI*(NPV($C$1,F$4:F88)/NPV($C$1,D$4:D88))</f>
        <v>99.886395708750257</v>
      </c>
      <c r="I88" s="54">
        <f>GasolineGWI*(NPV($D$1,F$4:F88)/NPV($D$1,D$4:D88))</f>
        <v>117.84190066322424</v>
      </c>
      <c r="K88" s="54"/>
    </row>
    <row r="89" spans="1:11">
      <c r="A89" s="161">
        <f t="shared" si="7"/>
        <v>2095</v>
      </c>
      <c r="B89" s="54">
        <f t="shared" si="5"/>
        <v>85</v>
      </c>
      <c r="C89" s="54">
        <f t="shared" si="6"/>
        <v>94</v>
      </c>
      <c r="D89" s="54">
        <f>Gasoline!$H89</f>
        <v>925.90963284370355</v>
      </c>
      <c r="F89" s="54">
        <f>Ethanol!$M103</f>
        <v>753.02007675693687</v>
      </c>
      <c r="G89" s="54">
        <f>SUM(F$4:F89)/SUM(D$4:D89)*GasolineGWI</f>
        <v>87.500026238874923</v>
      </c>
      <c r="H89" s="54">
        <f>GasolineGWI*(NPV($C$1,F$4:F89)/NPV($C$1,D$4:D89))</f>
        <v>99.828690686413978</v>
      </c>
      <c r="I89" s="54">
        <f>GasolineGWI*(NPV($D$1,F$4:F89)/NPV($D$1,D$4:D89))</f>
        <v>117.83170899546948</v>
      </c>
      <c r="K89" s="54"/>
    </row>
    <row r="90" spans="1:11">
      <c r="A90" s="161">
        <f t="shared" si="7"/>
        <v>2096</v>
      </c>
      <c r="B90" s="54">
        <f t="shared" si="5"/>
        <v>86</v>
      </c>
      <c r="C90" s="54">
        <f t="shared" si="6"/>
        <v>94</v>
      </c>
      <c r="D90" s="54">
        <f>Gasoline!$H90</f>
        <v>922.73428068317571</v>
      </c>
      <c r="F90" s="54">
        <f>Ethanol!$M104</f>
        <v>751.07819245177825</v>
      </c>
      <c r="G90" s="54">
        <f>SUM(F$4:F90)/SUM(D$4:D90)*GasolineGWI</f>
        <v>87.388520477465306</v>
      </c>
      <c r="H90" s="54">
        <f>GasolineGWI*(NPV($C$1,F$4:F90)/NPV($C$1,D$4:D90))</f>
        <v>99.773283406642364</v>
      </c>
      <c r="I90" s="54">
        <f>GasolineGWI*(NPV($D$1,F$4:F90)/NPV($D$1,D$4:D90))</f>
        <v>117.82223621055235</v>
      </c>
      <c r="K90" s="54"/>
    </row>
    <row r="91" spans="1:11">
      <c r="A91" s="161">
        <f t="shared" si="7"/>
        <v>2097</v>
      </c>
      <c r="B91" s="54">
        <f t="shared" si="5"/>
        <v>87</v>
      </c>
      <c r="C91" s="54">
        <f t="shared" si="6"/>
        <v>94</v>
      </c>
      <c r="D91" s="54">
        <f>Gasoline!$H91</f>
        <v>919.6180787743358</v>
      </c>
      <c r="F91" s="54">
        <f>Ethanol!$M105</f>
        <v>749.15220408372613</v>
      </c>
      <c r="G91" s="54">
        <f>SUM(F$4:F91)/SUM(D$4:D91)*GasolineGWI</f>
        <v>87.280245516620596</v>
      </c>
      <c r="H91" s="54">
        <f>GasolineGWI*(NPV($C$1,F$4:F91)/NPV($C$1,D$4:D91))</f>
        <v>99.720064865882605</v>
      </c>
      <c r="I91" s="54">
        <f>GasolineGWI*(NPV($D$1,F$4:F91)/NPV($D$1,D$4:D91))</f>
        <v>117.81343026756491</v>
      </c>
      <c r="K91" s="54"/>
    </row>
    <row r="92" spans="1:11">
      <c r="A92" s="161">
        <f t="shared" si="7"/>
        <v>2098</v>
      </c>
      <c r="B92" s="54">
        <f t="shared" si="5"/>
        <v>88</v>
      </c>
      <c r="C92" s="54">
        <f t="shared" si="6"/>
        <v>94</v>
      </c>
      <c r="D92" s="54">
        <f>Gasoline!$H92</f>
        <v>916.55853826838847</v>
      </c>
      <c r="F92" s="54">
        <f>Ethanol!$M106</f>
        <v>747.24177295388745</v>
      </c>
      <c r="G92" s="54">
        <f>SUM(F$4:F92)/SUM(D$4:D92)*GasolineGWI</f>
        <v>87.175056860842048</v>
      </c>
      <c r="H92" s="54">
        <f>GasolineGWI*(NPV($C$1,F$4:F92)/NPV($C$1,D$4:D92))</f>
        <v>99.668932424995575</v>
      </c>
      <c r="I92" s="54">
        <f>GasolineGWI*(NPV($D$1,F$4:F92)/NPV($D$1,D$4:D92))</f>
        <v>117.80524304348019</v>
      </c>
      <c r="K92" s="54"/>
    </row>
    <row r="93" spans="1:11">
      <c r="A93" s="161">
        <f t="shared" si="7"/>
        <v>2099</v>
      </c>
      <c r="B93" s="54">
        <f t="shared" si="5"/>
        <v>89</v>
      </c>
      <c r="C93" s="54">
        <f t="shared" si="6"/>
        <v>94</v>
      </c>
      <c r="D93" s="54">
        <f>Gasoline!$H93</f>
        <v>913.55329762190445</v>
      </c>
      <c r="F93" s="54">
        <f>Ethanol!$M107</f>
        <v>745.34657530815377</v>
      </c>
      <c r="G93" s="54">
        <f>SUM(F$4:F93)/SUM(D$4:D93)*GasolineGWI</f>
        <v>87.072818413375515</v>
      </c>
      <c r="H93" s="54">
        <f>GasolineGWI*(NPV($C$1,F$4:F93)/NPV($C$1,D$4:D93))</f>
        <v>99.619789360092668</v>
      </c>
      <c r="I93" s="54">
        <f>GasolineGWI*(NPV($D$1,F$4:F93)/NPV($D$1,D$4:D93))</f>
        <v>117.79763002122635</v>
      </c>
      <c r="K93" s="54"/>
    </row>
    <row r="94" spans="1:11">
      <c r="A94" s="161">
        <f t="shared" si="7"/>
        <v>2100</v>
      </c>
      <c r="B94" s="54">
        <f t="shared" si="5"/>
        <v>90</v>
      </c>
      <c r="C94" s="54">
        <f t="shared" si="6"/>
        <v>94</v>
      </c>
      <c r="D94" s="54">
        <f>Gasoline!$H94</f>
        <v>910.60011592233229</v>
      </c>
      <c r="F94" s="54">
        <f>Ethanol!$M108</f>
        <v>743.46630156777314</v>
      </c>
      <c r="G94" s="54">
        <f>SUM(F$4:F94)/SUM(D$4:D94)*GasolineGWI</f>
        <v>86.973401898272598</v>
      </c>
      <c r="H94" s="54">
        <f>GasolineGWI*(NPV($C$1,F$4:F94)/NPV($C$1,D$4:D94))</f>
        <v>99.572544450053826</v>
      </c>
      <c r="I94" s="54">
        <f>GasolineGWI*(NPV($D$1,F$4:F94)/NPV($D$1,D$4:D94))</f>
        <v>117.7905500044842</v>
      </c>
      <c r="K94" s="54"/>
    </row>
    <row r="95" spans="1:11">
      <c r="A95" s="161">
        <f t="shared" si="7"/>
        <v>2101</v>
      </c>
      <c r="B95" s="54">
        <f t="shared" si="5"/>
        <v>91</v>
      </c>
      <c r="C95" s="54">
        <f t="shared" si="6"/>
        <v>94</v>
      </c>
      <c r="D95" s="54">
        <f>Gasoline!$H95</f>
        <v>907.69686656441309</v>
      </c>
      <c r="F95" s="54">
        <f>Ethanol!$M109</f>
        <v>741.60065560029011</v>
      </c>
      <c r="G95" s="54">
        <f>SUM(F$4:F95)/SUM(D$4:D95)*GasolineGWI</f>
        <v>86.876686327713927</v>
      </c>
      <c r="H95" s="54">
        <f>GasolineGWI*(NPV($C$1,F$4:F95)/NPV($C$1,D$4:D95))</f>
        <v>99.527111597378266</v>
      </c>
      <c r="I95" s="54">
        <f>GasolineGWI*(NPV($D$1,F$4:F95)/NPV($D$1,D$4:D95))</f>
        <v>117.78396485671287</v>
      </c>
      <c r="K95" s="54"/>
    </row>
    <row r="96" spans="1:11">
      <c r="A96" s="161">
        <f t="shared" si="7"/>
        <v>2102</v>
      </c>
      <c r="B96" s="54">
        <f t="shared" si="5"/>
        <v>92</v>
      </c>
      <c r="C96" s="54">
        <f t="shared" si="6"/>
        <v>94</v>
      </c>
      <c r="D96" s="54">
        <f>Gasoline!$H96</f>
        <v>904.84153125904254</v>
      </c>
      <c r="F96" s="54">
        <f>Ethanol!$M110</f>
        <v>739.74935402873587</v>
      </c>
      <c r="G96" s="54">
        <f>SUM(F$4:F96)/SUM(D$4:D96)*GasolineGWI</f>
        <v>86.782557510619881</v>
      </c>
      <c r="H96" s="54">
        <f>GasolineGWI*(NPV($C$1,F$4:F96)/NPV($C$1,D$4:D96))</f>
        <v>99.483409479354933</v>
      </c>
      <c r="I96" s="54">
        <f>GasolineGWI*(NPV($D$1,F$4:F96)/NPV($D$1,D$4:D96))</f>
        <v>117.77783926216318</v>
      </c>
      <c r="K96" s="54"/>
    </row>
    <row r="97" spans="1:11">
      <c r="A97" s="161">
        <f t="shared" si="7"/>
        <v>2103</v>
      </c>
      <c r="B97" s="54">
        <f t="shared" si="5"/>
        <v>93</v>
      </c>
      <c r="C97" s="54">
        <f t="shared" si="6"/>
        <v>94</v>
      </c>
      <c r="D97" s="54">
        <f>Gasoline!$H97</f>
        <v>902.03219435709798</v>
      </c>
      <c r="F97" s="54">
        <f>Ethanol!$M111</f>
        <v>737.91212557705228</v>
      </c>
      <c r="G97" s="54">
        <f>SUM(F$4:F97)/SUM(D$4:D97)*GasolineGWI</f>
        <v>86.690907598962411</v>
      </c>
      <c r="H97" s="54">
        <f>GasolineGWI*(NPV($C$1,F$4:F97)/NPV($C$1,D$4:D97))</f>
        <v>99.441361226839192</v>
      </c>
      <c r="I97" s="54">
        <f>GasolineGWI*(NPV($D$1,F$4:F97)/NPV($D$1,D$4:D97))</f>
        <v>117.77214050686446</v>
      </c>
      <c r="K97" s="54"/>
    </row>
    <row r="98" spans="1:11">
      <c r="A98" s="161">
        <f t="shared" si="7"/>
        <v>2104</v>
      </c>
      <c r="B98" s="54">
        <f t="shared" si="5"/>
        <v>94</v>
      </c>
      <c r="C98" s="54">
        <f t="shared" si="6"/>
        <v>94</v>
      </c>
      <c r="D98" s="54">
        <f>Gasoline!$H98</f>
        <v>899.26703747166493</v>
      </c>
      <c r="F98" s="54">
        <f>Ethanol!$M112</f>
        <v>736.08871044984892</v>
      </c>
      <c r="G98" s="54">
        <f>SUM(F$4:F98)/SUM(D$4:D98)*GasolineGWI</f>
        <v>86.601634668538395</v>
      </c>
      <c r="H98" s="54">
        <f>GasolineGWI*(NPV($C$1,F$4:F98)/NPV($C$1,D$4:D98))</f>
        <v>99.400894128188824</v>
      </c>
      <c r="I98" s="54">
        <f>GasolineGWI*(NPV($D$1,F$4:F98)/NPV($D$1,D$4:D98))</f>
        <v>117.76683827777339</v>
      </c>
      <c r="K98" s="54"/>
    </row>
    <row r="99" spans="1:11">
      <c r="A99" s="161">
        <f t="shared" si="7"/>
        <v>2105</v>
      </c>
      <c r="B99" s="54">
        <f t="shared" si="5"/>
        <v>95</v>
      </c>
      <c r="C99" s="54">
        <f t="shared" si="6"/>
        <v>94</v>
      </c>
      <c r="D99" s="54">
        <f>Gasoline!$H99</f>
        <v>896.5443343829744</v>
      </c>
      <c r="F99" s="54">
        <f>Ethanol!$M113</f>
        <v>734.2788597446862</v>
      </c>
      <c r="G99" s="54">
        <f>SUM(F$4:F99)/SUM(D$4:D99)*GasolineGWI</f>
        <v>86.514642331274942</v>
      </c>
      <c r="H99" s="54">
        <f>GasolineGWI*(NPV($C$1,F$4:F99)/NPV($C$1,D$4:D99))</f>
        <v>99.361939356150657</v>
      </c>
      <c r="I99" s="54">
        <f>GasolineGWI*(NPV($D$1,F$4:F99)/NPV($D$1,D$4:D99))</f>
        <v>117.76190447845117</v>
      </c>
      <c r="K99" s="54"/>
    </row>
    <row r="100" spans="1:11">
      <c r="A100" s="161">
        <f t="shared" si="7"/>
        <v>2106</v>
      </c>
      <c r="B100" s="54">
        <f>A100-A$4</f>
        <v>96</v>
      </c>
      <c r="C100" s="54">
        <f t="shared" si="6"/>
        <v>94</v>
      </c>
      <c r="D100" s="54">
        <f>Gasoline!$H100</f>
        <v>893.86244621117851</v>
      </c>
      <c r="F100" s="54">
        <f>Ethanol!$M114</f>
        <v>732.48233489517361</v>
      </c>
      <c r="G100" s="54">
        <f>SUM(F$4:F100)/SUM(D$4:D100)*GasolineGWI</f>
        <v>86.429839376413184</v>
      </c>
      <c r="H100" s="54">
        <f>GasolineGWI*(NPV($C$1,F$4:F100)/NPV($C$1,D$4:D100))</f>
        <v>99.324431715701976</v>
      </c>
      <c r="I100" s="54">
        <f>GasolineGWI*(NPV($D$1,F$4:F100)/NPV($D$1,D$4:D100))</f>
        <v>117.75731305979778</v>
      </c>
      <c r="K100" s="54"/>
    </row>
    <row r="101" spans="1:11">
      <c r="A101" s="161">
        <f t="shared" si="7"/>
        <v>2107</v>
      </c>
      <c r="B101" s="54">
        <f>A101-A$4</f>
        <v>97</v>
      </c>
      <c r="C101" s="54">
        <f t="shared" si="6"/>
        <v>94</v>
      </c>
      <c r="D101" s="54">
        <f>Gasoline!$H101</f>
        <v>891.21981684288278</v>
      </c>
      <c r="F101" s="54">
        <f>Ethanol!$M115</f>
        <v>730.69890714326516</v>
      </c>
      <c r="G101" s="54">
        <f>SUM(F$4:F101)/SUM(D$4:D101)*GasolineGWI</f>
        <v>86.347139438165897</v>
      </c>
      <c r="H101" s="54">
        <f>GasolineGWI*(NPV($C$1,F$4:F101)/NPV($C$1,D$4:D101))</f>
        <v>99.288309411041269</v>
      </c>
      <c r="I101" s="54">
        <f>GasolineGWI*(NPV($D$1,F$4:F101)/NPV($D$1,D$4:D101))</f>
        <v>117.75303986451351</v>
      </c>
      <c r="K101" s="54"/>
    </row>
    <row r="102" spans="1:11">
      <c r="A102" s="161">
        <f t="shared" si="7"/>
        <v>2108</v>
      </c>
      <c r="B102" s="54">
        <f>A102-A$4</f>
        <v>98</v>
      </c>
      <c r="C102" s="54">
        <f t="shared" si="6"/>
        <v>94</v>
      </c>
      <c r="D102" s="54">
        <f>Gasoline!$H102</f>
        <v>888.61496859808938</v>
      </c>
      <c r="F102" s="54">
        <f>Ethanol!$M116</f>
        <v>728.92835703921583</v>
      </c>
      <c r="G102" s="54">
        <f>SUM(F$4:F102)/SUM(D$4:D102)*GasolineGWI</f>
        <v>86.266460687666182</v>
      </c>
      <c r="H102" s="54">
        <f>GasolineGWI*(NPV($C$1,F$4:F102)/NPV($C$1,D$4:D102))</f>
        <v>99.253513830094121</v>
      </c>
      <c r="I102" s="54">
        <f>GasolineGWI*(NPV($D$1,F$4:F102)/NPV($D$1,D$4:D102))</f>
        <v>117.74906248408666</v>
      </c>
      <c r="K102" s="54"/>
    </row>
    <row r="103" spans="1:11">
      <c r="A103" s="161">
        <f t="shared" si="7"/>
        <v>2109</v>
      </c>
      <c r="B103" s="54">
        <f>A103-A$4</f>
        <v>99</v>
      </c>
      <c r="C103" s="54">
        <f t="shared" si="6"/>
        <v>94</v>
      </c>
      <c r="D103" s="54">
        <f>Gasoline!$H103</f>
        <v>886.04649812490743</v>
      </c>
      <c r="F103" s="54">
        <f>Ethanol!$M117</f>
        <v>727.17047396774478</v>
      </c>
      <c r="G103" s="54">
        <f>SUM(F$4:F103)/SUM(D$4:D103)*GasolineGWI</f>
        <v>86.187725547223835</v>
      </c>
      <c r="H103" s="54">
        <f>GasolineGWI*(NPV($C$1,F$4:F103)/NPV($C$1,D$4:D103))</f>
        <v>99.21998934505244</v>
      </c>
      <c r="I103" s="54">
        <f>GasolineGWI*(NPV($D$1,F$4:F103)/NPV($D$1,D$4:D103))</f>
        <v>117.74536012722049</v>
      </c>
      <c r="K103" s="54"/>
    </row>
    <row r="104" spans="1:11">
      <c r="A104" s="161">
        <f t="shared" si="7"/>
        <v>2110</v>
      </c>
      <c r="B104" s="54">
        <f>A104-A$4</f>
        <v>100</v>
      </c>
      <c r="C104" s="54">
        <f t="shared" si="6"/>
        <v>94</v>
      </c>
      <c r="D104" s="54">
        <f>Gasoline!$H104</f>
        <v>883.51307251005323</v>
      </c>
      <c r="F104" s="54">
        <f>Ethanol!$M118</f>
        <v>725.42505569902721</v>
      </c>
      <c r="G104" s="54">
        <f>SUM(F$4:F104)/SUM(D$4:D104)*GasolineGWI</f>
        <v>86.110860425086173</v>
      </c>
      <c r="H104" s="54">
        <f>GasolineGWI*(NPV($C$1,F$4:F104)/NPV($C$1,D$4:D104))</f>
        <v>99.187683127603492</v>
      </c>
      <c r="I104" s="54">
        <f>GasolineGWI*(NPV($D$1,F$4:F104)/NPV($D$1,D$4:D104))</f>
        <v>117.7419134987158</v>
      </c>
      <c r="K104" s="54"/>
    </row>
  </sheetData>
  <mergeCells count="1">
    <mergeCell ref="A1:B1"/>
  </mergeCells>
  <phoneticPr fontId="41" type="noConversion"/>
  <pageMargins left="0.75" right="0.75" top="1" bottom="1" header="0.5" footer="0.5"/>
  <pageSetup paperSize="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Intro</vt:lpstr>
      <vt:lpstr>Scenarios</vt:lpstr>
      <vt:lpstr>Summary</vt:lpstr>
      <vt:lpstr>Ethanol</vt:lpstr>
      <vt:lpstr>Gasoline</vt:lpstr>
      <vt:lpstr>Figure 1</vt:lpstr>
      <vt:lpstr>Figure 2</vt:lpstr>
      <vt:lpstr>A_0</vt:lpstr>
      <vt:lpstr>A_1</vt:lpstr>
      <vt:lpstr>A_2</vt:lpstr>
      <vt:lpstr>A_3</vt:lpstr>
      <vt:lpstr>AcrePerHa</vt:lpstr>
      <vt:lpstr>DiscountRate</vt:lpstr>
      <vt:lpstr>EthanolLHV</vt:lpstr>
      <vt:lpstr>GasolineGWI</vt:lpstr>
      <vt:lpstr>iLucEmissions</vt:lpstr>
      <vt:lpstr>KgPerBu</vt:lpstr>
      <vt:lpstr>LiterPerGal</vt:lpstr>
      <vt:lpstr>PercentRecovery</vt:lpstr>
      <vt:lpstr>ProcessEmissions</vt:lpstr>
      <vt:lpstr>ProductionYears</vt:lpstr>
      <vt:lpstr>RecoveryYears</vt:lpstr>
      <vt:lpstr>T_1</vt:lpstr>
      <vt:lpstr>T_2</vt:lpstr>
      <vt:lpstr>T_3</vt:lpstr>
    </vt:vector>
  </TitlesOfParts>
  <Company>Union of Concerned Scientists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I Martin</dc:creator>
  <cp:lastModifiedBy>rjp</cp:lastModifiedBy>
  <cp:lastPrinted>2009-01-02T22:26:54Z</cp:lastPrinted>
  <dcterms:created xsi:type="dcterms:W3CDTF">2008-10-02T14:14:00Z</dcterms:created>
  <dcterms:modified xsi:type="dcterms:W3CDTF">2009-01-27T18:19:27Z</dcterms:modified>
</cp:coreProperties>
</file>