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5240" yWindow="0" windowWidth="25600" windowHeight="1540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77" i="8"/>
  <c r="J78" i="8"/>
  <c r="J79" i="8"/>
  <c r="J54" i="11"/>
  <c r="J58" i="11"/>
  <c r="H13" i="15"/>
  <c r="H14" i="15"/>
  <c r="H29" i="15"/>
  <c r="H100" i="15"/>
  <c r="H30" i="15"/>
  <c r="H101" i="15"/>
  <c r="J54" i="8"/>
  <c r="H13" i="9"/>
  <c r="H38" i="15"/>
  <c r="H108" i="15"/>
  <c r="H16" i="9"/>
  <c r="H42" i="15"/>
  <c r="H112" i="15"/>
  <c r="H113" i="15"/>
  <c r="H43" i="15"/>
  <c r="H47" i="15"/>
  <c r="H116" i="15"/>
  <c r="H48" i="15"/>
  <c r="H117" i="15"/>
  <c r="H118" i="15"/>
  <c r="H127" i="15"/>
  <c r="H128" i="15"/>
  <c r="H135" i="15"/>
  <c r="H139" i="15"/>
  <c r="H140" i="15"/>
  <c r="H143" i="15"/>
  <c r="H144" i="15"/>
  <c r="H145" i="15"/>
  <c r="H249" i="15"/>
  <c r="H252" i="15"/>
  <c r="H179" i="15"/>
  <c r="H47" i="9"/>
  <c r="H50" i="9"/>
  <c r="H52" i="9"/>
  <c r="H55" i="9"/>
  <c r="H65" i="9"/>
  <c r="H68" i="9"/>
  <c r="H70" i="9"/>
  <c r="H73" i="9"/>
  <c r="H176" i="15"/>
  <c r="H182" i="15"/>
  <c r="H185" i="15"/>
  <c r="H78" i="8"/>
  <c r="H79" i="8"/>
  <c r="H54" i="11"/>
  <c r="H58" i="11"/>
  <c r="H56" i="11"/>
  <c r="I78" i="8"/>
  <c r="I79" i="8"/>
  <c r="I54" i="11"/>
  <c r="I58" i="11"/>
  <c r="I56" i="11"/>
  <c r="J56" i="11"/>
  <c r="K78" i="8"/>
  <c r="K79" i="8"/>
  <c r="K54" i="11"/>
  <c r="K58" i="11"/>
  <c r="K56" i="11"/>
  <c r="L78" i="8"/>
  <c r="L79" i="8"/>
  <c r="L54" i="11"/>
  <c r="L58" i="11"/>
  <c r="L56" i="11"/>
  <c r="M78" i="8"/>
  <c r="M79" i="8"/>
  <c r="M54" i="11"/>
  <c r="M58" i="11"/>
  <c r="M56" i="11"/>
  <c r="N78" i="8"/>
  <c r="N79" i="8"/>
  <c r="N54" i="11"/>
  <c r="N58" i="11"/>
  <c r="N56" i="11"/>
  <c r="O78" i="8"/>
  <c r="O79" i="8"/>
  <c r="O54" i="11"/>
  <c r="O58" i="11"/>
  <c r="O56" i="11"/>
  <c r="P78" i="8"/>
  <c r="P79" i="8"/>
  <c r="P54" i="11"/>
  <c r="P58" i="11"/>
  <c r="P56" i="11"/>
  <c r="Q78" i="8"/>
  <c r="Q79" i="8"/>
  <c r="Q54" i="11"/>
  <c r="Q58" i="11"/>
  <c r="Q56" i="11"/>
  <c r="R78" i="8"/>
  <c r="R79" i="8"/>
  <c r="R54" i="11"/>
  <c r="R58" i="11"/>
  <c r="R56" i="11"/>
  <c r="S78" i="8"/>
  <c r="S79" i="8"/>
  <c r="S54" i="11"/>
  <c r="S58" i="11"/>
  <c r="S56" i="11"/>
  <c r="T78" i="8"/>
  <c r="T79" i="8"/>
  <c r="T54" i="11"/>
  <c r="T58" i="11"/>
  <c r="T56" i="11"/>
  <c r="U78" i="8"/>
  <c r="U79" i="8"/>
  <c r="U54" i="11"/>
  <c r="U58" i="11"/>
  <c r="U56" i="11"/>
  <c r="V78" i="8"/>
  <c r="V79" i="8"/>
  <c r="V54" i="11"/>
  <c r="V58" i="11"/>
  <c r="V56" i="11"/>
  <c r="W78" i="8"/>
  <c r="W79" i="8"/>
  <c r="W54" i="11"/>
  <c r="W58" i="11"/>
  <c r="W56" i="11"/>
  <c r="X78" i="8"/>
  <c r="X79" i="8"/>
  <c r="X54" i="11"/>
  <c r="X58" i="11"/>
  <c r="X56" i="11"/>
  <c r="Y78" i="8"/>
  <c r="Y79" i="8"/>
  <c r="Y54" i="11"/>
  <c r="Y58" i="11"/>
  <c r="Y56" i="11"/>
  <c r="Z78" i="8"/>
  <c r="Z79" i="8"/>
  <c r="Z54" i="11"/>
  <c r="Z58" i="11"/>
  <c r="Z56" i="11"/>
  <c r="AA78" i="8"/>
  <c r="AA79" i="8"/>
  <c r="AA54" i="11"/>
  <c r="AA58" i="11"/>
  <c r="AA56" i="11"/>
  <c r="AB78" i="8"/>
  <c r="AB79" i="8"/>
  <c r="AB54" i="11"/>
  <c r="AB58" i="11"/>
  <c r="AB56" i="11"/>
  <c r="AC78" i="8"/>
  <c r="AC79" i="8"/>
  <c r="AC54" i="11"/>
  <c r="AC58" i="11"/>
  <c r="AC56" i="11"/>
  <c r="AD78" i="8"/>
  <c r="AD79" i="8"/>
  <c r="AD54" i="11"/>
  <c r="AD58" i="11"/>
  <c r="AD56" i="11"/>
  <c r="AE78" i="8"/>
  <c r="AE79" i="8"/>
  <c r="AE54" i="11"/>
  <c r="AE58" i="11"/>
  <c r="AE56" i="11"/>
  <c r="AF78" i="8"/>
  <c r="AF79" i="8"/>
  <c r="AF54" i="11"/>
  <c r="AF58" i="11"/>
  <c r="AF56" i="11"/>
  <c r="AG78" i="8"/>
  <c r="AG79" i="8"/>
  <c r="AG54" i="11"/>
  <c r="AG58" i="11"/>
  <c r="AG56" i="11"/>
  <c r="AH78" i="8"/>
  <c r="AH79" i="8"/>
  <c r="AH54" i="11"/>
  <c r="AH58" i="11"/>
  <c r="AH56" i="11"/>
  <c r="AI78" i="8"/>
  <c r="AI79" i="8"/>
  <c r="AI54" i="11"/>
  <c r="AI58" i="11"/>
  <c r="AI56" i="11"/>
  <c r="AJ78" i="8"/>
  <c r="AJ79" i="8"/>
  <c r="AJ54" i="11"/>
  <c r="AJ58" i="11"/>
  <c r="AJ56" i="11"/>
  <c r="G78" i="8"/>
  <c r="G79" i="8"/>
  <c r="G54" i="11"/>
  <c r="G58" i="11"/>
  <c r="G56"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D54" i="8"/>
  <c r="E54" i="8"/>
  <c r="F54" i="8"/>
  <c r="G54" i="8"/>
  <c r="H54" i="8"/>
  <c r="I54" i="8"/>
  <c r="K54" i="8"/>
  <c r="L54" i="8"/>
  <c r="M54" i="8"/>
  <c r="N54" i="8"/>
  <c r="O54" i="8"/>
  <c r="P54" i="8"/>
  <c r="Q54" i="8"/>
  <c r="R54" i="8"/>
  <c r="S54" i="8"/>
  <c r="T54" i="8"/>
  <c r="U54" i="8"/>
  <c r="V54" i="8"/>
  <c r="W54" i="8"/>
  <c r="X54" i="8"/>
  <c r="Y54" i="8"/>
  <c r="Z54" i="8"/>
  <c r="AA54" i="8"/>
  <c r="AB54" i="8"/>
  <c r="AC54" i="8"/>
  <c r="AD54" i="8"/>
  <c r="AE54" i="8"/>
  <c r="AF54" i="8"/>
  <c r="AG54" i="8"/>
  <c r="AH54" i="8"/>
  <c r="AI54" i="8"/>
  <c r="AJ54" i="8"/>
  <c r="C54" i="8"/>
  <c r="G73" i="8"/>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AH13" i="9"/>
  <c r="N10" i="9"/>
  <c r="P73" i="8"/>
  <c r="N13" i="15"/>
  <c r="N14" i="15"/>
  <c r="D17" i="5"/>
  <c r="N7" i="9"/>
  <c r="N13" i="9"/>
  <c r="N16" i="9"/>
  <c r="N18" i="9"/>
  <c r="D11" i="5"/>
  <c r="C17" i="5"/>
  <c r="F17" i="5"/>
  <c r="I17" i="5"/>
  <c r="AJ73" i="8"/>
  <c r="AH13" i="15"/>
  <c r="AH14" i="1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73" i="8"/>
  <c r="X13" i="15"/>
  <c r="X14" i="15"/>
  <c r="X7" i="9"/>
  <c r="D29" i="5"/>
  <c r="C29" i="5"/>
  <c r="D28" i="5"/>
  <c r="C28" i="5"/>
  <c r="F35" i="5"/>
  <c r="AH7" i="9"/>
  <c r="D30" i="5"/>
  <c r="C30" i="5"/>
  <c r="H35" i="5"/>
  <c r="AH26" i="15"/>
  <c r="AH31" i="15"/>
  <c r="D36" i="5"/>
  <c r="C36" i="5"/>
  <c r="F36" i="5"/>
  <c r="H36" i="5"/>
  <c r="AH18" i="15"/>
  <c r="AH32" i="15"/>
  <c r="AH43" i="15"/>
  <c r="F34" i="5"/>
  <c r="H34" i="5"/>
  <c r="AH24" i="15"/>
  <c r="AH30" i="15"/>
  <c r="AH46" i="15"/>
  <c r="AH47" i="15"/>
  <c r="AH48" i="15"/>
  <c r="AH49" i="15"/>
  <c r="AH93" i="15"/>
  <c r="X34" i="15"/>
  <c r="X35" i="15"/>
  <c r="X37" i="15"/>
  <c r="X38" i="15"/>
  <c r="X39" i="15"/>
  <c r="X40" i="15"/>
  <c r="X42" i="15"/>
  <c r="X26" i="15"/>
  <c r="X31" i="15"/>
  <c r="X18" i="15"/>
  <c r="X32" i="15"/>
  <c r="X43" i="15"/>
  <c r="X24" i="15"/>
  <c r="X30" i="15"/>
  <c r="X46"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N46" i="15"/>
  <c r="N47" i="15"/>
  <c r="N48" i="15"/>
  <c r="N49" i="15"/>
  <c r="N93" i="15"/>
  <c r="X78" i="15"/>
  <c r="N94" i="15"/>
  <c r="X79" i="15"/>
  <c r="N87" i="15"/>
  <c r="X72" i="15"/>
  <c r="H10" i="9"/>
  <c r="H34" i="15"/>
  <c r="J73" i="8"/>
  <c r="H7" i="9"/>
  <c r="H31" i="15"/>
  <c r="H46" i="15"/>
  <c r="H49" i="15"/>
  <c r="H93" i="15"/>
  <c r="N78" i="15"/>
  <c r="H94" i="15"/>
  <c r="N79" i="15"/>
  <c r="H87" i="15"/>
  <c r="N72" i="15"/>
  <c r="H74" i="8"/>
  <c r="H73" i="8"/>
  <c r="I74" i="8"/>
  <c r="I73" i="8"/>
  <c r="J74" i="8"/>
  <c r="K74" i="8"/>
  <c r="K73" i="8"/>
  <c r="L74" i="8"/>
  <c r="L73" i="8"/>
  <c r="M74" i="8"/>
  <c r="M73" i="8"/>
  <c r="N74" i="8"/>
  <c r="N73" i="8"/>
  <c r="O74" i="8"/>
  <c r="O73" i="8"/>
  <c r="P74" i="8"/>
  <c r="Q74" i="8"/>
  <c r="Q73" i="8"/>
  <c r="R74" i="8"/>
  <c r="R73" i="8"/>
  <c r="S74" i="8"/>
  <c r="S73" i="8"/>
  <c r="T74" i="8"/>
  <c r="T73" i="8"/>
  <c r="U74" i="8"/>
  <c r="U73" i="8"/>
  <c r="V74" i="8"/>
  <c r="V73" i="8"/>
  <c r="W74" i="8"/>
  <c r="W73" i="8"/>
  <c r="X74" i="8"/>
  <c r="X73" i="8"/>
  <c r="Y74" i="8"/>
  <c r="Y73" i="8"/>
  <c r="Z74" i="8"/>
  <c r="AA74" i="8"/>
  <c r="AA73" i="8"/>
  <c r="AB74" i="8"/>
  <c r="AB73" i="8"/>
  <c r="AC74" i="8"/>
  <c r="AC73" i="8"/>
  <c r="AD74" i="8"/>
  <c r="AD73" i="8"/>
  <c r="AE74" i="8"/>
  <c r="AE73" i="8"/>
  <c r="AF74" i="8"/>
  <c r="AF73" i="8"/>
  <c r="AG74" i="8"/>
  <c r="AG73" i="8"/>
  <c r="AH74" i="8"/>
  <c r="AH73" i="8"/>
  <c r="AI74" i="8"/>
  <c r="AI73" i="8"/>
  <c r="AJ74" i="8"/>
  <c r="G74"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8" i="9"/>
  <c r="N11" i="9"/>
  <c r="P75" i="8"/>
  <c r="N12" i="9"/>
  <c r="N14" i="9"/>
  <c r="X8"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G50" i="11"/>
  <c r="G51" i="11"/>
  <c r="G49" i="11"/>
  <c r="B58" i="11"/>
  <c r="C58" i="11"/>
  <c r="D58" i="11"/>
  <c r="E58" i="11"/>
  <c r="F58" i="11"/>
  <c r="X10" i="9"/>
  <c r="X11" i="9"/>
  <c r="X12" i="9"/>
  <c r="X13" i="9"/>
  <c r="X14" i="9"/>
  <c r="X16" i="9"/>
  <c r="X18" i="9"/>
  <c r="D12" i="5"/>
  <c r="E12" i="5"/>
  <c r="AH8"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4" i="9"/>
  <c r="H39" i="15"/>
  <c r="H11" i="9"/>
  <c r="H35"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<sst xmlns="http://schemas.openxmlformats.org/spreadsheetml/2006/main" count="1326" uniqueCount="761">
  <si>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</si>
  <si>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</si>
  <si>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</si>
  <si>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</si>
  <si>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</si>
  <si>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</si>
  <si>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</si>
  <si>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</si>
  <si>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</si>
  <si>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</si>
  <si>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</si>
  <si>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</si>
  <si>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</si>
  <si>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</si>
  <si>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</si>
  <si>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</si>
  <si>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</si>
  <si>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</si>
  <si>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</si>
  <si>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</si>
  <si>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</si>
  <si>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</si>
  <si>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</si>
  <si>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</si>
  <si>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</si>
  <si>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</si>
  <si>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</si>
  <si>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</si>
  <si>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</si>
  <si>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</si>
  <si>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</si>
  <si>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</si>
  <si>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</si>
  <si>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</si>
  <si>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</si>
  <si>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</si>
  <si>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</si>
  <si>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</si>
  <si>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</si>
  <si>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</si>
  <si>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</si>
  <si>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</si>
  <si>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</si>
  <si>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</si>
  <si>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</si>
  <si>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</si>
  <si>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</si>
  <si>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</si>
  <si>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</si>
  <si>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</si>
  <si>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</si>
  <si>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</si>
  <si>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</si>
  <si>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</si>
  <si>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</si>
  <si>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</si>
  <si>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</si>
  <si>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</si>
  <si>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</si>
  <si>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</si>
  <si>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</si>
  <si>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</si>
  <si>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</si>
  <si>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</si>
  <si>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</si>
  <si>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</si>
  <si>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</si>
  <si>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</si>
  <si>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</si>
  <si>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</si>
  <si>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</si>
  <si>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</si>
  <si>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</si>
  <si>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</si>
  <si>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</si>
  <si>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</si>
  <si>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</si>
  <si>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</si>
  <si>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</si>
  <si>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</si>
  <si>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</si>
  <si>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</si>
  <si>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</si>
  <si>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</si>
  <si>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</si>
  <si>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</si>
  <si>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</si>
  <si>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</si>
  <si>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</si>
  <si>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</si>
  <si>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</si>
  <si>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</si>
  <si>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</si>
  <si>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</si>
  <si>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</si>
  <si>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</si>
  <si>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</si>
  <si>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</si>
  <si>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</si>
  <si>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</si>
  <si>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</si>
  <si>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</si>
  <si>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</si>
  <si>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</si>
  <si>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</si>
  <si>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</si>
  <si>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</si>
  <si>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</si>
  <si>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</si>
  <si>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</si>
  <si>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</si>
  <si>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</si>
  <si>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</si>
  <si>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</si>
  <si>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</si>
  <si>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</si>
  <si>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</si>
  <si>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</si>
  <si>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</si>
  <si>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</si>
  <si>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</si>
  <si>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</si>
  <si>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</si>
  <si>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</si>
  <si>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</si>
  <si>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</si>
  <si>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</si>
  <si>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</si>
  <si>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</si>
  <si>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</si>
  <si>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</si>
  <si>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</si>
  <si>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</si>
  <si>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</si>
  <si>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</si>
  <si>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</si>
  <si>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</si>
  <si>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</si>
  <si>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</si>
  <si>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</si>
  <si>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</si>
  <si>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</si>
  <si>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</si>
  <si>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</si>
  <si>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</si>
  <si>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</si>
  <si>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</si>
  <si>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</si>
  <si>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</si>
  <si>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</si>
  <si>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</si>
  <si>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</si>
  <si>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</si>
  <si>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</si>
  <si>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</si>
  <si>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</si>
  <si>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</si>
  <si>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</si>
  <si>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</si>
  <si>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</si>
  <si>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</si>
  <si>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</si>
  <si>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</si>
  <si>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</si>
  <si>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</si>
  <si>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</si>
  <si>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</si>
  <si>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</si>
  <si>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</si>
  <si>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</si>
  <si>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</si>
  <si>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</si>
  <si>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</si>
  <si>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</si>
  <si>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</si>
  <si>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</si>
  <si>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</si>
  <si>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</si>
  <si>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</si>
  <si>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</si>
  <si>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</si>
  <si>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</si>
  <si>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</si>
  <si>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</si>
  <si>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</si>
  <si>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</si>
  <si>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</si>
  <si>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</si>
  <si>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</si>
  <si>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</si>
  <si>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</si>
  <si>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</si>
  <si>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</si>
  <si>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</si>
  <si>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</si>
  <si>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</si>
  <si>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</si>
  <si>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</si>
  <si>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</si>
  <si>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</si>
  <si>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</si>
  <si>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</si>
  <si>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</si>
  <si>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</si>
  <si>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</si>
  <si>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</si>
  <si>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</si>
  <si>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</si>
  <si>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</si>
  <si>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</si>
  <si>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</si>
  <si>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</si>
  <si>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</si>
  <si>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</si>
  <si>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</si>
  <si>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</si>
  <si>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</si>
  <si>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</si>
  <si>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</si>
  <si>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</si>
  <si>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</si>
  <si>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</si>
  <si>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</si>
  <si>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</si>
  <si>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</si>
  <si>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</si>
  <si>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</si>
  <si>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</si>
  <si>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</si>
  <si>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</si>
  <si>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</si>
  <si>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</si>
  <si>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</si>
  <si>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</si>
  <si>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</si>
  <si>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</si>
  <si>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</si>
  <si>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</si>
  <si>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</si>
  <si>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</si>
  <si>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</si>
  <si>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</si>
  <si>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</si>
  <si>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</si>
  <si>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</si>
  <si>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</si>
  <si>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</si>
  <si>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</si>
  <si>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</si>
  <si>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</si>
  <si>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</si>
  <si>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</si>
  <si>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</si>
  <si>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</si>
  <si>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</si>
  <si>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</si>
  <si>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</si>
  <si>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</si>
  <si>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</si>
  <si>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</si>
  <si>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</si>
  <si>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</si>
  <si>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</si>
  <si>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</si>
  <si>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</si>
  <si>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</si>
  <si>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</si>
  <si>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</si>
  <si>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</si>
  <si>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</si>
  <si>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</si>
  <si>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</si>
  <si>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</si>
  <si>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</si>
  <si>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</si>
  <si>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</si>
  <si>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</si>
  <si>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</si>
  <si>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</si>
  <si>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</si>
  <si>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</si>
  <si>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</si>
  <si>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</si>
  <si>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</si>
  <si>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</si>
  <si>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</si>
  <si>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</si>
  <si>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</si>
  <si>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</si>
  <si>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</si>
  <si>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</si>
  <si>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</si>
  <si>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</si>
  <si>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</si>
  <si>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</si>
  <si>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</si>
  <si>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</si>
  <si>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</si>
  <si>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</si>
  <si>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</si>
  <si>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</si>
  <si>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</si>
  <si>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</si>
  <si>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</si>
  <si>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</si>
  <si>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</si>
  <si>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</si>
  <si>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</si>
  <si>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</si>
  <si>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</si>
  <si>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</si>
  <si>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</si>
  <si>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</si>
  <si>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</si>
  <si>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</si>
  <si>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</si>
  <si>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</si>
  <si>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</si>
  <si>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</si>
  <si>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</si>
  <si>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</si>
  <si>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</si>
  <si>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</si>
  <si>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</si>
  <si>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</si>
  <si>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</si>
  <si>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</si>
  <si>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</si>
  <si>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</si>
  <si>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</si>
  <si>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</si>
  <si>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</si>
  <si>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</si>
  <si>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</si>
  <si>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</si>
  <si>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</si>
  <si>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</si>
  <si>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</si>
  <si>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</si>
  <si>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</si>
  <si>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</si>
  <si>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</si>
  <si>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</si>
  <si>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</si>
  <si>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</si>
  <si>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</si>
  <si>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</si>
  <si>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</si>
  <si>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</si>
  <si>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</si>
  <si>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</si>
  <si>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</si>
  <si>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</si>
  <si>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</si>
  <si>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</si>
  <si>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</si>
  <si>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</si>
  <si>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</si>
  <si>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</si>
  <si>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</si>
  <si>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</si>
  <si>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</si>
  <si>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</si>
  <si>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</si>
  <si>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</si>
  <si>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</si>
  <si>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</si>
  <si>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</si>
  <si>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</si>
  <si>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</si>
  <si>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</si>
  <si>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</si>
  <si>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</si>
  <si>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</si>
  <si>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</si>
  <si>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</si>
  <si>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</si>
  <si>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</si>
  <si>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</si>
  <si>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</si>
  <si>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</si>
  <si>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</si>
  <si>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</si>
  <si>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</si>
  <si>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</si>
  <si>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</si>
  <si>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</si>
  <si>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</si>
  <si>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</si>
  <si>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</si>
  <si>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</si>
  <si>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</si>
  <si>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</si>
  <si>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</si>
  <si>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</si>
  <si>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</si>
  <si>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</si>
  <si>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</si>
  <si>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</si>
  <si>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</si>
  <si>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</si>
  <si>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</si>
  <si>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</si>
  <si>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</si>
  <si>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</si>
  <si>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</si>
  <si>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</si>
  <si>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</si>
  <si>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</si>
  <si>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</si>
  <si>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</si>
  <si>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</si>
  <si>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</si>
  <si>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</si>
  <si>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</si>
  <si>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</si>
  <si>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</si>
  <si>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</si>
  <si>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</si>
  <si>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</si>
  <si>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</si>
  <si>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</si>
  <si>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</si>
  <si>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</si>
  <si>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</si>
  <si>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</si>
  <si>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</si>
  <si>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</si>
  <si>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</si>
  <si>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</si>
  <si>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</si>
  <si>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</si>
  <si>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</si>
  <si>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</si>
  <si>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</si>
  <si>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</si>
  <si>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</si>
  <si>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</si>
  <si>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</si>
  <si>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</si>
  <si>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</si>
  <si>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</si>
  <si>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</si>
  <si>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</si>
  <si>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</si>
  <si>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</si>
  <si>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</si>
  <si>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</si>
  <si>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</si>
  <si>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</si>
  <si>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</si>
  <si>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</si>
  <si>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</si>
  <si>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</si>
  <si>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</si>
  <si>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</si>
  <si>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</si>
  <si>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</si>
  <si>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</si>
  <si>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</si>
  <si>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</si>
  <si>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</si>
  <si>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</si>
  <si>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</si>
  <si>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</si>
  <si>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</si>
  <si>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</si>
  <si>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</si>
  <si>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</si>
  <si>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</si>
  <si>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</si>
  <si>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</si>
  <si>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</si>
  <si>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</si>
  <si>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</si>
  <si>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</si>
  <si>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</si>
  <si>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</si>
  <si>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</si>
  <si>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</si>
  <si>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</si>
  <si>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</si>
  <si>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</si>
  <si>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</si>
  <si>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</si>
  <si>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</si>
  <si>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</si>
  <si>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</si>
  <si>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</si>
  <si>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</si>
  <si>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</si>
  <si>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</si>
  <si>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</si>
  <si>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</si>
  <si>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</si>
  <si>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</si>
  <si>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</si>
  <si>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</si>
  <si>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</si>
  <si>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</si>
  <si>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</si>
  <si>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</si>
  <si>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</si>
  <si>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</si>
  <si>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</si>
  <si>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</si>
  <si>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</si>
  <si>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</si>
  <si>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</si>
  <si>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</si>
  <si>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</si>
  <si>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</si>
  <si>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</si>
  <si>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</si>
  <si>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</si>
  <si>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</si>
  <si>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</si>
  <si>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</si>
  <si>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</si>
  <si>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</si>
  <si>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</si>
  <si>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</si>
  <si>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</si>
  <si>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</si>
  <si>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</si>
  <si>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</si>
  <si>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</si>
  <si>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</si>
  <si>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</si>
  <si>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</si>
  <si>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</si>
  <si>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</si>
  <si>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</si>
  <si>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</si>
  <si>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</si>
  <si>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</si>
  <si>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</si>
  <si>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</si>
  <si>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</si>
  <si>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</si>
  <si>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</si>
  <si>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</si>
  <si>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</si>
  <si>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</si>
  <si>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</si>
  <si>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</si>
  <si>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</si>
  <si>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</si>
  <si>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</si>
  <si>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</si>
  <si>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</si>
  <si>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</si>
  <si>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</si>
  <si>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</si>
  <si>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</si>
  <si>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</si>
  <si>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</si>
  <si>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</si>
  <si>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</si>
  <si>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</si>
  <si>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</si>
  <si>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</si>
  <si>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</si>
  <si>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</si>
  <si>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</si>
  <si>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</si>
  <si>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</si>
  <si>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</si>
  <si>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</si>
  <si>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</si>
  <si>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</si>
  <si>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</si>
  <si>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</si>
  <si>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</si>
  <si>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</si>
  <si>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</si>
  <si>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</si>
  <si>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</si>
  <si>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</si>
  <si>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</si>
  <si>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</si>
  <si>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</si>
  <si>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</si>
  <si>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</si>
  <si>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</si>
  <si>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</si>
  <si>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</si>
  <si>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</si>
  <si>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</si>
  <si>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</si>
  <si>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</si>
  <si>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</si>
  <si>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</si>
  <si>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</si>
  <si>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</si>
  <si>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</si>
  <si>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</si>
  <si>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</si>
  <si>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</si>
  <si>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</si>
  <si>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</si>
  <si>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</si>
  <si>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</si>
  <si>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</si>
  <si>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</si>
  <si>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</si>
  <si>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</si>
  <si>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</si>
  <si>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</si>
  <si>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</si>
  <si>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</si>
  <si>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</si>
  <si>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</si>
  <si>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</si>
  <si>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</si>
  <si>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</si>
  <si>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</si>
  <si>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</si>
  <si>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</si>
  <si>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</si>
  <si>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</si>
  <si>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</si>
  <si>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</si>
  <si>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</si>
  <si>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</si>
  <si>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</si>
  <si>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</si>
  <si>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</si>
  <si>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</si>
  <si>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</si>
  <si>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</si>
  <si>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</si>
  <si>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</si>
  <si>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</si>
  <si>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</si>
  <si>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</si>
  <si>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</si>
  <si>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</si>
  <si>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</si>
  <si>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</si>
  <si>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</si>
  <si>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</si>
  <si>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</si>
  <si>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</si>
  <si>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</si>
  <si>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</si>
  <si>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</si>
  <si>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</si>
  <si>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</si>
  <si>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</si>
  <si>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</si>
  <si>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</si>
  <si>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</si>
  <si>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</si>
  <si>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</si>
  <si>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</si>
  <si>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</si>
  <si>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</si>
  <si>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</si>
  <si>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</si>
  <si>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</si>
  <si>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</si>
  <si>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</si>
  <si>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</si>
  <si>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</si>
  <si>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</si>
  <si>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</si>
  <si>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</si>
  <si>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</si>
  <si>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</si>
  <si>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</si>
  <si>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</si>
  <si>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</si>
  <si>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</si>
  <si>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</si>
  <si>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</si>
  <si>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</si>
  <si>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</si>
  <si>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</si>
  <si>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</si>
  <si>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</si>
  <si>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</si>
  <si>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</si>
  <si>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</si>
  <si>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</si>
  <si>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</si>
  <si>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</si>
  <si>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</si>
  <si>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</si>
  <si>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</si>
  <si>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</si>
  <si>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</si>
  <si>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</si>
  <si>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</si>
  <si>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</si>
  <si>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</si>
  <si>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</si>
  <si>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</si>
  <si>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</si>
  <si>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</si>
  <si>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</si>
  <si>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</si>
  <si>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</si>
  <si>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</si>
  <si>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</si>
  <si>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</si>
  <si>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</si>
  <si>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</si>
  <si>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</si>
  <si>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</si>
  <si>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</si>
  <si>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</si>
  <si>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</si>
  <si>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</si>
  <si>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</si>
  <si>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</si>
  <si>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</si>
  <si>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</si>
  <si>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</si>
  <si>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</si>
  <si>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</si>
  <si>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</si>
  <si>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</si>
  <si>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</si>
  <si>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</si>
  <si>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</si>
  <si>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</si>
  <si>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</si>
  <si>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</si>
  <si>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</si>
  <si>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</si>
  <si>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</si>
  <si>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</si>
  <si>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</si>
  <si>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</si>
  <si>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</si>
  <si>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</si>
  <si>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</si>
  <si>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</si>
  <si>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</si>
  <si>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</si>
  <si>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</si>
  <si>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</si>
  <si>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</si>
  <si>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</si>
  <si>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</si>
  <si>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Total Electricity Generation by Fuel from EIA for South</t>
  </si>
  <si>
    <t>Generation from EIA South region from EIA</t>
  </si>
  <si>
    <t>Contribution of Arizona</t>
  </si>
  <si>
    <t>Total Electricity Generation by Fuel by computation for Arizona</t>
  </si>
  <si>
    <t>Proportion for Arizona</t>
  </si>
  <si>
    <t>Energy source</t>
  </si>
  <si>
    <t>MSW Biogenic/Landfill Ga0</t>
  </si>
  <si>
    <t>Other Biomass0</t>
  </si>
  <si>
    <t>Energy source Iowa</t>
  </si>
  <si>
    <t>Fossil</t>
  </si>
  <si>
    <t xml:space="preserve">    Other Gase0</t>
  </si>
  <si>
    <t>Pumped storage</t>
  </si>
  <si>
    <t>Solar proportion</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</si>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</sst>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2"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name val="Verdana"/>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3">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16" xfId="0" applyFont="1" applyBorder="1" applyAlignment="1">
      <alignment horizontal="right"/>
    </xf>
    <xf numFmtId="0" fontId="51" fillId="0" borderId="26" xfId="0" applyFont="1" applyBorder="1" applyAlignment="1">
      <alignment horizontal="right"/>
    </xf>
    <xf numFmtId="0" fontId="51" fillId="0" borderId="25" xfId="0" applyFont="1" applyBorder="1" applyAlignment="1">
      <alignment horizontal="right"/>
    </xf>
    <xf numFmtId="0" fontId="0" fillId="2" borderId="0" xfId="0" applyFill="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76441992"/>
        <c:axId val="2076444408"/>
      </c:lineChart>
      <c:catAx>
        <c:axId val="20764419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6444408"/>
        <c:crosses val="autoZero"/>
        <c:auto val="1"/>
        <c:lblAlgn val="ctr"/>
        <c:lblOffset val="100"/>
        <c:noMultiLvlLbl val="0"/>
      </c:catAx>
      <c:valAx>
        <c:axId val="2076444408"/>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644199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2224376"/>
        <c:axId val="2092221848"/>
      </c:lineChart>
      <c:catAx>
        <c:axId val="209222437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2221848"/>
        <c:crosses val="autoZero"/>
        <c:auto val="1"/>
        <c:lblAlgn val="ctr"/>
        <c:lblOffset val="100"/>
        <c:noMultiLvlLbl val="0"/>
      </c:catAx>
      <c:valAx>
        <c:axId val="2092221848"/>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222437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A13"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7"/>
      <c r="B1" s="537"/>
      <c r="C1" s="537"/>
      <c r="D1" s="537"/>
      <c r="E1" s="537"/>
      <c r="F1" s="537"/>
      <c r="G1" s="537"/>
      <c r="H1" s="537"/>
      <c r="I1" s="537"/>
      <c r="J1" s="537"/>
      <c r="K1" s="537"/>
      <c r="L1" s="537"/>
      <c r="M1" s="537"/>
      <c r="N1" s="537"/>
      <c r="O1" s="537"/>
      <c r="P1" s="537"/>
      <c r="Q1" s="537"/>
      <c r="R1" s="537"/>
      <c r="S1" s="537"/>
      <c r="T1" s="537"/>
    </row>
    <row r="2" spans="1:20" ht="113.25" customHeight="1">
      <c r="A2" s="537"/>
      <c r="B2" s="537"/>
      <c r="C2" s="537"/>
      <c r="D2" s="537"/>
      <c r="E2" s="537"/>
      <c r="F2" s="537"/>
      <c r="G2" s="537"/>
      <c r="H2" s="537"/>
      <c r="I2" s="537"/>
      <c r="J2" s="537"/>
      <c r="K2" s="537"/>
      <c r="L2" s="537"/>
      <c r="M2" s="537"/>
      <c r="N2" s="537"/>
      <c r="O2" s="537"/>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0.26899054784320264</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4">
        <v>7.0000000000000007E-2</v>
      </c>
      <c r="D11" s="125">
        <f>'Output - Jobs vs Yr (BAU)'!N18/'Output -Jobs vs Yr'!N14</f>
        <v>3.2935867737369312E-2</v>
      </c>
      <c r="E11" s="497">
        <f>(7.7/3)^(1/6)</f>
        <v>1.1701141873017888</v>
      </c>
      <c r="F11" s="109"/>
      <c r="G11" s="494">
        <f>(12.5/3)^(1/6)</f>
        <v>1.2685223586294079</v>
      </c>
      <c r="H11"/>
      <c r="I11"/>
      <c r="J11"/>
      <c r="K11"/>
      <c r="L11"/>
      <c r="M11" t="s">
        <v>0</v>
      </c>
      <c r="N11" t="s">
        <v>0</v>
      </c>
      <c r="O11" s="111" t="s">
        <v>0</v>
      </c>
      <c r="P11" s="31" t="s">
        <v>0</v>
      </c>
    </row>
    <row r="12" spans="1:20" ht="15" thickBot="1">
      <c r="B12" t="s">
        <v>380</v>
      </c>
      <c r="C12" s="209">
        <v>0.1</v>
      </c>
      <c r="D12" s="125">
        <f>'Output - Jobs vs Yr (BAU)'!X18/'Output -Jobs vs Yr'!X14</f>
        <v>5.8855348714762175E-2</v>
      </c>
      <c r="E12" s="497">
        <f>(D12/D11)^(1/10)</f>
        <v>1.0597701498127197</v>
      </c>
      <c r="F12" s="109"/>
      <c r="G12" s="495">
        <f>(C12/C11)^(1/10)</f>
        <v>1.0363112099103142</v>
      </c>
      <c r="H12"/>
      <c r="I12"/>
      <c r="J12"/>
      <c r="K12"/>
      <c r="L12"/>
      <c r="M12" t="s">
        <v>0</v>
      </c>
      <c r="N12" t="s">
        <v>0</v>
      </c>
      <c r="O12" s="111" t="s">
        <v>0</v>
      </c>
      <c r="P12" s="31" t="s">
        <v>0</v>
      </c>
    </row>
    <row r="13" spans="1:20" ht="15" thickBot="1">
      <c r="B13" t="s">
        <v>577</v>
      </c>
      <c r="C13" s="210">
        <v>0.15</v>
      </c>
      <c r="D13" s="172">
        <f>'Output - Jobs vs Yr (BAU)'!AH18/'Output -Jobs vs Yr'!AH14</f>
        <v>8.4040239931616342E-2</v>
      </c>
      <c r="E13" s="497">
        <f>(D13/D12)^(1/10)</f>
        <v>1.0362633407103767</v>
      </c>
      <c r="F13" s="109"/>
      <c r="G13" s="496">
        <f>(C13/C12)^(1/10)</f>
        <v>1.0413797439924106</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1.9771208118820921E-3</v>
      </c>
      <c r="D17" s="126">
        <f>'Output - Jobs vs Yr (BAU)'!N10/'Output -Jobs vs Yr'!$N$14</f>
        <v>9.3025985087069737E-4</v>
      </c>
      <c r="E17" s="105">
        <f t="shared" ref="E17:E23" si="0">IF($C$24&lt;&gt;0,C17/$C$24,0)</f>
        <v>2.8244583026887028E-2</v>
      </c>
      <c r="F17" s="172">
        <f>C17*$C$12/$C$11</f>
        <v>2.8244583026887028E-3</v>
      </c>
      <c r="G17" s="105">
        <f>'Output - Jobs vs Yr (BAU)'!X10/'Output - Jobs vs Yr (BAU)'!X24</f>
        <v>1.5726583159073623E-3</v>
      </c>
      <c r="H17" s="105">
        <f t="shared" ref="H17:H23" si="1">G17/$G$24</f>
        <v>2.6303475702743211E-2</v>
      </c>
      <c r="I17" s="172">
        <f>F17*$C$13/$C$12</f>
        <v>4.2366874540330536E-3</v>
      </c>
      <c r="J17" s="105">
        <f>'Output - Jobs vs Yr (BAU)'!AH10/'Output - Jobs vs Yr (BAU)'!AH24</f>
        <v>1.6897123935975249E-3</v>
      </c>
      <c r="K17" s="105">
        <f>J17/$J$24</f>
        <v>1.9632703733291079E-2</v>
      </c>
      <c r="L17" s="105"/>
      <c r="M17" s="45" t="s">
        <v>259</v>
      </c>
      <c r="N17" s="86">
        <f>HLOOKUP(N16,'Output -Jobs vs Yr'!$H$175:$AH$184,9)</f>
        <v>3419.8706240133688</v>
      </c>
      <c r="O17" s="86">
        <f>HLOOKUP(O16,'Output -Jobs vs Yr'!$H$175:$AH$184,9)</f>
        <v>3727.2778709926097</v>
      </c>
      <c r="P17" s="86">
        <f>HLOOKUP(P16,'Output -Jobs vs Yr'!$H$175:$AH$184,9)</f>
        <v>6440.8297490405712</v>
      </c>
      <c r="Q17" s="86">
        <f>HLOOKUP(Q16,'Output -Jobs vs Yr'!$H$175:$AH$184,9)</f>
        <v>3894.1714535671235</v>
      </c>
    </row>
    <row r="18" spans="2:17" ht="15" thickBot="1">
      <c r="B18" s="4" t="s">
        <v>353</v>
      </c>
      <c r="C18" s="195">
        <f>D18*$C$11/$D$11</f>
        <v>1.6424131692515297E-7</v>
      </c>
      <c r="D18" s="126">
        <f>'Output - Jobs vs Yr (BAU)'!N15/'Output -Jobs vs Yr'!$N$14</f>
        <v>7.7277575589402773E-8</v>
      </c>
      <c r="E18" s="105">
        <f t="shared" si="0"/>
        <v>2.346304527502185E-6</v>
      </c>
      <c r="F18" s="172">
        <f t="shared" ref="F18:F23" si="2">C18*$C$12/$C$11</f>
        <v>2.3463045275021854E-7</v>
      </c>
      <c r="G18" s="105">
        <f>'Output - Jobs vs Yr (BAU)'!X15/'Output - Jobs vs Yr (BAU)'!X24</f>
        <v>7.1601719988158187E-8</v>
      </c>
      <c r="H18" s="105">
        <f t="shared" si="1"/>
        <v>1.1975736133735499E-6</v>
      </c>
      <c r="I18" s="172">
        <f t="shared" ref="I18:I24" si="3">F18*$C$13/$C$12</f>
        <v>3.5194567912532776E-7</v>
      </c>
      <c r="J18" s="105">
        <f>'Output - Jobs vs Yr (BAU)'!AH15/'Output - Jobs vs Yr (BAU)'!AH24</f>
        <v>6.563653599299716E-8</v>
      </c>
      <c r="K18" s="105">
        <f t="shared" ref="K18:K24" si="4">J18/$J$24</f>
        <v>7.6262840357490363E-7</v>
      </c>
      <c r="L18" s="105"/>
      <c r="M18" s="46" t="s">
        <v>260</v>
      </c>
      <c r="N18" s="87">
        <f>HLOOKUP(N16,'Output -Jobs vs Yr'!$H$175:$AH$184,10)</f>
        <v>3077.8829877695553</v>
      </c>
      <c r="O18" s="87">
        <f>HLOOKUP(O16,'Output -Jobs vs Yr'!$H$175:$AH$184,10)</f>
        <v>3354.5491850997132</v>
      </c>
      <c r="P18" s="87">
        <f>HLOOKUP(P16,'Output -Jobs vs Yr'!$H$175:$AH$184,10)</f>
        <v>5796.7452914848072</v>
      </c>
      <c r="Q18" s="87">
        <f>HLOOKUP(Q16,'Output -Jobs vs Yr'!$H$175:$AH$184,10)</f>
        <v>3504.7533660845584</v>
      </c>
    </row>
    <row r="19" spans="2:17" ht="15" thickBot="1">
      <c r="B19" s="4" t="s">
        <v>354</v>
      </c>
      <c r="C19" s="195">
        <f>D19*$C$11/$D$11</f>
        <v>8.0713652372873776E-8</v>
      </c>
      <c r="D19" s="126">
        <f>'Output - Jobs vs Yr (BAU)'!N11/'Output -Jobs vs Yr'!$N$14</f>
        <v>3.7976773987899649E-8</v>
      </c>
      <c r="E19" s="105">
        <f t="shared" si="0"/>
        <v>1.1530521767553395E-6</v>
      </c>
      <c r="F19" s="172">
        <f t="shared" si="2"/>
        <v>1.1530521767553397E-7</v>
      </c>
      <c r="G19" s="105">
        <f>'Output - Jobs vs Yr (BAU)'!X11/'Output - Jobs vs Yr (BAU)'!X24</f>
        <v>4.173956393127292E-8</v>
      </c>
      <c r="H19" s="105">
        <f t="shared" si="1"/>
        <v>6.9811452023886782E-7</v>
      </c>
      <c r="I19" s="172">
        <f t="shared" si="3"/>
        <v>1.7295782651330094E-7</v>
      </c>
      <c r="J19" s="105">
        <f>'Output - Jobs vs Yr (BAU)'!AH11/'Output - Jobs vs Yr (BAU)'!AH24</f>
        <v>3.9562966853027774E-8</v>
      </c>
      <c r="K19" s="105">
        <f t="shared" si="4"/>
        <v>4.596806000705228E-7</v>
      </c>
      <c r="L19" s="105"/>
      <c r="M19" s="46" t="s">
        <v>261</v>
      </c>
      <c r="N19" s="87">
        <f>HLOOKUP(N16,'Output -Jobs vs Yr'!$H$175:$AH$184,8)</f>
        <v>6497.7536117829222</v>
      </c>
      <c r="O19" s="87">
        <f>HLOOKUP(O16,'Output -Jobs vs Yr'!$H$175:$AH$184,8)</f>
        <v>7081.8270560923193</v>
      </c>
      <c r="P19" s="87">
        <f>HLOOKUP(P16,'Output -Jobs vs Yr'!$H$175:$AH$184,8)</f>
        <v>12237.575040525378</v>
      </c>
      <c r="Q19" s="87">
        <f>HLOOKUP(Q16,'Output -Jobs vs Yr'!$H$175:$AH$184,8)</f>
        <v>7398.9248196516855</v>
      </c>
    </row>
    <row r="20" spans="2:17" ht="15" thickBot="1">
      <c r="B20" s="4" t="s">
        <v>51</v>
      </c>
      <c r="C20" s="195">
        <f>D20*$C$11/$D$11</f>
        <v>9.3873089951020344E-4</v>
      </c>
      <c r="D20" s="126">
        <f>'Output - Jobs vs Yr (BAU)'!N12/'Output -Jobs vs Yr'!$N$14</f>
        <v>4.4168452496071115E-4</v>
      </c>
      <c r="E20" s="105">
        <f t="shared" si="0"/>
        <v>1.3410441421574333E-2</v>
      </c>
      <c r="F20" s="172">
        <f t="shared" si="2"/>
        <v>1.3410441421574334E-3</v>
      </c>
      <c r="G20" s="105">
        <f>'Output - Jobs vs Yr (BAU)'!X12/'Output - Jobs vs Yr (BAU)'!X24</f>
        <v>4.0826312414582314E-4</v>
      </c>
      <c r="H20" s="105">
        <f t="shared" si="1"/>
        <v>6.8283994416802867E-3</v>
      </c>
      <c r="I20" s="172">
        <f t="shared" si="3"/>
        <v>2.0115662132361499E-3</v>
      </c>
      <c r="J20" s="105">
        <f>'Output - Jobs vs Yr (BAU)'!AH12/'Output - Jobs vs Yr (BAU)'!AH24</f>
        <v>3.9173976016043866E-4</v>
      </c>
      <c r="K20" s="105">
        <f t="shared" si="4"/>
        <v>4.5516093039986933E-3</v>
      </c>
      <c r="L20" s="105"/>
      <c r="M20" s="47" t="s">
        <v>458</v>
      </c>
      <c r="N20" s="88">
        <f>HLOOKUP(N16,'Output -Jobs vs Yr'!$H$175:$AH$188,11)-HLOOKUP(N16,'Output -Jobs vs Yr'!$H$175:$AH$188,14)</f>
        <v>20805.656304523596</v>
      </c>
      <c r="O20" s="88">
        <f>HLOOKUP(O16,'Output -Jobs vs Yr'!$H$175:$AH$188,11)-HLOOKUP(O16,'Output -Jobs vs Yr'!$H$175:$AH$188,14)</f>
        <v>85722.903856227378</v>
      </c>
      <c r="P20" s="88">
        <f>HLOOKUP(P16,'Output -Jobs vs Yr'!$H$175:$AH$188,11)-HLOOKUP(P16,'Output -Jobs vs Yr'!$H$175:$AH$188,14)</f>
        <v>181193.83249034805</v>
      </c>
      <c r="Q20" s="88">
        <f>HLOOKUP(Q16,'Output -Jobs vs Yr'!$H$175:$AH$188,11)-HLOOKUP(Q16,'Output -Jobs vs Yr'!$H$175:$AH$188,14)</f>
        <v>93121.828675879064</v>
      </c>
    </row>
    <row r="21" spans="2:17" ht="15" thickBot="1">
      <c r="B21" t="s">
        <v>355</v>
      </c>
      <c r="C21" s="195">
        <f t="shared" ref="C21:C23" si="5">D21*$C$11/$D$11</f>
        <v>6.3761917889904984E-2</v>
      </c>
      <c r="D21" s="126">
        <f>'Output - Jobs vs Yr (BAU)'!N13/'Output -Jobs vs Yr'!$N$14</f>
        <v>3.0000772775755895E-2</v>
      </c>
      <c r="E21" s="105">
        <f t="shared" si="0"/>
        <v>0.91088454128435681</v>
      </c>
      <c r="F21" s="172">
        <f t="shared" si="2"/>
        <v>9.1088454128435692E-2</v>
      </c>
      <c r="G21" s="105">
        <f>'Output - Jobs vs Yr (BAU)'!X13/'Output - Jobs vs Yr (BAU)'!X24</f>
        <v>5.6355290705605812E-2</v>
      </c>
      <c r="H21" s="105">
        <f t="shared" si="1"/>
        <v>0.9425696636085128</v>
      </c>
      <c r="I21" s="172">
        <f t="shared" si="3"/>
        <v>0.13663268119265354</v>
      </c>
      <c r="J21" s="105">
        <f>'Output - Jobs vs Yr (BAU)'!AH13/'Output - Jobs vs Yr (BAU)'!AH24</f>
        <v>8.260837210020619E-2</v>
      </c>
      <c r="K21" s="105">
        <f t="shared" si="4"/>
        <v>0.95982351877045047</v>
      </c>
      <c r="L21" s="105"/>
      <c r="N21" s="160"/>
    </row>
    <row r="22" spans="2:17" ht="15" thickBot="1">
      <c r="B22" s="4" t="s">
        <v>356</v>
      </c>
      <c r="C22" s="195">
        <f t="shared" si="5"/>
        <v>1.6424131692515298E-6</v>
      </c>
      <c r="D22" s="126">
        <f>'Output - Jobs vs Yr (BAU)'!N14/'Output -Jobs vs Yr'!$N$14</f>
        <v>7.7277575589402768E-7</v>
      </c>
      <c r="E22" s="105">
        <f t="shared" si="0"/>
        <v>2.3463045275021852E-5</v>
      </c>
      <c r="F22" s="172">
        <f t="shared" si="2"/>
        <v>2.3463045275021854E-6</v>
      </c>
      <c r="G22" s="105">
        <f>'Output - Jobs vs Yr (BAU)'!X14/'Output - Jobs vs Yr (BAU)'!X24</f>
        <v>7.1601719988158197E-7</v>
      </c>
      <c r="H22" s="105">
        <f t="shared" si="1"/>
        <v>1.1975736133735501E-5</v>
      </c>
      <c r="I22" s="172">
        <f t="shared" si="3"/>
        <v>3.5194567912532781E-6</v>
      </c>
      <c r="J22" s="105">
        <f>'Output - Jobs vs Yr (BAU)'!AH14/'Output - Jobs vs Yr (BAU)'!AH24</f>
        <v>6.5636535992997165E-7</v>
      </c>
      <c r="K22" s="105">
        <f t="shared" si="4"/>
        <v>7.6262840357490371E-6</v>
      </c>
      <c r="L22" s="105"/>
      <c r="O22" t="s">
        <v>0</v>
      </c>
    </row>
    <row r="23" spans="2:17" ht="15" thickBot="1">
      <c r="B23" t="s">
        <v>357</v>
      </c>
      <c r="C23" s="195">
        <f t="shared" si="5"/>
        <v>3.3203430305641731E-3</v>
      </c>
      <c r="D23" s="126">
        <f>'Output - Jobs vs Yr (BAU)'!N16/'Output -Jobs vs Yr'!$N$14</f>
        <v>1.5622625556765369E-3</v>
      </c>
      <c r="E23" s="105">
        <f t="shared" si="0"/>
        <v>4.743347186520247E-2</v>
      </c>
      <c r="F23" s="172">
        <f t="shared" si="2"/>
        <v>4.7433471865202474E-3</v>
      </c>
      <c r="G23" s="105">
        <f>'Output - Jobs vs Yr (BAU)'!X16/'Output - Jobs vs Yr (BAU)'!X24</f>
        <v>1.4519511628357581E-3</v>
      </c>
      <c r="H23" s="105">
        <f t="shared" si="1"/>
        <v>2.4284589822796434E-2</v>
      </c>
      <c r="I23" s="172">
        <f t="shared" si="3"/>
        <v>7.1150207797803702E-3</v>
      </c>
      <c r="J23" s="105">
        <f>'Output - Jobs vs Yr (BAU)'!AH16/'Output - Jobs vs Yr (BAU)'!AH24</f>
        <v>1.3756237339759298E-3</v>
      </c>
      <c r="K23" s="105">
        <f t="shared" si="4"/>
        <v>1.5983319599220471E-2</v>
      </c>
      <c r="L23" s="105"/>
      <c r="M23" s="44"/>
      <c r="N23" s="197"/>
      <c r="O23" t="s">
        <v>0</v>
      </c>
    </row>
    <row r="24" spans="2:17">
      <c r="B24" s="108" t="s">
        <v>369</v>
      </c>
      <c r="C24" s="137">
        <f t="shared" ref="C24:H24" si="6">SUM(C17:C23)</f>
        <v>7.0000000000000007E-2</v>
      </c>
      <c r="D24" s="205">
        <f t="shared" si="6"/>
        <v>3.2935867737369312E-2</v>
      </c>
      <c r="E24" s="200">
        <f t="shared" si="6"/>
        <v>1</v>
      </c>
      <c r="F24" s="200">
        <f t="shared" si="6"/>
        <v>0.1</v>
      </c>
      <c r="G24" s="200">
        <f t="shared" si="6"/>
        <v>5.9788992666978555E-2</v>
      </c>
      <c r="H24" s="105">
        <f t="shared" si="6"/>
        <v>1</v>
      </c>
      <c r="I24" s="172">
        <f t="shared" si="3"/>
        <v>0.15</v>
      </c>
      <c r="J24" s="105">
        <f>SUM(J17:J23)</f>
        <v>8.606620955280285E-2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7%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0.31854604243251339</v>
      </c>
      <c r="D28" s="105">
        <f>('Output - Jobs vs Yr (BAU)'!N8+'Output - Jobs vs Yr (BAU)'!N7)/'Output -Jobs vs Yr'!N14</f>
        <v>0.31854604243251339</v>
      </c>
      <c r="E28" s="136" t="s">
        <v>0</v>
      </c>
      <c r="F28" s="98"/>
      <c r="G28" s="98" t="s">
        <v>0</v>
      </c>
      <c r="H28" s="135" t="s">
        <v>0</v>
      </c>
      <c r="I28" s="135"/>
      <c r="J28" s="135"/>
      <c r="K28" s="135"/>
      <c r="L28" s="135"/>
      <c r="M28"/>
    </row>
    <row r="29" spans="2:17" ht="15" thickBot="1">
      <c r="B29" t="s">
        <v>371</v>
      </c>
      <c r="C29" s="278">
        <f>D29</f>
        <v>0.29237675776867472</v>
      </c>
      <c r="D29" s="105">
        <f>('Output - Jobs vs Yr (BAU)'!X8+'Output - Jobs vs Yr (BAU)'!X7)/'Output -Jobs vs Yr'!X14</f>
        <v>0.29237675776867472</v>
      </c>
      <c r="E29" s="107"/>
      <c r="F29" s="98"/>
      <c r="G29" s="96"/>
      <c r="H29"/>
      <c r="I29"/>
      <c r="J29"/>
      <c r="K29"/>
      <c r="L29"/>
    </row>
    <row r="30" spans="2:17" ht="15" thickBot="1">
      <c r="B30" t="s">
        <v>579</v>
      </c>
      <c r="C30" s="210">
        <f>D30</f>
        <v>0.2666453375309622</v>
      </c>
      <c r="D30" s="105">
        <f>('Output - Jobs vs Yr (BAU)'!AH8+'Output - Jobs vs Yr (BAU)'!AH7)/'Output -Jobs vs Yr'!AH14</f>
        <v>0.2666453375309622</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6.5467900262356576E-2</v>
      </c>
      <c r="D35" s="105">
        <f>'Output - Jobs vs Yr (BAU)'!N7/'Output -Jobs vs Yr'!N14</f>
        <v>6.5467900262356576E-2</v>
      </c>
      <c r="E35" s="203">
        <f>C35</f>
        <v>6.5467900262356576E-2</v>
      </c>
      <c r="F35" s="200">
        <f>C35*$C$29/$C$28</f>
        <v>6.0089562784902677E-2</v>
      </c>
      <c r="G35" s="204">
        <f>'Output - Jobs vs Yr (BAU)'!X7/'Output - Jobs vs Yr (BAU)'!X24</f>
        <v>6.2524691541375979E-2</v>
      </c>
      <c r="H35" s="200">
        <f>F35*$C$30/$C$29</f>
        <v>5.4801215640899972E-2</v>
      </c>
      <c r="I35" s="204">
        <f>'Output - Jobs vs Yr (BAU)'!AH7/'Output - Jobs vs Yr (BAU)'!AH24</f>
        <v>5.8118767980809845E-2</v>
      </c>
      <c r="J35"/>
      <c r="K35"/>
      <c r="L35"/>
    </row>
    <row r="36" spans="1:18" ht="15" thickBot="1">
      <c r="B36" s="4" t="s">
        <v>364</v>
      </c>
      <c r="C36" s="209">
        <f>D36</f>
        <v>0.25307814217015678</v>
      </c>
      <c r="D36" s="105">
        <f>'Output - Jobs vs Yr (BAU)'!N8/'Output -Jobs vs Yr'!N14</f>
        <v>0.25307814217015678</v>
      </c>
      <c r="E36" s="203">
        <f>C36</f>
        <v>0.25307814217015678</v>
      </c>
      <c r="F36" s="200">
        <f>C36*$C$29/$C$28</f>
        <v>0.23228719498377201</v>
      </c>
      <c r="G36" s="204">
        <f>'Output - Jobs vs Yr (BAU)'!X8/'Output - Jobs vs Yr (BAU)'!X24</f>
        <v>0.23449014581769106</v>
      </c>
      <c r="H36" s="200">
        <f>F36*$C$30/$C$29</f>
        <v>0.21184412189006221</v>
      </c>
      <c r="I36" s="204">
        <f>'Output - Jobs vs Yr (BAU)'!AH8/'Output - Jobs vs Yr (BAU)'!AH24</f>
        <v>0.21495462537089169</v>
      </c>
      <c r="J36"/>
      <c r="K36"/>
      <c r="L36"/>
    </row>
    <row r="37" spans="1:18">
      <c r="B37" s="4" t="s">
        <v>368</v>
      </c>
      <c r="C37" s="138">
        <f>SUM(C35:C36)+'Output -Jobs vs Yr'!N30/'Output -Jobs vs Yr'!N49</f>
        <v>0.31854604243251339</v>
      </c>
      <c r="D37" s="105">
        <f>SUM(D34:D36)</f>
        <v>0.31854604243251339</v>
      </c>
      <c r="E37" s="203">
        <f>SUM(E34:E36)</f>
        <v>0.31854604243251339</v>
      </c>
      <c r="F37" s="203">
        <f>SUM(F34:F36)</f>
        <v>0.29237675776867467</v>
      </c>
      <c r="G37" s="203">
        <f>SUM(G34:G36)</f>
        <v>0.29701483735906703</v>
      </c>
      <c r="H37" s="200">
        <f>C37*$C$30/$C$28</f>
        <v>0.2666453375309622</v>
      </c>
      <c r="I37" s="203">
        <f>SUM(I34:I36)</f>
        <v>0.27307339335170155</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31,9%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7.0000000000000007E-2</v>
      </c>
      <c r="D40" s="105" t="s">
        <v>0</v>
      </c>
      <c r="E40" s="105" t="s">
        <v>0</v>
      </c>
      <c r="F40" s="105" t="s">
        <v>0</v>
      </c>
      <c r="G40" s="103" t="s">
        <v>0</v>
      </c>
      <c r="H40"/>
      <c r="I40"/>
      <c r="J40"/>
      <c r="K40"/>
      <c r="L40"/>
    </row>
    <row r="41" spans="1:18">
      <c r="B41" s="4" t="s">
        <v>374</v>
      </c>
      <c r="C41" s="105">
        <f>C24+C37</f>
        <v>0.38854604243251339</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7" t="s">
        <v>595</v>
      </c>
      <c r="B78" s="567"/>
      <c r="C78" s="567"/>
      <c r="D78" s="567"/>
      <c r="E78" s="567"/>
      <c r="F78" s="567"/>
      <c r="G78" s="567"/>
      <c r="H78" s="567"/>
      <c r="I78" s="567"/>
      <c r="J78" s="567"/>
      <c r="K78" s="567"/>
      <c r="L78" s="567"/>
      <c r="M78" s="567"/>
      <c r="N78" s="567"/>
      <c r="O78" s="567"/>
      <c r="P78" s="567"/>
      <c r="Q78" s="567"/>
      <c r="R78" s="567"/>
      <c r="S78" s="567"/>
      <c r="T78" s="567"/>
      <c r="U78" s="567"/>
      <c r="V78" s="567"/>
      <c r="W78" s="567"/>
      <c r="X78" s="567"/>
      <c r="Y78" s="567"/>
      <c r="Z78" s="567"/>
      <c r="AA78" s="567"/>
      <c r="AB78" s="567"/>
      <c r="AC78" s="567"/>
      <c r="AD78" s="567"/>
      <c r="AE78" s="567"/>
      <c r="AF78" s="567"/>
      <c r="AG78" s="298"/>
      <c r="AH78" s="298"/>
      <c r="AI78" s="298"/>
      <c r="AJ78" s="298"/>
      <c r="AK78" s="298"/>
    </row>
    <row r="79" spans="1:37" customFormat="1" ht="15" customHeight="1">
      <c r="A79" s="566" t="s">
        <v>596</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297"/>
      <c r="AH79" s="297"/>
      <c r="AI79" s="297"/>
      <c r="AJ79" s="297"/>
      <c r="AK79" s="297"/>
    </row>
    <row r="80" spans="1:37" customFormat="1" ht="15" customHeight="1">
      <c r="A80" s="566" t="s">
        <v>597</v>
      </c>
      <c r="B80" s="566"/>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297"/>
      <c r="AH80" s="297"/>
      <c r="AI80" s="297"/>
      <c r="AJ80" s="297"/>
      <c r="AK80" s="297"/>
    </row>
    <row r="81" spans="1:37" customFormat="1" ht="15" customHeight="1">
      <c r="A81" s="566" t="s">
        <v>598</v>
      </c>
      <c r="B81" s="566"/>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566"/>
      <c r="AF81" s="566"/>
      <c r="AG81" s="297"/>
      <c r="AH81" s="297"/>
      <c r="AI81" s="297"/>
      <c r="AJ81" s="297"/>
      <c r="AK81" s="297"/>
    </row>
    <row r="82" spans="1:37" customFormat="1" ht="15" customHeight="1">
      <c r="A82" s="566" t="s">
        <v>599</v>
      </c>
      <c r="B82" s="566"/>
      <c r="C82" s="566"/>
      <c r="D82" s="566"/>
      <c r="E82" s="566"/>
      <c r="F82" s="566"/>
      <c r="G82" s="566"/>
      <c r="H82" s="566"/>
      <c r="I82" s="566"/>
      <c r="J82" s="566"/>
      <c r="K82" s="566"/>
      <c r="L82" s="566"/>
      <c r="M82" s="566"/>
      <c r="N82" s="566"/>
      <c r="O82" s="566"/>
      <c r="P82" s="566"/>
      <c r="Q82" s="566"/>
      <c r="R82" s="566"/>
      <c r="S82" s="566"/>
      <c r="T82" s="566"/>
      <c r="U82" s="566"/>
      <c r="V82" s="566"/>
      <c r="W82" s="566"/>
      <c r="X82" s="566"/>
      <c r="Y82" s="566"/>
      <c r="Z82" s="566"/>
      <c r="AA82" s="566"/>
      <c r="AB82" s="566"/>
      <c r="AC82" s="566"/>
      <c r="AD82" s="566"/>
      <c r="AE82" s="566"/>
      <c r="AF82" s="566"/>
      <c r="AG82" s="297"/>
      <c r="AH82" s="297"/>
      <c r="AI82" s="297"/>
      <c r="AJ82" s="297"/>
      <c r="AK82" s="297"/>
    </row>
    <row r="83" spans="1:37" customFormat="1" ht="15" customHeight="1">
      <c r="A83" s="566" t="s">
        <v>600</v>
      </c>
      <c r="B83" s="566"/>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297"/>
      <c r="AH83" s="297"/>
      <c r="AI83" s="297"/>
      <c r="AJ83" s="297"/>
      <c r="AK83" s="297"/>
    </row>
    <row r="84" spans="1:37" customFormat="1" ht="15" customHeight="1">
      <c r="A84" s="566" t="s">
        <v>601</v>
      </c>
      <c r="B84" s="566"/>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297"/>
      <c r="AH84" s="297"/>
      <c r="AI84" s="297"/>
      <c r="AJ84" s="297"/>
      <c r="AK84" s="297"/>
    </row>
    <row r="85" spans="1:37" customFormat="1" ht="15" customHeight="1">
      <c r="A85" s="566" t="s">
        <v>602</v>
      </c>
      <c r="B85" s="566"/>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297"/>
      <c r="AH85" s="297"/>
      <c r="AI85" s="297"/>
      <c r="AJ85" s="297"/>
      <c r="AK85" s="297"/>
    </row>
    <row r="86" spans="1:37" customFormat="1" ht="15" customHeight="1">
      <c r="A86" s="566" t="s">
        <v>603</v>
      </c>
      <c r="B86" s="566"/>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c r="AC86" s="566"/>
      <c r="AD86" s="566"/>
      <c r="AE86" s="566"/>
      <c r="AF86" s="566"/>
      <c r="AG86" s="297"/>
      <c r="AH86" s="297"/>
      <c r="AI86" s="297"/>
      <c r="AJ86" s="297"/>
      <c r="AK86" s="297"/>
    </row>
    <row r="87" spans="1:37" customFormat="1" ht="15" customHeight="1">
      <c r="A87" s="566" t="s">
        <v>604</v>
      </c>
      <c r="B87" s="566"/>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c r="AG87" s="297"/>
      <c r="AH87" s="297"/>
      <c r="AI87" s="297"/>
      <c r="AJ87" s="297"/>
      <c r="AK87" s="297"/>
    </row>
    <row r="88" spans="1:37" customFormat="1" ht="15" customHeight="1">
      <c r="A88" s="566" t="s">
        <v>605</v>
      </c>
      <c r="B88" s="566"/>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297"/>
      <c r="AH88" s="297"/>
      <c r="AI88" s="297"/>
      <c r="AJ88" s="297"/>
      <c r="AK88" s="297"/>
    </row>
    <row r="89" spans="1:37" customFormat="1" ht="15" customHeight="1">
      <c r="A89" s="566" t="s">
        <v>606</v>
      </c>
      <c r="B89" s="566"/>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297"/>
      <c r="AH89" s="297"/>
      <c r="AI89" s="297"/>
      <c r="AJ89" s="297"/>
      <c r="AK89" s="297"/>
    </row>
    <row r="90" spans="1:37" customFormat="1" ht="15" customHeight="1">
      <c r="A90" s="566" t="s">
        <v>607</v>
      </c>
      <c r="B90" s="566"/>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297"/>
      <c r="AH90" s="297"/>
      <c r="AI90" s="297"/>
      <c r="AJ90" s="297"/>
      <c r="AK90" s="297"/>
    </row>
    <row r="91" spans="1:37" customFormat="1" ht="15" customHeight="1">
      <c r="A91" s="566" t="s">
        <v>608</v>
      </c>
      <c r="B91" s="566"/>
      <c r="C91" s="566"/>
      <c r="D91" s="566"/>
      <c r="E91" s="566"/>
      <c r="F91" s="566"/>
      <c r="G91" s="566"/>
      <c r="H91" s="566"/>
      <c r="I91" s="566"/>
      <c r="J91" s="566"/>
      <c r="K91" s="566"/>
      <c r="L91" s="566"/>
      <c r="M91" s="566"/>
      <c r="N91" s="566"/>
      <c r="O91" s="566"/>
      <c r="P91" s="566"/>
      <c r="Q91" s="566"/>
      <c r="R91" s="566"/>
      <c r="S91" s="566"/>
      <c r="T91" s="566"/>
      <c r="U91" s="566"/>
      <c r="V91" s="566"/>
      <c r="W91" s="566"/>
      <c r="X91" s="566"/>
      <c r="Y91" s="566"/>
      <c r="Z91" s="566"/>
      <c r="AA91" s="566"/>
      <c r="AB91" s="566"/>
      <c r="AC91" s="566"/>
      <c r="AD91" s="566"/>
      <c r="AE91" s="566"/>
      <c r="AF91" s="566"/>
      <c r="AG91" s="297"/>
      <c r="AH91" s="297"/>
      <c r="AI91" s="297"/>
      <c r="AJ91" s="297"/>
      <c r="AK91" s="297"/>
    </row>
    <row r="92" spans="1:37" customFormat="1" ht="15" customHeight="1">
      <c r="A92" s="566" t="s">
        <v>609</v>
      </c>
      <c r="B92" s="566"/>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297"/>
      <c r="AH92" s="297"/>
      <c r="AI92" s="297"/>
      <c r="AJ92" s="297"/>
      <c r="AK92" s="297"/>
    </row>
    <row r="93" spans="1:37" customFormat="1" ht="15" customHeight="1">
      <c r="A93" s="566" t="s">
        <v>610</v>
      </c>
      <c r="B93" s="566"/>
      <c r="C93" s="566"/>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297"/>
      <c r="AH93" s="297"/>
      <c r="AI93" s="297"/>
      <c r="AJ93" s="297"/>
      <c r="AK93" s="297"/>
    </row>
    <row r="94" spans="1:37" customFormat="1" ht="15" customHeight="1">
      <c r="A94" s="566" t="s">
        <v>611</v>
      </c>
      <c r="B94" s="566"/>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297"/>
      <c r="AH94" s="297"/>
      <c r="AI94" s="297"/>
      <c r="AJ94" s="297"/>
      <c r="AK94" s="297"/>
    </row>
    <row r="95" spans="1:37" customFormat="1" ht="15" customHeight="1">
      <c r="A95" s="566" t="s">
        <v>612</v>
      </c>
      <c r="B95" s="566"/>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297"/>
      <c r="AH95" s="297"/>
      <c r="AI95" s="297"/>
      <c r="AJ95" s="297"/>
      <c r="AK95" s="297"/>
    </row>
    <row r="96" spans="1:37" customFormat="1" ht="15" customHeight="1">
      <c r="A96" s="566" t="s">
        <v>613</v>
      </c>
      <c r="B96" s="566"/>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297"/>
      <c r="AH96" s="297"/>
      <c r="AI96" s="297"/>
      <c r="AJ96" s="297"/>
      <c r="AK96" s="297"/>
    </row>
    <row r="97" spans="1:37" customFormat="1" ht="15" customHeight="1">
      <c r="A97" s="566" t="s">
        <v>614</v>
      </c>
      <c r="B97" s="566"/>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297"/>
      <c r="AH97" s="297"/>
      <c r="AI97" s="297"/>
      <c r="AJ97" s="297"/>
      <c r="AK97" s="297"/>
    </row>
    <row r="98" spans="1:37" customFormat="1" ht="15" customHeight="1">
      <c r="A98" s="566" t="s">
        <v>615</v>
      </c>
      <c r="B98" s="566"/>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297"/>
      <c r="AH98" s="297"/>
      <c r="AI98" s="297"/>
      <c r="AJ98" s="297"/>
      <c r="AK98" s="297"/>
    </row>
    <row r="99" spans="1:37" customFormat="1" ht="15" customHeight="1">
      <c r="A99" s="566" t="s">
        <v>616</v>
      </c>
      <c r="B99" s="566"/>
      <c r="C99" s="566"/>
      <c r="D99" s="566"/>
      <c r="E99" s="566"/>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297"/>
      <c r="AH99" s="297"/>
      <c r="AI99" s="297"/>
      <c r="AJ99" s="297"/>
      <c r="AK99" s="297"/>
    </row>
    <row r="100" spans="1:37" customFormat="1" ht="15" customHeight="1">
      <c r="A100" s="566" t="s">
        <v>617</v>
      </c>
      <c r="B100" s="566"/>
      <c r="C100" s="566"/>
      <c r="D100" s="566"/>
      <c r="E100" s="566"/>
      <c r="F100" s="566"/>
      <c r="G100" s="566"/>
      <c r="H100" s="566"/>
      <c r="I100" s="566"/>
      <c r="J100" s="566"/>
      <c r="K100" s="566"/>
      <c r="L100" s="566"/>
      <c r="M100" s="566"/>
      <c r="N100" s="566"/>
      <c r="O100" s="566"/>
      <c r="P100" s="566"/>
      <c r="Q100" s="566"/>
      <c r="R100" s="566"/>
      <c r="S100" s="566"/>
      <c r="T100" s="566"/>
      <c r="U100" s="566"/>
      <c r="V100" s="566"/>
      <c r="W100" s="566"/>
      <c r="X100" s="566"/>
      <c r="Y100" s="566"/>
      <c r="Z100" s="566"/>
      <c r="AA100" s="566"/>
      <c r="AB100" s="566"/>
      <c r="AC100" s="566"/>
      <c r="AD100" s="566"/>
      <c r="AE100" s="566"/>
      <c r="AF100" s="566"/>
      <c r="AG100" s="297"/>
      <c r="AH100" s="297"/>
      <c r="AI100" s="297"/>
      <c r="AJ100" s="297"/>
      <c r="AK100" s="297"/>
    </row>
    <row r="101" spans="1:37" customFormat="1" ht="15" customHeight="1">
      <c r="A101" s="566" t="s">
        <v>618</v>
      </c>
      <c r="B101" s="566"/>
      <c r="C101" s="566"/>
      <c r="D101" s="566"/>
      <c r="E101" s="566"/>
      <c r="F101" s="566"/>
      <c r="G101" s="566"/>
      <c r="H101" s="566"/>
      <c r="I101" s="566"/>
      <c r="J101" s="566"/>
      <c r="K101" s="566"/>
      <c r="L101" s="566"/>
      <c r="M101" s="566"/>
      <c r="N101" s="566"/>
      <c r="O101" s="566"/>
      <c r="P101" s="566"/>
      <c r="Q101" s="566"/>
      <c r="R101" s="566"/>
      <c r="S101" s="566"/>
      <c r="T101" s="566"/>
      <c r="U101" s="566"/>
      <c r="V101" s="566"/>
      <c r="W101" s="566"/>
      <c r="X101" s="566"/>
      <c r="Y101" s="566"/>
      <c r="Z101" s="566"/>
      <c r="AA101" s="566"/>
      <c r="AB101" s="566"/>
      <c r="AC101" s="566"/>
      <c r="AD101" s="566"/>
      <c r="AE101" s="566"/>
      <c r="AF101" s="566"/>
      <c r="AG101" s="297"/>
      <c r="AH101" s="297"/>
      <c r="AI101" s="297"/>
      <c r="AJ101" s="297"/>
      <c r="AK101" s="297"/>
    </row>
    <row r="102" spans="1:37" customFormat="1" ht="15" customHeight="1">
      <c r="A102" s="566" t="s">
        <v>619</v>
      </c>
      <c r="B102" s="566"/>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c r="AG102" s="297"/>
      <c r="AH102" s="297"/>
      <c r="AI102" s="297"/>
      <c r="AJ102" s="297"/>
      <c r="AK102" s="297"/>
    </row>
    <row r="103" spans="1:37" customFormat="1" ht="15" customHeight="1">
      <c r="A103" s="566" t="s">
        <v>620</v>
      </c>
      <c r="B103" s="566"/>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c r="AF103" s="566"/>
      <c r="AG103" s="297"/>
      <c r="AH103" s="297"/>
      <c r="AI103" s="297"/>
      <c r="AJ103" s="297"/>
      <c r="AK103" s="297"/>
    </row>
    <row r="104" spans="1:37" customFormat="1" ht="15" customHeight="1">
      <c r="A104" s="566" t="s">
        <v>621</v>
      </c>
      <c r="B104" s="566"/>
      <c r="C104" s="566"/>
      <c r="D104" s="566"/>
      <c r="E104" s="566"/>
      <c r="F104" s="566"/>
      <c r="G104" s="566"/>
      <c r="H104" s="566"/>
      <c r="I104" s="566"/>
      <c r="J104" s="566"/>
      <c r="K104" s="566"/>
      <c r="L104" s="566"/>
      <c r="M104" s="566"/>
      <c r="N104" s="566"/>
      <c r="O104" s="566"/>
      <c r="P104" s="566"/>
      <c r="Q104" s="566"/>
      <c r="R104" s="566"/>
      <c r="S104" s="566"/>
      <c r="T104" s="566"/>
      <c r="U104" s="566"/>
      <c r="V104" s="566"/>
      <c r="W104" s="566"/>
      <c r="X104" s="566"/>
      <c r="Y104" s="566"/>
      <c r="Z104" s="566"/>
      <c r="AA104" s="566"/>
      <c r="AB104" s="566"/>
      <c r="AC104" s="566"/>
      <c r="AD104" s="566"/>
      <c r="AE104" s="566"/>
      <c r="AF104" s="566"/>
      <c r="AG104" s="297"/>
      <c r="AH104" s="297"/>
      <c r="AI104" s="297"/>
      <c r="AJ104" s="297"/>
      <c r="AK104" s="297"/>
    </row>
    <row r="105" spans="1:37" customFormat="1" ht="15" customHeight="1">
      <c r="A105" s="566" t="s">
        <v>622</v>
      </c>
      <c r="B105" s="566"/>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297"/>
      <c r="AH105" s="297"/>
      <c r="AI105" s="297"/>
      <c r="AJ105" s="297"/>
      <c r="AK105" s="297"/>
    </row>
    <row r="106" spans="1:37" customFormat="1" ht="15" customHeight="1">
      <c r="A106" s="566" t="s">
        <v>623</v>
      </c>
      <c r="B106" s="566"/>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297"/>
      <c r="AH106" s="297"/>
      <c r="AI106" s="297"/>
      <c r="AJ106" s="297"/>
      <c r="AK106" s="297"/>
    </row>
    <row r="107" spans="1:37" customFormat="1" ht="15" customHeight="1">
      <c r="A107" s="566" t="s">
        <v>624</v>
      </c>
      <c r="B107" s="566"/>
      <c r="C107" s="566"/>
      <c r="D107" s="566"/>
      <c r="E107" s="566"/>
      <c r="F107" s="566"/>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297"/>
      <c r="AH107" s="297"/>
      <c r="AI107" s="297"/>
      <c r="AJ107" s="297"/>
      <c r="AK107" s="297"/>
    </row>
    <row r="108" spans="1:37" customFormat="1" ht="15" customHeight="1">
      <c r="A108" s="566" t="s">
        <v>625</v>
      </c>
      <c r="B108" s="566"/>
      <c r="C108" s="566"/>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297"/>
      <c r="AH108" s="297"/>
      <c r="AI108" s="297"/>
      <c r="AJ108" s="297"/>
      <c r="AK108" s="297"/>
    </row>
    <row r="109" spans="1:37" customFormat="1" ht="15" customHeight="1">
      <c r="A109" s="566" t="s">
        <v>626</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1"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row>
    <row r="2" spans="1:38" hidden="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row>
    <row r="3" spans="1:38" hidden="1">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row>
    <row r="4" spans="1:38" hidden="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row>
    <row r="5" spans="1:38" hidden="1">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row>
    <row r="6" spans="1:38" hidden="1">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row>
    <row r="7" spans="1:38" ht="23.25" hidden="1"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row>
    <row r="8" spans="1:38" s="159" customFormat="1" ht="15.75" hidden="1" customHeight="1">
      <c r="A8" s="537"/>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row>
    <row r="9" spans="1:38" ht="21" hidden="1" customHeight="1">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111802.99999999999</v>
      </c>
      <c r="D13" s="330">
        <f>EIA_electricity_aeo2014!F58*1000</f>
        <v>111542</v>
      </c>
      <c r="E13" s="330">
        <f>EIA_electricity_aeo2014!G58*1000</f>
        <v>114128.75976861686</v>
      </c>
      <c r="F13" s="330">
        <f>EIA_electricity_aeo2014!H58*1000</f>
        <v>115152.65221889417</v>
      </c>
      <c r="G13" s="330">
        <f>EIA_electricity_aeo2014!I58*1000</f>
        <v>115443.72106544011</v>
      </c>
      <c r="H13" s="286">
        <f>EIA_electricity_aeo2014!J58*1000</f>
        <v>117129.56084187319</v>
      </c>
      <c r="I13" s="83">
        <f>EIA_electricity_aeo2014!K58*1000</f>
        <v>120321.64470431587</v>
      </c>
      <c r="J13" s="83">
        <f>EIA_electricity_aeo2014!L58*1000</f>
        <v>124542.94565963518</v>
      </c>
      <c r="K13" s="83">
        <f>EIA_electricity_aeo2014!M58*1000</f>
        <v>125807.11553132175</v>
      </c>
      <c r="L13" s="83">
        <f>EIA_electricity_aeo2014!N58*1000</f>
        <v>126959.90096636266</v>
      </c>
      <c r="M13" s="83">
        <f>EIA_electricity_aeo2014!O58*1000</f>
        <v>128178.72203709368</v>
      </c>
      <c r="N13" s="177">
        <f>EIA_electricity_aeo2014!P58*1000</f>
        <v>129403.64554308457</v>
      </c>
      <c r="O13" s="83">
        <f>EIA_electricity_aeo2014!Q58*1000</f>
        <v>130461.16159898174</v>
      </c>
      <c r="P13" s="83">
        <f>EIA_electricity_aeo2014!R58*1000</f>
        <v>131769.89561552688</v>
      </c>
      <c r="Q13" s="83">
        <f>EIA_electricity_aeo2014!S58*1000</f>
        <v>133650.47624265865</v>
      </c>
      <c r="R13" s="83">
        <f>EIA_electricity_aeo2014!T58*1000</f>
        <v>135341.98396780144</v>
      </c>
      <c r="S13" s="83">
        <f>EIA_electricity_aeo2014!U58*1000</f>
        <v>136505.64872592504</v>
      </c>
      <c r="T13" s="83">
        <f>EIA_electricity_aeo2014!V58*1000</f>
        <v>137490.68822055735</v>
      </c>
      <c r="U13" s="83">
        <f>EIA_electricity_aeo2014!W58*1000</f>
        <v>138527.12784093965</v>
      </c>
      <c r="V13" s="83">
        <f>EIA_electricity_aeo2014!X58*1000</f>
        <v>139784.29093003334</v>
      </c>
      <c r="W13" s="83">
        <f>EIA_electricity_aeo2014!Y58*1000</f>
        <v>140511.72394895487</v>
      </c>
      <c r="X13" s="184">
        <f>EIA_electricity_aeo2014!Z58*1000</f>
        <v>141876.95022051357</v>
      </c>
      <c r="Y13" s="174">
        <f>EIA_electricity_aeo2014!AA58*1000</f>
        <v>142807.70815587565</v>
      </c>
      <c r="Z13" s="174">
        <f>EIA_electricity_aeo2014!AB58*1000</f>
        <v>143985.98319387477</v>
      </c>
      <c r="AA13" s="174">
        <f>EIA_electricity_aeo2014!AC58*1000</f>
        <v>144846.8696315561</v>
      </c>
      <c r="AB13" s="174">
        <f>EIA_electricity_aeo2014!AD58*1000</f>
        <v>146070.38559085462</v>
      </c>
      <c r="AC13" s="174">
        <f>EIA_electricity_aeo2014!AE58*1000</f>
        <v>147859.78886121625</v>
      </c>
      <c r="AD13" s="174">
        <f>EIA_electricity_aeo2014!AF58*1000</f>
        <v>149335.14061923881</v>
      </c>
      <c r="AE13" s="174">
        <f>EIA_electricity_aeo2014!AG58*1000</f>
        <v>151089.54194372855</v>
      </c>
      <c r="AF13" s="174">
        <f>EIA_electricity_aeo2014!AH58*1000</f>
        <v>152998.83965497641</v>
      </c>
      <c r="AG13" s="174">
        <f>EIA_electricity_aeo2014!AI58*1000</f>
        <v>154624.09708791989</v>
      </c>
      <c r="AH13" s="184">
        <f>EIA_electricity_aeo2014!AJ58*1000</f>
        <v>156026.99350687308</v>
      </c>
      <c r="AI13" s="115">
        <f>X13/C13-1</f>
        <v>0.26899054784320264</v>
      </c>
      <c r="AJ13" s="165">
        <f>(1+AJ11)^21-1</f>
        <v>0.24007814276920247</v>
      </c>
      <c r="AK13" s="168">
        <f>(1+AK11)^21-1</f>
        <v>0.11389489977934208</v>
      </c>
      <c r="AL13" s="121"/>
    </row>
    <row r="14" spans="1:38" s="20" customFormat="1">
      <c r="A14" s="20" t="s">
        <v>131</v>
      </c>
      <c r="B14" s="33"/>
      <c r="C14" s="330">
        <f>EIA_electricity_aeo2014!E58 * 1000</f>
        <v>111802.99999999999</v>
      </c>
      <c r="D14" s="330">
        <f>IF(Inputs!$C$7="BAU",'Output -Jobs vs Yr'!D13,C14+($X$14-$C$14)/($X$11-$C$11) )</f>
        <v>111542</v>
      </c>
      <c r="E14" s="330">
        <f>IF(Inputs!$C$7="BAU",'Output -Jobs vs Yr'!E13,D14+($X$14-$C$14)/($X$11-$C$11) )</f>
        <v>114128.75976861686</v>
      </c>
      <c r="F14" s="330">
        <f>IF(Inputs!$C$7="BAU",'Output -Jobs vs Yr'!F13,E14+($X$14-$C$14)/($X$11-$C$11) )</f>
        <v>115152.65221889417</v>
      </c>
      <c r="G14" s="330">
        <f>IF(Inputs!$C$7="BAU",'Output -Jobs vs Yr'!G13,F14+($X$14-$C$14)/($X$11-$C$11) )</f>
        <v>115443.72106544011</v>
      </c>
      <c r="H14" s="286">
        <f>EIA_electricity_aeo2014!J58*1000</f>
        <v>117129.56084187319</v>
      </c>
      <c r="I14" s="83">
        <f>IF(Inputs!$C$7="BAU",'Output -Jobs vs Yr'!I13,H14+($X$14-$C$14)/($X$11-$C$11) )</f>
        <v>120321.64470431587</v>
      </c>
      <c r="J14" s="83">
        <f>IF(Inputs!$C$7="BAU",'Output -Jobs vs Yr'!J13,I14+($X$14-$C$14)/($X$11-$C$11) )</f>
        <v>124542.94565963518</v>
      </c>
      <c r="K14" s="83">
        <f>IF(Inputs!$C$7="BAU",'Output -Jobs vs Yr'!K13,J14+($X$14-$C$14)/($X$11-$C$11) )</f>
        <v>125807.11553132175</v>
      </c>
      <c r="L14" s="83">
        <f>IF(Inputs!$C$7="BAU",'Output -Jobs vs Yr'!L13,K14+($X$14-$C$14)/($X$11-$C$11) )</f>
        <v>126959.90096636266</v>
      </c>
      <c r="M14" s="83">
        <f>IF(Inputs!$C$7="BAU",'Output -Jobs vs Yr'!M13,L14+($X$14-$C$14)/($X$11-$C$11) )</f>
        <v>128178.72203709368</v>
      </c>
      <c r="N14" s="177">
        <f>IF(Inputs!$C$7="BAU",'Output -Jobs vs Yr'!N13,M14+($X$14-$C$14)/($X$11-$C$11) )</f>
        <v>129403.64554308457</v>
      </c>
      <c r="O14" s="83">
        <f>IF(Inputs!$C$7="BAU",'Output -Jobs vs Yr'!O13,N14+($X$14-$C$14)/($X$11-$C$11) )</f>
        <v>130461.16159898174</v>
      </c>
      <c r="P14" s="83">
        <f>IF(Inputs!$C$7="BAU",'Output -Jobs vs Yr'!P13,O14+($X$14-$C$14)/($X$11-$C$11) )</f>
        <v>131769.89561552688</v>
      </c>
      <c r="Q14" s="83">
        <f>IF(Inputs!$C$7="BAU",'Output -Jobs vs Yr'!Q13,P14+($X$14-$C$14)/($X$11-$C$11) )</f>
        <v>133650.47624265865</v>
      </c>
      <c r="R14" s="83">
        <f>IF(Inputs!$C$7="BAU",'Output -Jobs vs Yr'!R13,Q14+($X$14-$C$14)/($X$11-$C$11) )</f>
        <v>135341.98396780144</v>
      </c>
      <c r="S14" s="83">
        <f>IF(Inputs!$C$7="BAU",'Output -Jobs vs Yr'!S13,R14+($X$14-$C$14)/($X$11-$C$11) )</f>
        <v>136505.64872592504</v>
      </c>
      <c r="T14" s="83">
        <f>IF(Inputs!$C$7="BAU",'Output -Jobs vs Yr'!T13,S14+($X$14-$C$14)/($X$11-$C$11) )</f>
        <v>137490.68822055735</v>
      </c>
      <c r="U14" s="83">
        <f>IF(Inputs!$C$7="BAU",'Output -Jobs vs Yr'!U13,T14+($X$14-$C$14)/($X$11-$C$11) )</f>
        <v>138527.12784093965</v>
      </c>
      <c r="V14" s="83">
        <f>IF(Inputs!$C$7="BAU",'Output -Jobs vs Yr'!V13,U14+($X$14-$C$14)/($X$11-$C$11) )</f>
        <v>139784.29093003334</v>
      </c>
      <c r="W14" s="83">
        <f>IF(Inputs!$C$7="BAU",'Output -Jobs vs Yr'!W13,V14+($X$14-$C$14)/($X$11-$C$11) )</f>
        <v>140511.72394895487</v>
      </c>
      <c r="X14" s="184">
        <f>IF(Inputs!$C$7="BAU",'Output -Jobs vs Yr'!X13,C14*(1+Inputs!C7) )</f>
        <v>141876.95022051357</v>
      </c>
      <c r="Y14" s="174">
        <f>IF(Inputs!$C$7="BAU",'Output -Jobs vs Yr'!Y13,D14*(1+Inputs!D7) )</f>
        <v>142807.70815587565</v>
      </c>
      <c r="Z14" s="174">
        <f>IF(Inputs!$C$7="BAU",'Output -Jobs vs Yr'!Z13,E14*(1+Inputs!E7) )</f>
        <v>143985.98319387477</v>
      </c>
      <c r="AA14" s="174">
        <f>IF(Inputs!$C$7="BAU",'Output -Jobs vs Yr'!AA13,F14*(1+Inputs!F7) )</f>
        <v>144846.8696315561</v>
      </c>
      <c r="AB14" s="174">
        <f>IF(Inputs!$C$7="BAU",'Output -Jobs vs Yr'!AB13,G14*(1+Inputs!G7) )</f>
        <v>146070.38559085462</v>
      </c>
      <c r="AC14" s="174">
        <f>IF(Inputs!$C$7="BAU",'Output -Jobs vs Yr'!AC13,H14*(1+Inputs!H7) )</f>
        <v>147859.78886121625</v>
      </c>
      <c r="AD14" s="174">
        <f>IF(Inputs!$C$7="BAU",'Output -Jobs vs Yr'!AD13,I14*(1+Inputs!L7) )</f>
        <v>149335.14061923881</v>
      </c>
      <c r="AE14" s="174">
        <f>IF(Inputs!$C$7="BAU",'Output -Jobs vs Yr'!AE13,J14*(1+Inputs!M7) )</f>
        <v>151089.54194372855</v>
      </c>
      <c r="AF14" s="174">
        <f>IF(Inputs!$C$7="BAU",'Output -Jobs vs Yr'!AF13,K14*(1+Inputs!N7) )</f>
        <v>152998.83965497641</v>
      </c>
      <c r="AG14" s="174">
        <f>IF(Inputs!$C$7="BAU",'Output -Jobs vs Yr'!AG13,L14*(1+Inputs!O7) )</f>
        <v>154624.09708791989</v>
      </c>
      <c r="AH14" s="184">
        <f>IF(Inputs!$C$7="BAU",'Output -Jobs vs Yr'!AH13,M14*(1+Inputs!P7) )</f>
        <v>156026.99350687308</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4.6547856497589513E-3</v>
      </c>
      <c r="D16" s="381">
        <f t="shared" si="1"/>
        <v>7.863336112152345E-3</v>
      </c>
      <c r="E16" s="381">
        <f t="shared" si="1"/>
        <v>1.0729621241134361E-2</v>
      </c>
      <c r="F16" s="381">
        <f t="shared" si="1"/>
        <v>1.4146868108188677E-2</v>
      </c>
      <c r="G16" s="381">
        <f t="shared" si="1"/>
        <v>1.5969693194096263E-2</v>
      </c>
      <c r="H16" s="381">
        <f t="shared" si="1"/>
        <v>1.5928577473357856E-2</v>
      </c>
      <c r="I16" s="381">
        <f t="shared" si="1"/>
        <v>2.0388617266755373E-2</v>
      </c>
      <c r="J16" s="381">
        <f t="shared" si="1"/>
        <v>2.5988823968968872E-2</v>
      </c>
      <c r="K16" s="381">
        <f t="shared" si="1"/>
        <v>3.3251336381813996E-2</v>
      </c>
      <c r="L16" s="381">
        <f t="shared" si="1"/>
        <v>4.2586920402806858E-2</v>
      </c>
      <c r="M16" s="381">
        <f t="shared" si="1"/>
        <v>5.4595944610291366E-2</v>
      </c>
      <c r="N16" s="381">
        <f>Inputs!C11</f>
        <v>7.0000000000000007E-2</v>
      </c>
      <c r="O16" s="381">
        <f t="shared" ref="O16:W16" si="2">O95</f>
        <v>7.2603105625575967E-2</v>
      </c>
      <c r="P16" s="381">
        <f t="shared" si="2"/>
        <v>7.5244165546309513E-2</v>
      </c>
      <c r="Q16" s="381">
        <f t="shared" si="2"/>
        <v>7.7980413297471823E-2</v>
      </c>
      <c r="R16" s="381">
        <f t="shared" si="2"/>
        <v>8.0815713137694409E-2</v>
      </c>
      <c r="S16" s="381">
        <f t="shared" si="2"/>
        <v>8.3753911103438786E-2</v>
      </c>
      <c r="T16" s="381">
        <f t="shared" si="2"/>
        <v>8.6798568295901782E-2</v>
      </c>
      <c r="U16" s="381">
        <f t="shared" si="2"/>
        <v>8.9953407416411099E-2</v>
      </c>
      <c r="V16" s="381">
        <f t="shared" si="2"/>
        <v>9.3222299704848244E-2</v>
      </c>
      <c r="W16" s="381">
        <f t="shared" si="2"/>
        <v>9.660997901375952E-2</v>
      </c>
      <c r="X16" s="382">
        <f>Inputs!C12</f>
        <v>0.1</v>
      </c>
      <c r="Y16" s="383">
        <f>Y95</f>
        <v>0.10426401801574077</v>
      </c>
      <c r="Z16" s="383">
        <f t="shared" ref="Z16:AG16" si="3">Z95</f>
        <v>0.10857913440879584</v>
      </c>
      <c r="AA16" s="383">
        <f t="shared" si="3"/>
        <v>0.11307277039919904</v>
      </c>
      <c r="AB16" s="383">
        <f t="shared" si="3"/>
        <v>0.11775166856016249</v>
      </c>
      <c r="AC16" s="383">
        <f t="shared" si="3"/>
        <v>0.12262327674699917</v>
      </c>
      <c r="AD16" s="383">
        <f t="shared" si="3"/>
        <v>0.12769646605576482</v>
      </c>
      <c r="AE16" s="383">
        <f t="shared" si="3"/>
        <v>0.13297897019699748</v>
      </c>
      <c r="AF16" s="383">
        <f t="shared" si="3"/>
        <v>0.13847958665428731</v>
      </c>
      <c r="AG16" s="383">
        <f t="shared" si="3"/>
        <v>0.14420782484768915</v>
      </c>
      <c r="AH16" s="382">
        <f>Inputs!C13</f>
        <v>0.15</v>
      </c>
      <c r="AI16" s="384" t="s">
        <v>0</v>
      </c>
      <c r="AJ16" s="385"/>
      <c r="AK16" s="386"/>
      <c r="AL16" s="387"/>
    </row>
    <row r="17" spans="1:37" s="281" customFormat="1">
      <c r="A17" s="281" t="s">
        <v>115</v>
      </c>
      <c r="B17" s="282"/>
      <c r="C17" s="337"/>
      <c r="D17" s="332">
        <f>D16/C16-1</f>
        <v>0.68930144238962954</v>
      </c>
      <c r="E17" s="332">
        <f t="shared" ref="E17:M17" si="4">E16/D16-1</f>
        <v>0.36451260484113512</v>
      </c>
      <c r="F17" s="332">
        <f t="shared" si="4"/>
        <v>0.31848718517234786</v>
      </c>
      <c r="G17" s="332">
        <f t="shared" si="4"/>
        <v>0.1288500798881751</v>
      </c>
      <c r="H17" s="284"/>
      <c r="I17" s="284">
        <f t="shared" si="4"/>
        <v>0.28000239198116605</v>
      </c>
      <c r="J17" s="284">
        <f t="shared" si="4"/>
        <v>0.27467319774278698</v>
      </c>
      <c r="K17" s="284">
        <f t="shared" si="4"/>
        <v>0.27944752026935493</v>
      </c>
      <c r="L17" s="284">
        <f t="shared" si="4"/>
        <v>0.28075816002687737</v>
      </c>
      <c r="M17" s="284">
        <f t="shared" si="4"/>
        <v>0.28198855643699017</v>
      </c>
      <c r="N17" s="284">
        <f>N16/M16-1</f>
        <v>0.28214651288962167</v>
      </c>
      <c r="O17" s="284">
        <f>O16/N16-1</f>
        <v>3.7187223222513666E-2</v>
      </c>
      <c r="P17" s="284">
        <f t="shared" ref="P17:X17" si="5">P16/O16-1</f>
        <v>3.6376679729843042E-2</v>
      </c>
      <c r="Q17" s="284">
        <f t="shared" si="5"/>
        <v>3.636491588810653E-2</v>
      </c>
      <c r="R17" s="284">
        <f t="shared" si="5"/>
        <v>3.6359128149356712E-2</v>
      </c>
      <c r="S17" s="284">
        <f t="shared" si="5"/>
        <v>3.6356765926673917E-2</v>
      </c>
      <c r="T17" s="284">
        <f t="shared" si="5"/>
        <v>3.6352418082335802E-2</v>
      </c>
      <c r="U17" s="284">
        <f t="shared" si="5"/>
        <v>3.6346672329366836E-2</v>
      </c>
      <c r="V17" s="284">
        <f t="shared" si="5"/>
        <v>3.6339838393278701E-2</v>
      </c>
      <c r="W17" s="284">
        <f t="shared" si="5"/>
        <v>3.6339795517135176E-2</v>
      </c>
      <c r="X17" s="283">
        <f t="shared" si="5"/>
        <v>3.508976009359932E-2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0.27425024373227913</v>
      </c>
      <c r="D18" s="332">
        <f t="shared" ref="D18:G18" si="6">($N$18-$C$18)/($N$11-$C$11)+C18</f>
        <v>0.27232550722663162</v>
      </c>
      <c r="E18" s="332">
        <f t="shared" si="6"/>
        <v>0.27040077072098412</v>
      </c>
      <c r="F18" s="332">
        <f t="shared" si="6"/>
        <v>0.26847603421533661</v>
      </c>
      <c r="G18" s="332">
        <f t="shared" si="6"/>
        <v>0.26655129770968911</v>
      </c>
      <c r="H18" s="284">
        <f>H32/H14</f>
        <v>0.24027280023254269</v>
      </c>
      <c r="I18" s="172">
        <f>($N$18-$H$18)/($N$11-$H$11)+H18</f>
        <v>0.24240702388881169</v>
      </c>
      <c r="J18" s="172">
        <f t="shared" ref="J18:M18" si="7">($N$18-$H$18)/($N$11-$H$11)+I18</f>
        <v>0.24454124754508072</v>
      </c>
      <c r="K18" s="172">
        <f t="shared" si="7"/>
        <v>0.24667547120134975</v>
      </c>
      <c r="L18" s="172">
        <f t="shared" si="7"/>
        <v>0.24880969485761878</v>
      </c>
      <c r="M18" s="172">
        <f t="shared" si="7"/>
        <v>0.25094391851388781</v>
      </c>
      <c r="N18" s="180">
        <f>Inputs!C36</f>
        <v>0.25307814217015678</v>
      </c>
      <c r="O18" s="91">
        <f t="shared" ref="O18:W18" si="8">($X$18-$N$18)/($X$11-$N$11)+N18</f>
        <v>0.2509990474515183</v>
      </c>
      <c r="P18" s="91">
        <f t="shared" si="8"/>
        <v>0.24891995273287981</v>
      </c>
      <c r="Q18" s="91">
        <f t="shared" si="8"/>
        <v>0.24684085801424133</v>
      </c>
      <c r="R18" s="91">
        <f t="shared" si="8"/>
        <v>0.24476176329560284</v>
      </c>
      <c r="S18" s="22">
        <f t="shared" si="8"/>
        <v>0.24268266857696436</v>
      </c>
      <c r="T18" s="91">
        <f t="shared" si="8"/>
        <v>0.24060357385832587</v>
      </c>
      <c r="U18" s="91">
        <f t="shared" si="8"/>
        <v>0.23852447913968738</v>
      </c>
      <c r="V18" s="91">
        <f t="shared" si="8"/>
        <v>0.2364453844210489</v>
      </c>
      <c r="W18" s="91">
        <f t="shared" si="8"/>
        <v>0.23436628970241041</v>
      </c>
      <c r="X18" s="185">
        <f>Inputs!F36</f>
        <v>0.23228719498377201</v>
      </c>
      <c r="Y18" s="172">
        <f>($AH$18-$X$18)/($AH$11-$X$11)+X18</f>
        <v>0.23024288767440104</v>
      </c>
      <c r="Z18" s="172">
        <f t="shared" ref="Z18:AG18" si="9">($AH$18-$X$18)/($AH$11-$X$11)+Y18</f>
        <v>0.22819858036503007</v>
      </c>
      <c r="AA18" s="172">
        <f t="shared" si="9"/>
        <v>0.22615427305565911</v>
      </c>
      <c r="AB18" s="172">
        <f t="shared" si="9"/>
        <v>0.22410996574628814</v>
      </c>
      <c r="AC18" s="172">
        <f t="shared" si="9"/>
        <v>0.22206565843691717</v>
      </c>
      <c r="AD18" s="172">
        <f t="shared" si="9"/>
        <v>0.2200213511275462</v>
      </c>
      <c r="AE18" s="172">
        <f t="shared" si="9"/>
        <v>0.21797704381817523</v>
      </c>
      <c r="AF18" s="172">
        <f t="shared" si="9"/>
        <v>0.21593273650880426</v>
      </c>
      <c r="AG18" s="172">
        <f t="shared" si="9"/>
        <v>0.21388842919943329</v>
      </c>
      <c r="AH18" s="185">
        <f>Inputs!H36</f>
        <v>0.21184412189006221</v>
      </c>
      <c r="AK18"/>
    </row>
    <row r="19" spans="1:37" s="281" customFormat="1">
      <c r="A19" s="281" t="s">
        <v>114</v>
      </c>
      <c r="B19" s="285"/>
      <c r="C19" s="330">
        <f t="shared" ref="C19:AH19" si="10">C16*C14</f>
        <v>520.41899999999998</v>
      </c>
      <c r="D19" s="330">
        <f t="shared" si="10"/>
        <v>877.09223662169688</v>
      </c>
      <c r="E19" s="330">
        <f t="shared" si="10"/>
        <v>1224.558365037672</v>
      </c>
      <c r="F19" s="330">
        <f t="shared" si="10"/>
        <v>1629.049383248816</v>
      </c>
      <c r="G19" s="330">
        <f t="shared" si="10"/>
        <v>1843.6008065999065</v>
      </c>
      <c r="H19" s="286">
        <f t="shared" si="10"/>
        <v>1865.7072842901596</v>
      </c>
      <c r="I19" s="286">
        <f t="shared" si="10"/>
        <v>2453.1919627828197</v>
      </c>
      <c r="J19" s="286">
        <f t="shared" si="10"/>
        <v>3236.7246913251147</v>
      </c>
      <c r="K19" s="286">
        <f t="shared" si="10"/>
        <v>4183.2547177577153</v>
      </c>
      <c r="L19" s="286">
        <f t="shared" si="10"/>
        <v>5406.8311968027283</v>
      </c>
      <c r="M19" s="286">
        <f t="shared" si="10"/>
        <v>6998.0384085551004</v>
      </c>
      <c r="N19" s="287">
        <f t="shared" si="10"/>
        <v>9058.2551880159208</v>
      </c>
      <c r="O19" s="286">
        <f t="shared" si="10"/>
        <v>9471.885495606206</v>
      </c>
      <c r="P19" s="286">
        <f t="shared" si="10"/>
        <v>9914.9158397146293</v>
      </c>
      <c r="Q19" s="286">
        <f t="shared" si="10"/>
        <v>10422.119374806462</v>
      </c>
      <c r="R19" s="286">
        <f t="shared" si="10"/>
        <v>10937.758951828277</v>
      </c>
      <c r="S19" s="286">
        <f t="shared" si="10"/>
        <v>11432.881968508367</v>
      </c>
      <c r="T19" s="286">
        <f t="shared" si="10"/>
        <v>11933.994891562586</v>
      </c>
      <c r="U19" s="286">
        <f t="shared" si="10"/>
        <v>12460.987168901309</v>
      </c>
      <c r="V19" s="286">
        <f t="shared" si="10"/>
        <v>13031.013063109269</v>
      </c>
      <c r="W19" s="286">
        <f t="shared" si="10"/>
        <v>13574.834701895701</v>
      </c>
      <c r="X19" s="287">
        <f>Inputs!C12*'Output -Jobs vs Yr'!X14</f>
        <v>14187.695022051357</v>
      </c>
      <c r="Y19" s="286">
        <f t="shared" si="10"/>
        <v>14889.705455950869</v>
      </c>
      <c r="Z19" s="286">
        <f t="shared" si="10"/>
        <v>15633.873422190347</v>
      </c>
      <c r="AA19" s="286">
        <f t="shared" si="10"/>
        <v>16378.236832891658</v>
      </c>
      <c r="AB19" s="286">
        <f t="shared" si="10"/>
        <v>17200.031630549449</v>
      </c>
      <c r="AC19" s="286">
        <f t="shared" si="10"/>
        <v>18131.051809281787</v>
      </c>
      <c r="AD19" s="286">
        <f t="shared" si="10"/>
        <v>19069.569715017493</v>
      </c>
      <c r="AE19" s="286">
        <f t="shared" si="10"/>
        <v>20091.731695213079</v>
      </c>
      <c r="AF19" s="286">
        <f t="shared" si="10"/>
        <v>21187.216074006716</v>
      </c>
      <c r="AG19" s="286">
        <f t="shared" si="10"/>
        <v>22298.004710086832</v>
      </c>
      <c r="AH19" s="287">
        <f t="shared" si="10"/>
        <v>23404.049026030963</v>
      </c>
    </row>
    <row r="20" spans="1:37" s="20" customFormat="1">
      <c r="A20" s="20" t="s">
        <v>211</v>
      </c>
      <c r="B20" s="33"/>
      <c r="C20" s="330">
        <f>'Output - Jobs vs Yr (BAU)'!C18</f>
        <v>520.41899999999987</v>
      </c>
      <c r="D20" s="330">
        <f>'Output - Jobs vs Yr (BAU)'!D18</f>
        <v>856.72</v>
      </c>
      <c r="E20" s="330">
        <f>'Output - Jobs vs Yr (BAU)'!E18</f>
        <v>1112.6702041372714</v>
      </c>
      <c r="F20" s="330">
        <f>'Output - Jobs vs Yr (BAU)'!F18</f>
        <v>1478.991727503153</v>
      </c>
      <c r="G20" s="330">
        <f>'Output - Jobs vs Yr (BAU)'!G18</f>
        <v>1661.7423777167269</v>
      </c>
      <c r="H20" s="286">
        <f>'Output - Jobs vs Yr (BAU)'!H18</f>
        <v>1864.7072842901594</v>
      </c>
      <c r="I20" s="83">
        <f>'Output - Jobs vs Yr (BAU)'!I18</f>
        <v>2124.0197752066406</v>
      </c>
      <c r="J20" s="83">
        <f>'Output - Jobs vs Yr (BAU)'!J18</f>
        <v>2598.6293771526553</v>
      </c>
      <c r="K20" s="83">
        <f>'Output - Jobs vs Yr (BAU)'!K18</f>
        <v>3007.4247097625016</v>
      </c>
      <c r="L20" s="83">
        <f>'Output - Jobs vs Yr (BAU)'!L18</f>
        <v>3417.2198548166266</v>
      </c>
      <c r="M20" s="83">
        <f>'Output - Jobs vs Yr (BAU)'!M18</f>
        <v>3835.099994652629</v>
      </c>
      <c r="N20" s="177">
        <f>'Output - Jobs vs Yr (BAU)'!N18</f>
        <v>4262.0213543404534</v>
      </c>
      <c r="O20" s="83">
        <f>'Output - Jobs vs Yr (BAU)'!O18</f>
        <v>4693.8487228695212</v>
      </c>
      <c r="P20" s="83">
        <f>'Output - Jobs vs Yr (BAU)'!P18</f>
        <v>5138.7056347214957</v>
      </c>
      <c r="Q20" s="83">
        <f>'Output - Jobs vs Yr (BAU)'!Q18</f>
        <v>5623.8913400884057</v>
      </c>
      <c r="R20" s="83">
        <f>'Output - Jobs vs Yr (BAU)'!R18</f>
        <v>6102.468632173126</v>
      </c>
      <c r="S20" s="83">
        <f>'Output - Jobs vs Yr (BAU)'!S18</f>
        <v>6581.6979783371617</v>
      </c>
      <c r="T20" s="83">
        <f>'Output - Jobs vs Yr (BAU)'!T18</f>
        <v>6685.9488357164155</v>
      </c>
      <c r="U20" s="83">
        <f>'Output - Jobs vs Yr (BAU)'!U18</f>
        <v>7086.6751455134872</v>
      </c>
      <c r="V20" s="83">
        <f>'Output - Jobs vs Yr (BAU)'!V18</f>
        <v>7502.8136455042331</v>
      </c>
      <c r="W20" s="83">
        <f>'Output - Jobs vs Yr (BAU)'!W18</f>
        <v>7916.7826328712235</v>
      </c>
      <c r="X20" s="184">
        <f>'Output - Jobs vs Yr (BAU)'!X18</f>
        <v>8350.2173798152799</v>
      </c>
      <c r="Y20" s="174">
        <f>'Output - Jobs vs Yr (BAU)'!Y18</f>
        <v>8764.7807759947427</v>
      </c>
      <c r="Z20" s="174">
        <f>'Output - Jobs vs Yr (BAU)'!Z18</f>
        <v>9198.691541811455</v>
      </c>
      <c r="AA20" s="174">
        <f>'Output - Jobs vs Yr (BAU)'!AA18</f>
        <v>9619.4982566329163</v>
      </c>
      <c r="AB20" s="174">
        <f>'Output - Jobs vs Yr (BAU)'!AB18</f>
        <v>10069.392874833875</v>
      </c>
      <c r="AC20" s="174">
        <f>'Output - Jobs vs Yr (BAU)'!AC18</f>
        <v>10562.333279048553</v>
      </c>
      <c r="AD20" s="174">
        <f>'Output - Jobs vs Yr (BAU)'!AD18</f>
        <v>11042.954697740748</v>
      </c>
      <c r="AE20" s="174">
        <f>'Output - Jobs vs Yr (BAU)'!AE18</f>
        <v>11553.78100652206</v>
      </c>
      <c r="AF20" s="174">
        <f>'Output - Jobs vs Yr (BAU)'!AF18</f>
        <v>12084.457322679224</v>
      </c>
      <c r="AG20" s="174">
        <f>'Output - Jobs vs Yr (BAU)'!AG18</f>
        <v>12603.252326005471</v>
      </c>
      <c r="AH20" s="184">
        <f>'Output - Jobs vs Yr (BAU)'!AH18</f>
        <v>13112.545970126359</v>
      </c>
    </row>
    <row r="21" spans="1:37" s="20" customFormat="1">
      <c r="A21" s="20" t="s">
        <v>116</v>
      </c>
      <c r="B21" s="33"/>
      <c r="C21" s="330">
        <f t="shared" ref="C21:AH21" si="11">MAX(C19:C20)</f>
        <v>520.41899999999998</v>
      </c>
      <c r="D21" s="330">
        <f t="shared" si="11"/>
        <v>877.09223662169688</v>
      </c>
      <c r="E21" s="330">
        <f t="shared" si="11"/>
        <v>1224.558365037672</v>
      </c>
      <c r="F21" s="330">
        <f t="shared" si="11"/>
        <v>1629.049383248816</v>
      </c>
      <c r="G21" s="330">
        <f t="shared" si="11"/>
        <v>1843.6008065999065</v>
      </c>
      <c r="H21" s="286">
        <f t="shared" si="11"/>
        <v>1865.7072842901596</v>
      </c>
      <c r="I21" s="83">
        <f t="shared" si="11"/>
        <v>2453.1919627828197</v>
      </c>
      <c r="J21" s="83">
        <f t="shared" si="11"/>
        <v>3236.7246913251147</v>
      </c>
      <c r="K21" s="83">
        <f t="shared" si="11"/>
        <v>4183.2547177577153</v>
      </c>
      <c r="L21" s="83">
        <f t="shared" si="11"/>
        <v>5406.8311968027283</v>
      </c>
      <c r="M21" s="83">
        <f t="shared" si="11"/>
        <v>6998.0384085551004</v>
      </c>
      <c r="N21" s="177">
        <f t="shared" si="11"/>
        <v>9058.2551880159208</v>
      </c>
      <c r="O21" s="83">
        <f t="shared" si="11"/>
        <v>9471.885495606206</v>
      </c>
      <c r="P21" s="83">
        <f t="shared" si="11"/>
        <v>9914.9158397146293</v>
      </c>
      <c r="Q21" s="83">
        <f t="shared" si="11"/>
        <v>10422.119374806462</v>
      </c>
      <c r="R21" s="83">
        <f t="shared" si="11"/>
        <v>10937.758951828277</v>
      </c>
      <c r="S21" s="83">
        <f t="shared" si="11"/>
        <v>11432.881968508367</v>
      </c>
      <c r="T21" s="83">
        <f t="shared" si="11"/>
        <v>11933.994891562586</v>
      </c>
      <c r="U21" s="83">
        <f t="shared" si="11"/>
        <v>12460.987168901309</v>
      </c>
      <c r="V21" s="83">
        <f t="shared" si="11"/>
        <v>13031.013063109269</v>
      </c>
      <c r="W21" s="83">
        <f t="shared" si="11"/>
        <v>13574.834701895701</v>
      </c>
      <c r="X21" s="184">
        <f t="shared" si="11"/>
        <v>14187.695022051357</v>
      </c>
      <c r="Y21" s="174">
        <f t="shared" si="11"/>
        <v>14889.705455950869</v>
      </c>
      <c r="Z21" s="174">
        <f t="shared" si="11"/>
        <v>15633.873422190347</v>
      </c>
      <c r="AA21" s="174">
        <f t="shared" si="11"/>
        <v>16378.236832891658</v>
      </c>
      <c r="AB21" s="174">
        <f t="shared" si="11"/>
        <v>17200.031630549449</v>
      </c>
      <c r="AC21" s="174">
        <f t="shared" si="11"/>
        <v>18131.051809281787</v>
      </c>
      <c r="AD21" s="174">
        <f t="shared" si="11"/>
        <v>19069.569715017493</v>
      </c>
      <c r="AE21" s="174">
        <f t="shared" si="11"/>
        <v>20091.731695213079</v>
      </c>
      <c r="AF21" s="174">
        <f t="shared" si="11"/>
        <v>21187.216074006716</v>
      </c>
      <c r="AG21" s="174">
        <f t="shared" si="11"/>
        <v>22298.004710086832</v>
      </c>
      <c r="AH21" s="184">
        <f t="shared" si="11"/>
        <v>23404.049026030963</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332">
        <f>C31/C14</f>
        <v>5.7484951208822667E-2</v>
      </c>
      <c r="D26" s="332">
        <f t="shared" ref="D26:G26" si="21">C26+($N$26-$C$26)/($N$11-$C$11)</f>
        <v>5.8210673850053025E-2</v>
      </c>
      <c r="E26" s="332">
        <f t="shared" si="21"/>
        <v>5.8936396491283384E-2</v>
      </c>
      <c r="F26" s="332">
        <f t="shared" si="21"/>
        <v>5.9662119132513743E-2</v>
      </c>
      <c r="G26" s="332">
        <f t="shared" si="21"/>
        <v>6.0387841773744101E-2</v>
      </c>
      <c r="H26" s="284">
        <f>H31/H14</f>
        <v>6.8832782280165039E-2</v>
      </c>
      <c r="I26" s="91">
        <f>H26+($N$26-$H$26)/($N$11-$H$11)</f>
        <v>6.8271968610530295E-2</v>
      </c>
      <c r="J26" s="172">
        <f t="shared" ref="J26:M26" si="22">I26+($N$26-$H$26)/($N$11-$H$11)</f>
        <v>6.7711154940895552E-2</v>
      </c>
      <c r="K26" s="172">
        <f t="shared" si="22"/>
        <v>6.7150341271260808E-2</v>
      </c>
      <c r="L26" s="172">
        <f t="shared" si="22"/>
        <v>6.6589527601626064E-2</v>
      </c>
      <c r="M26" s="172">
        <f t="shared" si="22"/>
        <v>6.602871393199132E-2</v>
      </c>
      <c r="N26" s="180">
        <f>Inputs!C35</f>
        <v>6.5467900262356576E-2</v>
      </c>
      <c r="O26" s="91">
        <f t="shared" ref="O26:W26" si="23">N26+($X$26-$N$26)/($X$11-$N$11)</f>
        <v>6.4930066514611182E-2</v>
      </c>
      <c r="P26" s="91">
        <f t="shared" si="23"/>
        <v>6.4392232766865787E-2</v>
      </c>
      <c r="Q26" s="91">
        <f t="shared" si="23"/>
        <v>6.3854399019120392E-2</v>
      </c>
      <c r="R26" s="91">
        <f t="shared" si="23"/>
        <v>6.3316565271374997E-2</v>
      </c>
      <c r="S26" s="22">
        <f t="shared" si="23"/>
        <v>6.2778731523629602E-2</v>
      </c>
      <c r="T26" s="91">
        <f t="shared" si="23"/>
        <v>6.2240897775884214E-2</v>
      </c>
      <c r="U26" s="91">
        <f t="shared" si="23"/>
        <v>6.1703064028138827E-2</v>
      </c>
      <c r="V26" s="91">
        <f t="shared" si="23"/>
        <v>6.1165230280393439E-2</v>
      </c>
      <c r="W26" s="91">
        <f t="shared" si="23"/>
        <v>6.0627396532648051E-2</v>
      </c>
      <c r="X26" s="185">
        <f>Inputs!F35</f>
        <v>6.0089562784902677E-2</v>
      </c>
      <c r="Y26" s="172">
        <f>X26+($AH$26-$X$26)/($AH$11-$X$11)</f>
        <v>5.9560728070502403E-2</v>
      </c>
      <c r="Z26" s="172">
        <f t="shared" ref="Z26:AG26" si="24">Y26+($AH$26-$X$26)/($AH$11-$X$11)</f>
        <v>5.9031893356102136E-2</v>
      </c>
      <c r="AA26" s="172">
        <f t="shared" si="24"/>
        <v>5.8503058641701869E-2</v>
      </c>
      <c r="AB26" s="172">
        <f t="shared" si="24"/>
        <v>5.7974223927301602E-2</v>
      </c>
      <c r="AC26" s="172">
        <f t="shared" si="24"/>
        <v>5.7445389212901335E-2</v>
      </c>
      <c r="AD26" s="172">
        <f t="shared" si="24"/>
        <v>5.6916554498501068E-2</v>
      </c>
      <c r="AE26" s="172">
        <f t="shared" si="24"/>
        <v>5.6387719784100801E-2</v>
      </c>
      <c r="AF26" s="172">
        <f t="shared" si="24"/>
        <v>5.5858885069700534E-2</v>
      </c>
      <c r="AG26" s="172">
        <f t="shared" si="24"/>
        <v>5.5330050355300267E-2</v>
      </c>
      <c r="AH26" s="185">
        <f>Inputs!H35</f>
        <v>5.4801215640899972E-2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0.30546140010059397</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6426.99</v>
      </c>
      <c r="D31" s="330">
        <f t="shared" ref="D31:AH31" si="27">D26*D14</f>
        <v>6492.9349825826148</v>
      </c>
      <c r="E31" s="330">
        <f t="shared" si="27"/>
        <v>6726.3378367816349</v>
      </c>
      <c r="F31" s="330">
        <f t="shared" si="27"/>
        <v>6870.2512551085874</v>
      </c>
      <c r="G31" s="330">
        <f t="shared" si="27"/>
        <v>6971.3971614720467</v>
      </c>
      <c r="H31" s="286">
        <f>'Output - Jobs vs Yr (BAU)'!H7</f>
        <v>8062.3535600000014</v>
      </c>
      <c r="I31" s="174">
        <f t="shared" si="27"/>
        <v>8214.5955504204321</v>
      </c>
      <c r="J31" s="174">
        <f t="shared" si="27"/>
        <v>8432.9466903550929</v>
      </c>
      <c r="K31" s="174">
        <f t="shared" si="27"/>
        <v>8447.9907422811921</v>
      </c>
      <c r="L31" s="174">
        <f t="shared" si="27"/>
        <v>8454.1998296993188</v>
      </c>
      <c r="M31" s="174">
        <f t="shared" si="27"/>
        <v>8463.4761695554898</v>
      </c>
      <c r="N31" s="184">
        <f t="shared" si="27"/>
        <v>8471.7849600000027</v>
      </c>
      <c r="O31" s="174">
        <f t="shared" si="27"/>
        <v>8470.8519001953227</v>
      </c>
      <c r="P31" s="174">
        <f t="shared" si="27"/>
        <v>8484.9577901406137</v>
      </c>
      <c r="Q31" s="174">
        <f t="shared" si="27"/>
        <v>8534.1708390941967</v>
      </c>
      <c r="R31" s="174">
        <f t="shared" si="27"/>
        <v>8569.3895618546885</v>
      </c>
      <c r="S31" s="174">
        <f t="shared" si="27"/>
        <v>8569.6514728237398</v>
      </c>
      <c r="T31" s="174">
        <f t="shared" si="27"/>
        <v>8557.5438706716777</v>
      </c>
      <c r="U31" s="174">
        <f t="shared" si="27"/>
        <v>8547.5482388036726</v>
      </c>
      <c r="V31" s="174">
        <f t="shared" si="27"/>
        <v>8549.9383443170009</v>
      </c>
      <c r="W31" s="174">
        <f t="shared" si="27"/>
        <v>8518.8600053392656</v>
      </c>
      <c r="X31" s="184">
        <f t="shared" si="27"/>
        <v>8525.3239080060612</v>
      </c>
      <c r="Y31" s="174">
        <f t="shared" si="27"/>
        <v>8505.7310718437784</v>
      </c>
      <c r="Z31" s="174">
        <f t="shared" si="27"/>
        <v>8499.7652046743297</v>
      </c>
      <c r="AA31" s="174">
        <f t="shared" si="27"/>
        <v>8473.9849081218726</v>
      </c>
      <c r="AB31" s="174">
        <f t="shared" si="27"/>
        <v>8468.3172433914951</v>
      </c>
      <c r="AC31" s="174">
        <f t="shared" si="27"/>
        <v>8493.8631200699801</v>
      </c>
      <c r="AD31" s="174">
        <f t="shared" si="27"/>
        <v>8499.6416695962271</v>
      </c>
      <c r="AE31" s="174">
        <f t="shared" si="27"/>
        <v>8519.594753431109</v>
      </c>
      <c r="AF31" s="174">
        <f t="shared" si="27"/>
        <v>8546.3446000848689</v>
      </c>
      <c r="AG31" s="174">
        <f t="shared" si="27"/>
        <v>8555.3590780174454</v>
      </c>
      <c r="AH31" s="184">
        <f t="shared" si="27"/>
        <v>8550.4689169714511</v>
      </c>
      <c r="AI31" s="127"/>
    </row>
    <row r="32" spans="1:37">
      <c r="A32" s="9" t="s">
        <v>59</v>
      </c>
      <c r="B32" s="35">
        <v>0</v>
      </c>
      <c r="C32" s="330">
        <f>EIA_electricity_aeo2014!E52*1000</f>
        <v>30662</v>
      </c>
      <c r="D32" s="330">
        <f t="shared" ref="D32:AH32" si="28">D18*D14</f>
        <v>30375.731727072944</v>
      </c>
      <c r="E32" s="330">
        <f t="shared" si="28"/>
        <v>30860.504602864043</v>
      </c>
      <c r="F32" s="330">
        <f t="shared" si="28"/>
        <v>30915.727397106592</v>
      </c>
      <c r="G32" s="330">
        <f t="shared" si="28"/>
        <v>30771.673662428435</v>
      </c>
      <c r="H32" s="286">
        <f>EIA_electricity_aeo2014!J52*1000</f>
        <v>28143.047573484851</v>
      </c>
      <c r="I32" s="174">
        <f t="shared" si="28"/>
        <v>29166.811802180211</v>
      </c>
      <c r="J32" s="174">
        <f t="shared" si="28"/>
        <v>30455.887304546384</v>
      </c>
      <c r="K32" s="174">
        <f t="shared" si="28"/>
        <v>31033.529504171438</v>
      </c>
      <c r="L32" s="174">
        <f t="shared" si="28"/>
        <v>31588.854218594195</v>
      </c>
      <c r="M32" s="174">
        <f t="shared" si="28"/>
        <v>32165.670778090713</v>
      </c>
      <c r="N32" s="184">
        <f t="shared" si="28"/>
        <v>32749.234204089331</v>
      </c>
      <c r="O32" s="174">
        <f t="shared" si="28"/>
        <v>32745.627290763012</v>
      </c>
      <c r="P32" s="174">
        <f t="shared" si="28"/>
        <v>32800.156188233457</v>
      </c>
      <c r="Q32" s="174">
        <f t="shared" si="28"/>
        <v>32990.398229749837</v>
      </c>
      <c r="R32" s="174">
        <f t="shared" si="28"/>
        <v>33126.542643884291</v>
      </c>
      <c r="S32" s="174">
        <f t="shared" si="28"/>
        <v>33127.555108637185</v>
      </c>
      <c r="T32" s="174">
        <f t="shared" si="28"/>
        <v>33080.750958106924</v>
      </c>
      <c r="U32" s="174">
        <f t="shared" si="28"/>
        <v>33042.111014977017</v>
      </c>
      <c r="V32" s="174">
        <f t="shared" si="28"/>
        <v>33051.35040497547</v>
      </c>
      <c r="W32" s="174">
        <f t="shared" si="28"/>
        <v>32931.211401605877</v>
      </c>
      <c r="X32" s="184">
        <f t="shared" si="28"/>
        <v>32956.198799575352</v>
      </c>
      <c r="Y32" s="174">
        <f t="shared" si="28"/>
        <v>32880.459107971925</v>
      </c>
      <c r="Z32" s="174">
        <f t="shared" si="28"/>
        <v>32857.396957305304</v>
      </c>
      <c r="AA32" s="174">
        <f t="shared" si="28"/>
        <v>32757.738505912395</v>
      </c>
      <c r="AB32" s="174">
        <f t="shared" si="28"/>
        <v>32735.829111313531</v>
      </c>
      <c r="AC32" s="174">
        <f t="shared" si="28"/>
        <v>32834.581369809537</v>
      </c>
      <c r="AD32" s="174">
        <f t="shared" si="28"/>
        <v>32856.919409867027</v>
      </c>
      <c r="AE32" s="174">
        <f t="shared" si="28"/>
        <v>32934.051704736143</v>
      </c>
      <c r="AF32" s="174">
        <f t="shared" si="28"/>
        <v>33037.458129370818</v>
      </c>
      <c r="AG32" s="174">
        <f t="shared" si="28"/>
        <v>33072.305242515853</v>
      </c>
      <c r="AH32" s="184">
        <f t="shared" si="28"/>
        <v>33053.401430609971</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137</v>
      </c>
      <c r="D34" s="330">
        <f>MAX(D58*D$14,'Output - Jobs vs Yr (BAU)'!D10)</f>
        <v>160.37111051742281</v>
      </c>
      <c r="E34" s="330">
        <f>MAX(E58*E$14,'Output - Jobs vs Yr (BAU)'!E10)</f>
        <v>192.53221456166642</v>
      </c>
      <c r="F34" s="330">
        <f>MAX(F58*F$14,'Output - Jobs vs Yr (BAU)'!F10)</f>
        <v>227.93071494404589</v>
      </c>
      <c r="G34" s="330">
        <f>MAX(G58*G$14,'Output - Jobs vs Yr (BAU)'!G10)</f>
        <v>268.11420471012821</v>
      </c>
      <c r="H34" s="286">
        <f>'Output - Jobs vs Yr (BAU)'!H10</f>
        <v>88.751587010343741</v>
      </c>
      <c r="I34" s="286">
        <f>MAX(I58*I$14,'Output - Jobs vs Yr (BAU)'!I10)</f>
        <v>106.97294976529764</v>
      </c>
      <c r="J34" s="286">
        <f>MAX(J58*J$14,'Output - Jobs vs Yr (BAU)'!J10)</f>
        <v>129.91818488818123</v>
      </c>
      <c r="K34" s="286">
        <f>MAX(K58*K$14,'Output - Jobs vs Yr (BAU)'!K10)</f>
        <v>153.98436103715028</v>
      </c>
      <c r="L34" s="286">
        <f>MAX(L58*L$14,'Output - Jobs vs Yr (BAU)'!L10)</f>
        <v>182.33018990655845</v>
      </c>
      <c r="M34" s="286">
        <f>MAX(M58*M$14,'Output - Jobs vs Yr (BAU)'!M10)</f>
        <v>215.98746426292789</v>
      </c>
      <c r="N34" s="287">
        <f>MAX(Inputs!$E17*N$21,'Output - Jobs vs Yr (BAU)'!N10)</f>
        <v>255.84664073664584</v>
      </c>
      <c r="O34" s="286">
        <f>MAX(O58*O$14,'Output - Jobs vs Yr (BAU)'!O10)</f>
        <v>267.30349963760142</v>
      </c>
      <c r="P34" s="286">
        <f>MAX(P58*P$14,'Output - Jobs vs Yr (BAU)'!P10)</f>
        <v>279.78846239217518</v>
      </c>
      <c r="Q34" s="286">
        <f>MAX(Q58*Q$14,'Output - Jobs vs Yr (BAU)'!Q10)</f>
        <v>294.08597016758023</v>
      </c>
      <c r="R34" s="286">
        <f>MAX(R58*R$14,'Output - Jobs vs Yr (BAU)'!R10)</f>
        <v>308.62175042969494</v>
      </c>
      <c r="S34" s="286">
        <f>MAX(S58*S$14,'Output - Jobs vs Yr (BAU)'!S10)</f>
        <v>322.57804899981153</v>
      </c>
      <c r="T34" s="286">
        <f>MAX(T58*T$14,'Output - Jobs vs Yr (BAU)'!T10)</f>
        <v>336.70352997783561</v>
      </c>
      <c r="U34" s="286">
        <f>MAX(U58*U$14,'Output - Jobs vs Yr (BAU)'!U10)</f>
        <v>351.5599625266305</v>
      </c>
      <c r="V34" s="286">
        <f>MAX(V58*V$14,'Output - Jobs vs Yr (BAU)'!V10)</f>
        <v>367.63186164003582</v>
      </c>
      <c r="W34" s="286">
        <f>MAX(W58*W$14,'Output - Jobs vs Yr (BAU)'!W10)</f>
        <v>382.96363248553024</v>
      </c>
      <c r="X34" s="287">
        <f>Inputs!F17*'Output -Jobs vs Yr'!$X$14</f>
        <v>400.72553001048135</v>
      </c>
      <c r="Y34" s="286">
        <f>MAX(Y58*Y$14,'Output - Jobs vs Yr (BAU)'!Y10)</f>
        <v>420.04511950201305</v>
      </c>
      <c r="Z34" s="286">
        <f>MAX(Z58*Z$14,'Output - Jobs vs Yr (BAU)'!Z10)</f>
        <v>441.03558882738673</v>
      </c>
      <c r="AA34" s="286">
        <f>MAX(AA58*AA$14,'Output - Jobs vs Yr (BAU)'!AA10)</f>
        <v>462.03157840008981</v>
      </c>
      <c r="AB34" s="286">
        <f>MAX(AB58*AB$14,'Output - Jobs vs Yr (BAU)'!AB10)</f>
        <v>485.2145852105723</v>
      </c>
      <c r="AC34" s="286">
        <f>MAX(AC58*AC$14,'Output - Jobs vs Yr (BAU)'!AC10)</f>
        <v>511.482617365458</v>
      </c>
      <c r="AD34" s="286">
        <f>MAX(AD58*AD$14,'Output - Jobs vs Yr (BAU)'!AD10)</f>
        <v>537.96241969320351</v>
      </c>
      <c r="AE34" s="286">
        <f>MAX(AE58*AE$14,'Output - Jobs vs Yr (BAU)'!AE10)</f>
        <v>566.80471402673788</v>
      </c>
      <c r="AF34" s="286">
        <f>MAX(AF58*AF$14,'Output - Jobs vs Yr (BAU)'!AF10)</f>
        <v>597.71796893520582</v>
      </c>
      <c r="AG34" s="286">
        <f>MAX(AG58*AG$14,'Output - Jobs vs Yr (BAU)'!AG10)</f>
        <v>629.06348620926644</v>
      </c>
      <c r="AH34" s="287">
        <f>Inputs!I17*'Output -Jobs vs Yr'!$AH$14</f>
        <v>661.03760588106593</v>
      </c>
      <c r="AI34" s="127"/>
    </row>
    <row r="35" spans="1:36" s="20" customFormat="1">
      <c r="A35" s="9" t="s">
        <v>50</v>
      </c>
      <c r="B35" s="35">
        <v>1</v>
      </c>
      <c r="C35" s="330">
        <f>EIA_RE_aeo2014!E74*1000</f>
        <v>0</v>
      </c>
      <c r="D35" s="330">
        <f>MAX(D59*D$14,'Output - Jobs vs Yr (BAU)'!D11)</f>
        <v>0</v>
      </c>
      <c r="E35" s="330">
        <f>MAX(E59*E$14,'Output - Jobs vs Yr (BAU)'!E11)</f>
        <v>4.0118829999999999E-3</v>
      </c>
      <c r="F35" s="330">
        <f>MAX(F59*F$14,'Output - Jobs vs Yr (BAU)'!F11)</f>
        <v>3.7581989999999998E-3</v>
      </c>
      <c r="G35" s="330">
        <f>MAX(G59*G$14,'Output - Jobs vs Yr (BAU)'!G11)</f>
        <v>4.109054E-3</v>
      </c>
      <c r="H35" s="286">
        <f>'Output - Jobs vs Yr (BAU)'!H11</f>
        <v>4.1090699999999994E-3</v>
      </c>
      <c r="I35" s="286">
        <f>MAX(I59*I$14,'Output - Jobs vs Yr (BAU)'!I11)</f>
        <v>4.8498962375604837E-3</v>
      </c>
      <c r="J35" s="286">
        <f>MAX(J59*J$14,'Output - Jobs vs Yr (BAU)'!J11)</f>
        <v>5.7679233869082462E-3</v>
      </c>
      <c r="K35" s="286">
        <f>MAX(K59*K$14,'Output - Jobs vs Yr (BAU)'!K11)</f>
        <v>6.6944856887695041E-3</v>
      </c>
      <c r="L35" s="286">
        <f>MAX(L59*L$14,'Output - Jobs vs Yr (BAU)'!L11)</f>
        <v>7.7622968975696923E-3</v>
      </c>
      <c r="M35" s="286">
        <f>MAX(M59*M$14,'Output - Jobs vs Yr (BAU)'!M11)</f>
        <v>9.0043273390672945E-3</v>
      </c>
      <c r="N35" s="287">
        <f>MAX(Inputs!$E19*N$21,'Output - Jobs vs Yr (BAU)'!N11)</f>
        <v>1.0444640862147104E-2</v>
      </c>
      <c r="O35" s="286">
        <f>MAX(O59*O$14,'Output - Jobs vs Yr (BAU)'!O11)</f>
        <v>1.0912353771272016E-2</v>
      </c>
      <c r="P35" s="286">
        <f>MAX(P59*P$14,'Output - Jobs vs Yr (BAU)'!P11)</f>
        <v>1.1422037821738144E-2</v>
      </c>
      <c r="Q35" s="286">
        <f>MAX(Q59*Q$14,'Output - Jobs vs Yr (BAU)'!Q11)</f>
        <v>1.2005716909757031E-2</v>
      </c>
      <c r="R35" s="286">
        <f>MAX(R59*R$14,'Output - Jobs vs Yr (BAU)'!R11)</f>
        <v>1.2599123194286483E-2</v>
      </c>
      <c r="S35" s="286">
        <f>MAX(S59*S$14,'Output - Jobs vs Yr (BAU)'!S11)</f>
        <v>1.3168872814254372E-2</v>
      </c>
      <c r="T35" s="286">
        <f>MAX(T59*T$14,'Output - Jobs vs Yr (BAU)'!T11)</f>
        <v>1.3745529108805516E-2</v>
      </c>
      <c r="U35" s="286">
        <f>MAX(U59*U$14,'Output - Jobs vs Yr (BAU)'!U11)</f>
        <v>1.4352025649147426E-2</v>
      </c>
      <c r="V35" s="286">
        <f>MAX(V59*V$14,'Output - Jobs vs Yr (BAU)'!V11)</f>
        <v>1.5008142195094066E-2</v>
      </c>
      <c r="W35" s="286">
        <f>MAX(W59*W$14,'Output - Jobs vs Yr (BAU)'!W11)</f>
        <v>1.5634043867286666E-2</v>
      </c>
      <c r="X35" s="287">
        <f>Inputs!F19*'Output -Jobs vs Yr'!$X$14</f>
        <v>1.6359152628317213E-2</v>
      </c>
      <c r="Y35" s="286">
        <f>MAX(Y59*Y$14,'Output - Jobs vs Yr (BAU)'!Y11)</f>
        <v>1.7147852348048408E-2</v>
      </c>
      <c r="Z35" s="286">
        <f>MAX(Z59*Z$14,'Output - Jobs vs Yr (BAU)'!Z11)</f>
        <v>1.8004763789215679E-2</v>
      </c>
      <c r="AA35" s="286">
        <f>MAX(AA59*AA$14,'Output - Jobs vs Yr (BAU)'!AA11)</f>
        <v>1.88619005880451E-2</v>
      </c>
      <c r="AB35" s="286">
        <f>MAX(AB59*AB$14,'Output - Jobs vs Yr (BAU)'!AB11)</f>
        <v>1.9808319816153878E-2</v>
      </c>
      <c r="AC35" s="286">
        <f>MAX(AC59*AC$14,'Output - Jobs vs Yr (BAU)'!AC11)</f>
        <v>2.0880681607667588E-2</v>
      </c>
      <c r="AD35" s="286">
        <f>MAX(AD59*AD$14,'Output - Jobs vs Yr (BAU)'!AD11)</f>
        <v>2.1961688669623256E-2</v>
      </c>
      <c r="AE35" s="286">
        <f>MAX(AE59*AE$14,'Output - Jobs vs Yr (BAU)'!AE11)</f>
        <v>2.3139141713707557E-2</v>
      </c>
      <c r="AF35" s="286">
        <f>MAX(AF59*AF$14,'Output - Jobs vs Yr (BAU)'!AF11)</f>
        <v>2.4401139309100286E-2</v>
      </c>
      <c r="AG35" s="286">
        <f>MAX(AG59*AG$14,'Output - Jobs vs Yr (BAU)'!AG11)</f>
        <v>2.5680783511670809E-2</v>
      </c>
      <c r="AH35" s="287">
        <f>Inputs!I19*'Output -Jobs vs Yr'!$AH$14</f>
        <v>2.6986089674353689E-2</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18</v>
      </c>
      <c r="D37" s="330">
        <f>MAX(D61*D$14,'Output - Jobs vs Yr (BAU)'!D12)</f>
        <v>24</v>
      </c>
      <c r="E37" s="330">
        <f>MAX(E61*E$14,'Output - Jobs vs Yr (BAU)'!E12)</f>
        <v>58.891981590362192</v>
      </c>
      <c r="F37" s="330">
        <f>MAX(F61*F$14,'Output - Jobs vs Yr (BAU)'!F12)</f>
        <v>60.980007323519558</v>
      </c>
      <c r="G37" s="330">
        <f>MAX(G61*G$14,'Output - Jobs vs Yr (BAU)'!G12)</f>
        <v>49.599174411619671</v>
      </c>
      <c r="H37" s="286">
        <f>'Output - Jobs vs Yr (BAU)'!H12</f>
        <v>53.370257844527828</v>
      </c>
      <c r="I37" s="118">
        <f>MAX(I61*I$14,'Output - Jobs vs Yr (BAU)'!I12)</f>
        <v>61.843576907058818</v>
      </c>
      <c r="J37" s="118">
        <f>MAX(J61*J$14,'Output - Jobs vs Yr (BAU)'!J12)</f>
        <v>72.208450965531171</v>
      </c>
      <c r="K37" s="118">
        <f>MAX(K61*K$14,'Output - Jobs vs Yr (BAU)'!K12)</f>
        <v>82.279596799198345</v>
      </c>
      <c r="L37" s="118">
        <f>MAX(L61*L$14,'Output - Jobs vs Yr (BAU)'!L12)</f>
        <v>93.663758134287534</v>
      </c>
      <c r="M37" s="118">
        <f>MAX(M61*M$14,'Output - Jobs vs Yr (BAU)'!M12)</f>
        <v>106.66918973068663</v>
      </c>
      <c r="N37" s="184">
        <f>MAX(Inputs!$E20*N$21,'Output - Jobs vs Yr (BAU)'!N12)</f>
        <v>121.4752005805593</v>
      </c>
      <c r="O37" s="174">
        <f>MAX(O61*O$14,'Output - Jobs vs Yr (BAU)'!O12)</f>
        <v>126.91488205931404</v>
      </c>
      <c r="P37" s="174">
        <f>MAX(P61*P$14,'Output - Jobs vs Yr (BAU)'!P12)</f>
        <v>132.84270409553838</v>
      </c>
      <c r="Q37" s="174">
        <f>MAX(Q61*Q$14,'Output - Jobs vs Yr (BAU)'!Q12)</f>
        <v>139.63111695028127</v>
      </c>
      <c r="R37" s="174">
        <f>MAX(R61*R$14,'Output - Jobs vs Yr (BAU)'!R12)</f>
        <v>146.53266085115612</v>
      </c>
      <c r="S37" s="174">
        <f>MAX(S61*S$14,'Output - Jobs vs Yr (BAU)'!S12)</f>
        <v>153.15906862139602</v>
      </c>
      <c r="T37" s="174">
        <f>MAX(T61*T$14,'Output - Jobs vs Yr (BAU)'!T12)</f>
        <v>159.86580368018696</v>
      </c>
      <c r="U37" s="174">
        <f>MAX(U61*U$14,'Output - Jobs vs Yr (BAU)'!U12)</f>
        <v>166.91959230363835</v>
      </c>
      <c r="V37" s="174">
        <f>MAX(V61*V$14,'Output - Jobs vs Yr (BAU)'!V12)</f>
        <v>174.55048072527313</v>
      </c>
      <c r="W37" s="174">
        <f>MAX(W61*W$14,'Output - Jobs vs Yr (BAU)'!W12)</f>
        <v>181.82995851458162</v>
      </c>
      <c r="X37" s="184">
        <f>Inputs!F20*'Output -Jobs vs Yr'!$X$14</f>
        <v>190.2632530003815</v>
      </c>
      <c r="Y37" s="174">
        <f>MAX(Y61*Y$14,'Output - Jobs vs Yr (BAU)'!Y12)</f>
        <v>199.43613485593653</v>
      </c>
      <c r="Z37" s="174">
        <f>MAX(Z61*Z$14,'Output - Jobs vs Yr (BAU)'!Z12)</f>
        <v>209.40234533358156</v>
      </c>
      <c r="AA37" s="174">
        <f>MAX(AA61*AA$14,'Output - Jobs vs Yr (BAU)'!AA12)</f>
        <v>219.37117680773321</v>
      </c>
      <c r="AB37" s="174">
        <f>MAX(AB61*AB$14,'Output - Jobs vs Yr (BAU)'!AB12)</f>
        <v>230.37839736085601</v>
      </c>
      <c r="AC37" s="174">
        <f>MAX(AC61*AC$14,'Output - Jobs vs Yr (BAU)'!AC12)</f>
        <v>242.85037848862808</v>
      </c>
      <c r="AD37" s="174">
        <f>MAX(AD61*AD$14,'Output - Jobs vs Yr (BAU)'!AD12)</f>
        <v>255.42290744517388</v>
      </c>
      <c r="AE37" s="174">
        <f>MAX(AE61*AE$14,'Output - Jobs vs Yr (BAU)'!AE12)</f>
        <v>269.1171403625255</v>
      </c>
      <c r="AF37" s="174">
        <f>MAX(AF61*AF$14,'Output - Jobs vs Yr (BAU)'!AF12)</f>
        <v>283.79465901116578</v>
      </c>
      <c r="AG37" s="174">
        <f>MAX(AG61*AG$14,'Output - Jobs vs Yr (BAU)'!AG12)</f>
        <v>298.67741450564716</v>
      </c>
      <c r="AH37" s="184">
        <f>Inputs!I20*'Output -Jobs vs Yr'!$AH$14</f>
        <v>313.85862849124203</v>
      </c>
      <c r="AI37" s="127"/>
    </row>
    <row r="38" spans="1:36" s="20" customFormat="1">
      <c r="A38" s="9" t="s">
        <v>347</v>
      </c>
      <c r="B38" s="35">
        <v>1</v>
      </c>
      <c r="C38" s="330">
        <f>'Output - Jobs vs Yr (BAU)'!C13</f>
        <v>335.40899999999993</v>
      </c>
      <c r="D38" s="330">
        <f>MAX(D62*D$14,'Output - Jobs vs Yr (BAU)'!D13)</f>
        <v>557.71</v>
      </c>
      <c r="E38" s="330">
        <f>MAX(E62*E$14,'Output - Jobs vs Yr (BAU)'!E13)</f>
        <v>856.06569826462646</v>
      </c>
      <c r="F38" s="330">
        <f>MAX(F62*F$14,'Output - Jobs vs Yr (BAU)'!F13)</f>
        <v>1209.202848298389</v>
      </c>
      <c r="G38" s="330">
        <f>MAX(G62*G$14,'Output - Jobs vs Yr (BAU)'!G13)</f>
        <v>1385.4246527852813</v>
      </c>
      <c r="H38" s="286">
        <f>'Output - Jobs vs Yr (BAU)'!H13</f>
        <v>1581.349071365288</v>
      </c>
      <c r="I38" s="118">
        <f>MAX(I62*I$14,'Output - Jobs vs Yr (BAU)'!I13)</f>
        <v>2104.1257075191606</v>
      </c>
      <c r="J38" s="118">
        <f>MAX(J62*J$14,'Output - Jobs vs Yr (BAU)'!J13)</f>
        <v>2821.0692418025269</v>
      </c>
      <c r="K38" s="118">
        <f>MAX(K62*K$14,'Output - Jobs vs Yr (BAU)'!K13)</f>
        <v>3691.1909075634244</v>
      </c>
      <c r="L38" s="118">
        <f>MAX(L62*L$14,'Output - Jobs vs Yr (BAU)'!L13)</f>
        <v>4824.9694410010616</v>
      </c>
      <c r="M38" s="118">
        <f>MAX(M62*M$14,'Output - Jobs vs Yr (BAU)'!M13)</f>
        <v>6309.7277256305042</v>
      </c>
      <c r="N38" s="184">
        <f>MAX(Inputs!$E21*N$21,'Output - Jobs vs Yr (BAU)'!N13)</f>
        <v>8251.0246217725271</v>
      </c>
      <c r="O38" s="174">
        <f>MAX(O62*O$14,'Output - Jobs vs Yr (BAU)'!O13)</f>
        <v>8620.5069984329384</v>
      </c>
      <c r="P38" s="174">
        <f>MAX(P62*P$14,'Output - Jobs vs Yr (BAU)'!P13)</f>
        <v>9023.1456056599036</v>
      </c>
      <c r="Q38" s="174">
        <f>MAX(Q62*Q$14,'Output - Jobs vs Yr (BAU)'!Q13)</f>
        <v>9484.2385805185495</v>
      </c>
      <c r="R38" s="174">
        <f>MAX(R62*R$14,'Output - Jobs vs Yr (BAU)'!R13)</f>
        <v>9953.0158155608424</v>
      </c>
      <c r="S38" s="174">
        <f>MAX(S62*S$14,'Output - Jobs vs Yr (BAU)'!S13)</f>
        <v>10403.104832947525</v>
      </c>
      <c r="T38" s="174">
        <f>MAX(T62*T$14,'Output - Jobs vs Yr (BAU)'!T13)</f>
        <v>10858.649963454149</v>
      </c>
      <c r="U38" s="174">
        <f>MAX(U62*U$14,'Output - Jobs vs Yr (BAU)'!U13)</f>
        <v>11337.768197716945</v>
      </c>
      <c r="V38" s="174">
        <f>MAX(V62*V$14,'Output - Jobs vs Yr (BAU)'!V13)</f>
        <v>11856.085088341482</v>
      </c>
      <c r="W38" s="174">
        <f>MAX(W62*W$14,'Output - Jobs vs Yr (BAU)'!W13)</f>
        <v>12350.532927786686</v>
      </c>
      <c r="X38" s="184">
        <f>Inputs!F21*'Output -Jobs vs Yr'!$X$14</f>
        <v>12923.352072043604</v>
      </c>
      <c r="Y38" s="174">
        <f>MAX(Y62*Y$14,'Output - Jobs vs Yr (BAU)'!Y13)</f>
        <v>13546.406602359873</v>
      </c>
      <c r="Z38" s="174">
        <f>MAX(Z62*Z$14,'Output - Jobs vs Yr (BAU)'!Z13)</f>
        <v>14223.34681438515</v>
      </c>
      <c r="AA38" s="174">
        <f>MAX(AA62*AA$14,'Output - Jobs vs Yr (BAU)'!AA13)</f>
        <v>14900.465053749387</v>
      </c>
      <c r="AB38" s="174">
        <f>MAX(AB62*AB$14,'Output - Jobs vs Yr (BAU)'!AB13)</f>
        <v>15648.114346502494</v>
      </c>
      <c r="AC38" s="174">
        <f>MAX(AC62*AC$14,'Output - Jobs vs Yr (BAU)'!AC13)</f>
        <v>16495.255350392294</v>
      </c>
      <c r="AD38" s="174">
        <f>MAX(AD62*AD$14,'Output - Jobs vs Yr (BAU)'!AD13)</f>
        <v>17349.225917904238</v>
      </c>
      <c r="AE38" s="174">
        <f>MAX(AE62*AE$14,'Output - Jobs vs Yr (BAU)'!AE13)</f>
        <v>18279.386579811711</v>
      </c>
      <c r="AF38" s="174">
        <f>MAX(AF62*AF$14,'Output - Jobs vs Yr (BAU)'!AF13)</f>
        <v>19276.335481132053</v>
      </c>
      <c r="AG38" s="174">
        <f>MAX(AG62*AG$14,'Output - Jobs vs Yr (BAU)'!AG13)</f>
        <v>20287.224793830483</v>
      </c>
      <c r="AH38" s="184">
        <f>Inputs!I21*'Output -Jobs vs Yr'!$AH$14</f>
        <v>21318.386461272814</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0.11456063187739279</v>
      </c>
      <c r="J39" s="118">
        <f>MAX(J63*J$14,'Output - Jobs vs Yr (BAU)'!J14)</f>
        <v>0.13224185407807457</v>
      </c>
      <c r="K39" s="118">
        <f>MAX(K63*K$14,'Output - Jobs vs Yr (BAU)'!K14)</f>
        <v>0.14897491864441725</v>
      </c>
      <c r="L39" s="118">
        <f>MAX(L63*L$14,'Output - Jobs vs Yr (BAU)'!L14)</f>
        <v>0.16766124332206417</v>
      </c>
      <c r="M39" s="118">
        <f>MAX(M63*M$14,'Output - Jobs vs Yr (BAU)'!M14)</f>
        <v>0.18877314022325298</v>
      </c>
      <c r="N39" s="184">
        <f>MAX(Inputs!$E22*N$21,'Output - Jobs vs Yr (BAU)'!N14)</f>
        <v>0.21253425158911912</v>
      </c>
      <c r="O39" s="174">
        <f>MAX(O63*O$14,'Output - Jobs vs Yr (BAU)'!O14)</f>
        <v>0.22205157386103094</v>
      </c>
      <c r="P39" s="174">
        <f>MAX(P63*P$14,'Output - Jobs vs Yr (BAU)'!P14)</f>
        <v>0.23242295183778031</v>
      </c>
      <c r="Q39" s="174">
        <f>MAX(Q63*Q$14,'Output - Jobs vs Yr (BAU)'!Q14)</f>
        <v>0.24430002830001613</v>
      </c>
      <c r="R39" s="174">
        <f>MAX(R63*R$14,'Output - Jobs vs Yr (BAU)'!R14)</f>
        <v>0.25637503999599709</v>
      </c>
      <c r="S39" s="174">
        <f>MAX(S63*S$14,'Output - Jobs vs Yr (BAU)'!S14)</f>
        <v>0.26796867070779234</v>
      </c>
      <c r="T39" s="174">
        <f>MAX(T63*T$14,'Output - Jobs vs Yr (BAU)'!T14)</f>
        <v>0.27970284286403702</v>
      </c>
      <c r="U39" s="174">
        <f>MAX(U63*U$14,'Output - Jobs vs Yr (BAU)'!U14)</f>
        <v>0.29204422348154729</v>
      </c>
      <c r="V39" s="174">
        <f>MAX(V63*V$14,'Output - Jobs vs Yr (BAU)'!V14)</f>
        <v>0.3053953038000084</v>
      </c>
      <c r="W39" s="174">
        <f>MAX(W63*W$14,'Output - Jobs vs Yr (BAU)'!W14)</f>
        <v>0.31813155248711611</v>
      </c>
      <c r="X39" s="184">
        <f>Inputs!F22*'Output -Jobs vs Yr'!$X$14</f>
        <v>0.33288653065059315</v>
      </c>
      <c r="Y39" s="174">
        <f>MAX(Y63*Y$14,'Output - Jobs vs Yr (BAU)'!Y14)</f>
        <v>0.34893549842976473</v>
      </c>
      <c r="Z39" s="174">
        <f>MAX(Z63*Z$14,'Output - Jobs vs Yr (BAU)'!Z14)</f>
        <v>0.36637248206858747</v>
      </c>
      <c r="AA39" s="174">
        <f>MAX(AA63*AA$14,'Output - Jobs vs Yr (BAU)'!AA14)</f>
        <v>0.38381405142966701</v>
      </c>
      <c r="AB39" s="174">
        <f>MAX(AB63*AB$14,'Output - Jobs vs Yr (BAU)'!AB14)</f>
        <v>0.40307239692861424</v>
      </c>
      <c r="AC39" s="174">
        <f>MAX(AC63*AC$14,'Output - Jobs vs Yr (BAU)'!AC14)</f>
        <v>0.4248935024888949</v>
      </c>
      <c r="AD39" s="174">
        <f>MAX(AD63*AD$14,'Output - Jobs vs Yr (BAU)'!AD14)</f>
        <v>0.44689052755731556</v>
      </c>
      <c r="AE39" s="174">
        <f>MAX(AE63*AE$14,'Output - Jobs vs Yr (BAU)'!AE14)</f>
        <v>0.4708500973317753</v>
      </c>
      <c r="AF39" s="174">
        <f>MAX(AF63*AF$14,'Output - Jobs vs Yr (BAU)'!AF14)</f>
        <v>0.49653003386421474</v>
      </c>
      <c r="AG39" s="174">
        <f>MAX(AG63*AG$14,'Output - Jobs vs Yr (BAU)'!AG14)</f>
        <v>0.52256905487826733</v>
      </c>
      <c r="AH39" s="184">
        <f>Inputs!I22*'Output -Jobs vs Yr'!$AH$14</f>
        <v>0.54913026191659564</v>
      </c>
      <c r="AI39" s="127"/>
    </row>
    <row r="40" spans="1:36" s="20" customFormat="1">
      <c r="A40" s="9" t="s">
        <v>344</v>
      </c>
      <c r="B40" s="35">
        <v>1</v>
      </c>
      <c r="C40" s="330">
        <f>'Output - Jobs vs Yr (BAU)'!C15</f>
        <v>0.01</v>
      </c>
      <c r="D40" s="330">
        <f>MAX(D64*D$14,'Output - Jobs vs Yr (BAU)'!D15)</f>
        <v>1.112610427404641E-2</v>
      </c>
      <c r="E40" s="330">
        <f>MAX(E64*E$14,'Output - Jobs vs Yr (BAU)'!E15)</f>
        <v>1.2695738016984637E-2</v>
      </c>
      <c r="F40" s="330">
        <f>MAX(F64*F$14,'Output - Jobs vs Yr (BAU)'!F15)</f>
        <v>1.4285483861523869E-2</v>
      </c>
      <c r="G40" s="330">
        <f>MAX(G64*G$14,'Output - Jobs vs Yr (BAU)'!G15)</f>
        <v>1.5971638877317715E-2</v>
      </c>
      <c r="H40" s="286">
        <f>'Output - Jobs vs Yr (BAU)'!H15</f>
        <v>0.01</v>
      </c>
      <c r="I40" s="118">
        <f>MAX(I64*I$14,'Output - Jobs vs Yr (BAU)'!I15)</f>
        <v>1.1456063187739278E-2</v>
      </c>
      <c r="J40" s="118">
        <f>MAX(J64*J$14,'Output - Jobs vs Yr (BAU)'!J15)</f>
        <v>1.3224185407807456E-2</v>
      </c>
      <c r="K40" s="118">
        <f>MAX(K64*K$14,'Output - Jobs vs Yr (BAU)'!K15)</f>
        <v>1.4897491864441725E-2</v>
      </c>
      <c r="L40" s="118">
        <f>MAX(L64*L$14,'Output - Jobs vs Yr (BAU)'!L15)</f>
        <v>1.6766124332206415E-2</v>
      </c>
      <c r="M40" s="118">
        <f>MAX(M64*M$14,'Output - Jobs vs Yr (BAU)'!M15)</f>
        <v>1.8877314022325294E-2</v>
      </c>
      <c r="N40" s="184">
        <f>MAX(Inputs!$E18*N$21,'Output - Jobs vs Yr (BAU)'!N15)</f>
        <v>2.1253425158911911E-2</v>
      </c>
      <c r="O40" s="174">
        <f>MAX(O64*O$14,'Output - Jobs vs Yr (BAU)'!O15)</f>
        <v>2.220515738610309E-2</v>
      </c>
      <c r="P40" s="174">
        <f>MAX(P64*P$14,'Output - Jobs vs Yr (BAU)'!P15)</f>
        <v>2.3242295183778027E-2</v>
      </c>
      <c r="Q40" s="174">
        <f>MAX(Q64*Q$14,'Output - Jobs vs Yr (BAU)'!Q15)</f>
        <v>2.4430002830001608E-2</v>
      </c>
      <c r="R40" s="174">
        <f>MAX(R64*R$14,'Output - Jobs vs Yr (BAU)'!R15)</f>
        <v>2.5637503999599701E-2</v>
      </c>
      <c r="S40" s="174">
        <f>MAX(S64*S$14,'Output - Jobs vs Yr (BAU)'!S15)</f>
        <v>2.6796867070779228E-2</v>
      </c>
      <c r="T40" s="174">
        <f>MAX(T64*T$14,'Output - Jobs vs Yr (BAU)'!T15)</f>
        <v>2.7970284286403697E-2</v>
      </c>
      <c r="U40" s="174">
        <f>MAX(U64*U$14,'Output - Jobs vs Yr (BAU)'!U15)</f>
        <v>2.9204422348154721E-2</v>
      </c>
      <c r="V40" s="174">
        <f>MAX(V64*V$14,'Output - Jobs vs Yr (BAU)'!V15)</f>
        <v>3.0539530380000832E-2</v>
      </c>
      <c r="W40" s="174">
        <f>MAX(W64*W$14,'Output - Jobs vs Yr (BAU)'!W15)</f>
        <v>3.1813155248711603E-2</v>
      </c>
      <c r="X40" s="184">
        <f>Inputs!F18*'Output -Jobs vs Yr'!$X$14</f>
        <v>3.3288653065059313E-2</v>
      </c>
      <c r="Y40" s="174">
        <f>MAX(Y64*Y$14,'Output - Jobs vs Yr (BAU)'!Y15)</f>
        <v>3.4893549842976469E-2</v>
      </c>
      <c r="Z40" s="174">
        <f>MAX(Z64*Z$14,'Output - Jobs vs Yr (BAU)'!Z15)</f>
        <v>3.663724820685875E-2</v>
      </c>
      <c r="AA40" s="174">
        <f>MAX(AA64*AA$14,'Output - Jobs vs Yr (BAU)'!AA15)</f>
        <v>3.8381405142966708E-2</v>
      </c>
      <c r="AB40" s="174">
        <f>MAX(AB64*AB$14,'Output - Jobs vs Yr (BAU)'!AB15)</f>
        <v>4.030723969286143E-2</v>
      </c>
      <c r="AC40" s="174">
        <f>MAX(AC64*AC$14,'Output - Jobs vs Yr (BAU)'!AC15)</f>
        <v>4.2489350248889501E-2</v>
      </c>
      <c r="AD40" s="174">
        <f>MAX(AD64*AD$14,'Output - Jobs vs Yr (BAU)'!AD15)</f>
        <v>4.4689052755731568E-2</v>
      </c>
      <c r="AE40" s="174">
        <f>MAX(AE64*AE$14,'Output - Jobs vs Yr (BAU)'!AE15)</f>
        <v>4.7085009733177537E-2</v>
      </c>
      <c r="AF40" s="174">
        <f>MAX(AF64*AF$14,'Output - Jobs vs Yr (BAU)'!AF15)</f>
        <v>4.9653003386421486E-2</v>
      </c>
      <c r="AG40" s="174">
        <f>MAX(AG64*AG$14,'Output - Jobs vs Yr (BAU)'!AG15)</f>
        <v>5.2256905487826744E-2</v>
      </c>
      <c r="AH40" s="184">
        <f>Inputs!I18*'Output -Jobs vs Yr'!$AH$14</f>
        <v>5.4913026191659553E-2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30</v>
      </c>
      <c r="D42" s="330">
        <f>MAX(D66*D$14,'Output - Jobs vs Yr (BAU)'!D16)</f>
        <v>135</v>
      </c>
      <c r="E42" s="330">
        <f>MAX(E66*E$14,'Output - Jobs vs Yr (BAU)'!E16)</f>
        <v>116.95176300000001</v>
      </c>
      <c r="F42" s="330">
        <f>MAX(F66*F$14,'Output - Jobs vs Yr (BAU)'!F16)</f>
        <v>130.81776900000003</v>
      </c>
      <c r="G42" s="330">
        <f>MAX(G66*G$14,'Output - Jobs vs Yr (BAU)'!G16)</f>
        <v>140.34269399999999</v>
      </c>
      <c r="H42" s="286">
        <f>'Output - Jobs vs Yr (BAU)'!H16</f>
        <v>141.12225900000001</v>
      </c>
      <c r="I42" s="118">
        <f>MAX(I66*I$14,'Output - Jobs vs Yr (BAU)'!I16)</f>
        <v>178.11886200000001</v>
      </c>
      <c r="J42" s="118">
        <f>MAX(J66*J$14,'Output - Jobs vs Yr (BAU)'!J16)</f>
        <v>210.37757970600251</v>
      </c>
      <c r="K42" s="118">
        <f>MAX(K66*K$14,'Output - Jobs vs Yr (BAU)'!K16)</f>
        <v>251.62928546174521</v>
      </c>
      <c r="L42" s="118">
        <f>MAX(L66*L$14,'Output - Jobs vs Yr (BAU)'!L16)</f>
        <v>300.67561809626795</v>
      </c>
      <c r="M42" s="118">
        <f>MAX(M66*M$14,'Output - Jobs vs Yr (BAU)'!M16)</f>
        <v>359.43737414939631</v>
      </c>
      <c r="N42" s="184">
        <f>MAX(Inputs!$E23*N$21,'Output - Jobs vs Yr (BAU)'!N16)</f>
        <v>429.66449260857746</v>
      </c>
      <c r="O42" s="174">
        <f>MAX(O66*O$14,'Output - Jobs vs Yr (BAU)'!O16)</f>
        <v>448.90494639133465</v>
      </c>
      <c r="P42" s="174">
        <f>MAX(P66*P$14,'Output - Jobs vs Yr (BAU)'!P16)</f>
        <v>469.87198028216721</v>
      </c>
      <c r="Q42" s="174">
        <f>MAX(Q66*Q$14,'Output - Jobs vs Yr (BAU)'!Q16)</f>
        <v>493.88297142201179</v>
      </c>
      <c r="R42" s="174">
        <f>MAX(R66*R$14,'Output - Jobs vs Yr (BAU)'!R16)</f>
        <v>518.29411331939582</v>
      </c>
      <c r="S42" s="174">
        <f>MAX(S66*S$14,'Output - Jobs vs Yr (BAU)'!S16)</f>
        <v>541.73208352903964</v>
      </c>
      <c r="T42" s="174">
        <f>MAX(T66*T$14,'Output - Jobs vs Yr (BAU)'!T16)</f>
        <v>565.45417579415619</v>
      </c>
      <c r="U42" s="174">
        <f>MAX(U66*U$14,'Output - Jobs vs Yr (BAU)'!U16)</f>
        <v>590.40381568261614</v>
      </c>
      <c r="V42" s="174">
        <f>MAX(V66*V$14,'Output - Jobs vs Yr (BAU)'!V16)</f>
        <v>617.39468942610097</v>
      </c>
      <c r="W42" s="174">
        <f>MAX(W66*W$14,'Output - Jobs vs Yr (BAU)'!W16)</f>
        <v>643.14260435730057</v>
      </c>
      <c r="X42" s="184">
        <f>Inputs!F23*'Output -Jobs vs Yr'!$X$14</f>
        <v>672.97163266054622</v>
      </c>
      <c r="Y42" s="174">
        <f>MAX(Y66*Y$14,'Output - Jobs vs Yr (BAU)'!Y16)</f>
        <v>705.41662233242357</v>
      </c>
      <c r="Z42" s="174">
        <f>MAX(Z66*Z$14,'Output - Jobs vs Yr (BAU)'!Z16)</f>
        <v>740.66765915016356</v>
      </c>
      <c r="AA42" s="174">
        <f>MAX(AA66*AA$14,'Output - Jobs vs Yr (BAU)'!AA16)</f>
        <v>775.92796657728525</v>
      </c>
      <c r="AB42" s="174">
        <f>MAX(AB66*AB$14,'Output - Jobs vs Yr (BAU)'!AB16)</f>
        <v>814.86111351909074</v>
      </c>
      <c r="AC42" s="174">
        <f>MAX(AC66*AC$14,'Output - Jobs vs Yr (BAU)'!AC16)</f>
        <v>858.97519950106152</v>
      </c>
      <c r="AD42" s="174">
        <f>MAX(AD66*AD$14,'Output - Jobs vs Yr (BAU)'!AD16)</f>
        <v>903.44492870589988</v>
      </c>
      <c r="AE42" s="174">
        <f>MAX(AE66*AE$14,'Output - Jobs vs Yr (BAU)'!AE16)</f>
        <v>951.8821867633211</v>
      </c>
      <c r="AF42" s="174">
        <f>MAX(AF66*AF$14,'Output - Jobs vs Yr (BAU)'!AF16)</f>
        <v>1003.797380751733</v>
      </c>
      <c r="AG42" s="174">
        <f>MAX(AG66*AG$14,'Output - Jobs vs Yr (BAU)'!AG16)</f>
        <v>1056.4385087975609</v>
      </c>
      <c r="AH42" s="184">
        <f>Inputs!I23*'Output -Jobs vs Yr'!$AH$14</f>
        <v>1110.1353010080588</v>
      </c>
      <c r="AI42" s="127"/>
    </row>
    <row r="43" spans="1:36">
      <c r="A43" s="10" t="s">
        <v>332</v>
      </c>
      <c r="B43" s="37"/>
      <c r="C43" s="330">
        <f>SUM(C31:C42)</f>
        <v>37609.409</v>
      </c>
      <c r="D43" s="330">
        <f t="shared" ref="D43:AG43" si="29">SUM(D31:D42)</f>
        <v>37745.758946277259</v>
      </c>
      <c r="E43" s="330">
        <f t="shared" si="29"/>
        <v>38811.400804683348</v>
      </c>
      <c r="F43" s="330">
        <f t="shared" si="29"/>
        <v>39415.028035463984</v>
      </c>
      <c r="G43" s="330">
        <f t="shared" si="29"/>
        <v>39586.671630500394</v>
      </c>
      <c r="H43" s="286">
        <f t="shared" si="29"/>
        <v>38071.108417775024</v>
      </c>
      <c r="I43" s="83">
        <f t="shared" si="29"/>
        <v>39834.59931538345</v>
      </c>
      <c r="J43" s="83">
        <f t="shared" si="29"/>
        <v>42125.558686226592</v>
      </c>
      <c r="K43" s="83">
        <f t="shared" si="29"/>
        <v>43664.774964210344</v>
      </c>
      <c r="L43" s="83">
        <f t="shared" si="29"/>
        <v>45449.885245096244</v>
      </c>
      <c r="M43" s="83">
        <f t="shared" si="29"/>
        <v>47627.185356201306</v>
      </c>
      <c r="N43" s="184">
        <f t="shared" si="29"/>
        <v>50286.274352105247</v>
      </c>
      <c r="O43" s="83">
        <f t="shared" si="29"/>
        <v>50688.364686564535</v>
      </c>
      <c r="P43" s="83">
        <f t="shared" si="29"/>
        <v>51200.029818088697</v>
      </c>
      <c r="Q43" s="83">
        <f t="shared" si="29"/>
        <v>51946.688443650499</v>
      </c>
      <c r="R43" s="83">
        <f t="shared" si="29"/>
        <v>52633.691157567249</v>
      </c>
      <c r="S43" s="83">
        <f t="shared" si="29"/>
        <v>53130.088549969289</v>
      </c>
      <c r="T43" s="83">
        <f t="shared" si="29"/>
        <v>53572.289720341185</v>
      </c>
      <c r="U43" s="83">
        <f t="shared" si="29"/>
        <v>54050.646422681988</v>
      </c>
      <c r="V43" s="83">
        <f t="shared" si="29"/>
        <v>54632.301812401747</v>
      </c>
      <c r="W43" s="83">
        <f t="shared" si="29"/>
        <v>55024.906108840842</v>
      </c>
      <c r="X43" s="184">
        <f t="shared" si="29"/>
        <v>55686.217729632779</v>
      </c>
      <c r="Y43" s="174">
        <f t="shared" si="29"/>
        <v>56275.895635766567</v>
      </c>
      <c r="Z43" s="174">
        <f t="shared" si="29"/>
        <v>56991.035584169978</v>
      </c>
      <c r="AA43" s="174">
        <f t="shared" si="29"/>
        <v>57609.960246925926</v>
      </c>
      <c r="AB43" s="174">
        <f t="shared" si="29"/>
        <v>58404.177985254479</v>
      </c>
      <c r="AC43" s="174">
        <f t="shared" si="29"/>
        <v>59459.496299161307</v>
      </c>
      <c r="AD43" s="174">
        <f t="shared" si="29"/>
        <v>60426.130794480749</v>
      </c>
      <c r="AE43" s="174">
        <f t="shared" si="29"/>
        <v>61545.378153380319</v>
      </c>
      <c r="AF43" s="174">
        <f t="shared" si="29"/>
        <v>62771.018803462408</v>
      </c>
      <c r="AG43" s="174">
        <f t="shared" si="29"/>
        <v>63925.66903062012</v>
      </c>
      <c r="AH43" s="184">
        <f>SUM(AH31:AH42)</f>
        <v>65034.919373612393</v>
      </c>
      <c r="AI43" s="127"/>
    </row>
    <row r="44" spans="1:36">
      <c r="A44" s="10" t="s">
        <v>124</v>
      </c>
      <c r="B44" s="37"/>
      <c r="C44" s="331">
        <f>SUMPRODUCT($B34:$B42,C34:C42)</f>
        <v>520.41899999999987</v>
      </c>
      <c r="D44" s="331">
        <f>SUMPRODUCT($B34:$B42,D34:D42)</f>
        <v>877.09223662169688</v>
      </c>
      <c r="E44" s="331">
        <f t="shared" ref="E44:AG44" si="30">SUMPRODUCT($B34:$B42*E34:E42)</f>
        <v>1224.5583650376718</v>
      </c>
      <c r="F44" s="331">
        <f t="shared" si="30"/>
        <v>1629.049383248816</v>
      </c>
      <c r="G44" s="331">
        <f t="shared" si="30"/>
        <v>1843.6008065999065</v>
      </c>
      <c r="H44" s="402">
        <f t="shared" si="30"/>
        <v>1865.7072842901594</v>
      </c>
      <c r="I44" s="14">
        <f>SUMPRODUCT($B34:$B42*I34:I42)</f>
        <v>2453.1919627828197</v>
      </c>
      <c r="J44" s="14">
        <f t="shared" si="30"/>
        <v>3236.7246913251147</v>
      </c>
      <c r="K44" s="14">
        <f t="shared" si="30"/>
        <v>4183.2547177577153</v>
      </c>
      <c r="L44" s="14">
        <f t="shared" si="30"/>
        <v>5406.8311968027265</v>
      </c>
      <c r="M44" s="14">
        <f t="shared" si="30"/>
        <v>6998.0384085550995</v>
      </c>
      <c r="N44" s="182">
        <f t="shared" si="30"/>
        <v>9065.255188015919</v>
      </c>
      <c r="O44" s="14">
        <f t="shared" si="30"/>
        <v>9471.885495606206</v>
      </c>
      <c r="P44" s="14">
        <f t="shared" si="30"/>
        <v>9914.9158397146275</v>
      </c>
      <c r="Q44" s="14">
        <f t="shared" si="30"/>
        <v>10422.119374806463</v>
      </c>
      <c r="R44" s="14">
        <f t="shared" si="30"/>
        <v>10937.75895182828</v>
      </c>
      <c r="S44" s="14">
        <f t="shared" si="30"/>
        <v>11432.881968508364</v>
      </c>
      <c r="T44" s="14">
        <f t="shared" si="30"/>
        <v>11933.99489156259</v>
      </c>
      <c r="U44" s="14">
        <f t="shared" si="30"/>
        <v>12460.987168901307</v>
      </c>
      <c r="V44" s="14">
        <f t="shared" si="30"/>
        <v>13031.013063109267</v>
      </c>
      <c r="W44" s="14">
        <f t="shared" si="30"/>
        <v>13574.834701895701</v>
      </c>
      <c r="X44" s="187">
        <f t="shared" si="30"/>
        <v>14204.695022051357</v>
      </c>
      <c r="Y44" s="14">
        <f t="shared" si="30"/>
        <v>14889.705455950867</v>
      </c>
      <c r="Z44" s="14">
        <f t="shared" si="30"/>
        <v>15633.873422190347</v>
      </c>
      <c r="AA44" s="14">
        <f t="shared" si="30"/>
        <v>16378.236832891656</v>
      </c>
      <c r="AB44" s="14">
        <f t="shared" si="30"/>
        <v>17200.031630549453</v>
      </c>
      <c r="AC44" s="14">
        <f t="shared" si="30"/>
        <v>18131.051809281787</v>
      </c>
      <c r="AD44" s="14">
        <f t="shared" si="30"/>
        <v>19069.569715017496</v>
      </c>
      <c r="AE44" s="14">
        <f t="shared" si="30"/>
        <v>20091.731695213075</v>
      </c>
      <c r="AF44" s="14">
        <f t="shared" si="30"/>
        <v>21187.216074006716</v>
      </c>
      <c r="AG44" s="14">
        <f t="shared" si="30"/>
        <v>22298.004710086836</v>
      </c>
      <c r="AH44" s="187">
        <f>SUMPRODUCT($B34:$B42*AH34:AH42)</f>
        <v>23431.049026030967</v>
      </c>
      <c r="AI44" s="127"/>
    </row>
    <row r="45" spans="1:36">
      <c r="A45" s="10" t="s">
        <v>117</v>
      </c>
      <c r="B45" s="37"/>
      <c r="C45" s="332">
        <f t="shared" ref="C45:AG45" si="31">C44/C14</f>
        <v>4.6547856497589505E-3</v>
      </c>
      <c r="D45" s="332">
        <f t="shared" si="31"/>
        <v>7.863336112152345E-3</v>
      </c>
      <c r="E45" s="332">
        <f t="shared" si="31"/>
        <v>1.0729621241134357E-2</v>
      </c>
      <c r="F45" s="332">
        <f t="shared" si="31"/>
        <v>1.4146868108188677E-2</v>
      </c>
      <c r="G45" s="332">
        <f t="shared" si="31"/>
        <v>1.5969693194096263E-2</v>
      </c>
      <c r="H45" s="284">
        <f t="shared" si="31"/>
        <v>1.5928577473357852E-2</v>
      </c>
      <c r="I45" s="23">
        <f t="shared" si="31"/>
        <v>2.0388617266755373E-2</v>
      </c>
      <c r="J45" s="23">
        <f t="shared" si="31"/>
        <v>2.5988823968968872E-2</v>
      </c>
      <c r="K45" s="23">
        <f t="shared" si="31"/>
        <v>3.3251336381813996E-2</v>
      </c>
      <c r="L45" s="23">
        <f t="shared" si="31"/>
        <v>4.2586920402806844E-2</v>
      </c>
      <c r="M45" s="23">
        <f t="shared" si="31"/>
        <v>5.459594461029136E-2</v>
      </c>
      <c r="N45" s="178">
        <f t="shared" si="31"/>
        <v>7.0054094302912581E-2</v>
      </c>
      <c r="O45" s="23">
        <f t="shared" si="31"/>
        <v>7.2603105625575967E-2</v>
      </c>
      <c r="P45" s="23">
        <f t="shared" si="31"/>
        <v>7.5244165546309499E-2</v>
      </c>
      <c r="Q45" s="207">
        <f t="shared" si="31"/>
        <v>7.7980413297471837E-2</v>
      </c>
      <c r="R45" s="207">
        <f t="shared" si="31"/>
        <v>8.0815713137694437E-2</v>
      </c>
      <c r="S45" s="207">
        <f t="shared" si="31"/>
        <v>8.3753911103438758E-2</v>
      </c>
      <c r="T45" s="207">
        <f t="shared" si="31"/>
        <v>8.679856829590181E-2</v>
      </c>
      <c r="U45" s="207">
        <f t="shared" si="31"/>
        <v>8.9953407416411085E-2</v>
      </c>
      <c r="V45" s="207">
        <f t="shared" si="31"/>
        <v>9.322229970484823E-2</v>
      </c>
      <c r="W45" s="207">
        <f t="shared" si="31"/>
        <v>9.660997901375952E-2</v>
      </c>
      <c r="X45" s="185">
        <f t="shared" si="31"/>
        <v>0.10011982214146539</v>
      </c>
      <c r="Y45" s="172">
        <f t="shared" si="31"/>
        <v>0.10426401801574076</v>
      </c>
      <c r="Z45" s="172">
        <f t="shared" si="31"/>
        <v>0.10857913440879584</v>
      </c>
      <c r="AA45" s="172">
        <f t="shared" si="31"/>
        <v>0.11307277039919902</v>
      </c>
      <c r="AB45" s="172">
        <f t="shared" si="31"/>
        <v>0.11775166856016252</v>
      </c>
      <c r="AC45" s="172">
        <f t="shared" si="31"/>
        <v>0.12262327674699919</v>
      </c>
      <c r="AD45" s="172">
        <f t="shared" si="31"/>
        <v>0.12769646605576482</v>
      </c>
      <c r="AE45" s="172">
        <f t="shared" si="31"/>
        <v>0.13297897019699745</v>
      </c>
      <c r="AF45" s="172">
        <f t="shared" si="31"/>
        <v>0.13847958665428731</v>
      </c>
      <c r="AG45" s="172">
        <f t="shared" si="31"/>
        <v>0.14420782484768918</v>
      </c>
      <c r="AH45" s="185">
        <f>AH44/AH14</f>
        <v>0.1501730469798408</v>
      </c>
      <c r="AI45" s="127"/>
    </row>
    <row r="46" spans="1:36" s="252" customFormat="1">
      <c r="A46" s="10" t="s">
        <v>333</v>
      </c>
      <c r="B46" s="37"/>
      <c r="C46" s="330">
        <f>SUM(EIA_electricity_aeo2014!E50,EIA_electricity_aeo2014!E55)*1000</f>
        <v>65</v>
      </c>
      <c r="D46" s="330">
        <f>SUM(EIA_electricity_aeo2014!F50,EIA_electricity_aeo2014!F55)*1000</f>
        <v>81</v>
      </c>
      <c r="E46" s="330">
        <f>SUM(EIA_electricity_aeo2014!G50,EIA_electricity_aeo2014!G55)*1000</f>
        <v>62.126389236976649</v>
      </c>
      <c r="F46" s="330">
        <f>SUM(EIA_electricity_aeo2014!H50,EIA_electricity_aeo2014!H55)*1000</f>
        <v>40.415153777458762</v>
      </c>
      <c r="G46" s="330">
        <f>SUM(EIA_electricity_aeo2014!I50,EIA_electricity_aeo2014!I55)*1000</f>
        <v>28.142793096447345</v>
      </c>
      <c r="H46" s="286">
        <f>SUM(EIA_electricity_aeo2014!J50,EIA_electricity_aeo2014!J55)*1000</f>
        <v>28.587641734471568</v>
      </c>
      <c r="I46" s="286">
        <f>SUM(EIA_electricity_aeo2014!K50,EIA_electricity_aeo2014!K55)*1000</f>
        <v>27.624689594535674</v>
      </c>
      <c r="J46" s="286">
        <f>SUM(EIA_electricity_aeo2014!L50,EIA_electricity_aeo2014!L55)*1000</f>
        <v>26.258570500128258</v>
      </c>
      <c r="K46" s="286">
        <f>SUM(EIA_electricity_aeo2014!M50,EIA_electricity_aeo2014!M55)*1000</f>
        <v>14.636673567005563</v>
      </c>
      <c r="L46" s="286">
        <f>SUM(EIA_electricity_aeo2014!N50,EIA_electricity_aeo2014!N55)*1000</f>
        <v>14.940182793049297</v>
      </c>
      <c r="M46" s="286">
        <f>SUM(EIA_electricity_aeo2014!O50,EIA_electricity_aeo2014!O55)*1000</f>
        <v>15.103774504509465</v>
      </c>
      <c r="N46" s="286">
        <f>SUM(EIA_electricity_aeo2014!P50,EIA_electricity_aeo2014!P55)*1000</f>
        <v>15.081655879389702</v>
      </c>
      <c r="O46" s="286">
        <f>SUM(EIA_electricity_aeo2014!Q50,EIA_electricity_aeo2014!Q55)*1000</f>
        <v>15.254805688257138</v>
      </c>
      <c r="P46" s="286">
        <f>SUM(EIA_electricity_aeo2014!R50,EIA_electricity_aeo2014!R55)*1000</f>
        <v>15.382907113550814</v>
      </c>
      <c r="Q46" s="286">
        <f>SUM(EIA_electricity_aeo2014!S50,EIA_electricity_aeo2014!S55)*1000</f>
        <v>15.468545601133679</v>
      </c>
      <c r="R46" s="286">
        <f>SUM(EIA_electricity_aeo2014!T50,EIA_electricity_aeo2014!T55)*1000</f>
        <v>15.705180766418806</v>
      </c>
      <c r="S46" s="286">
        <f>SUM(EIA_electricity_aeo2014!U50,EIA_electricity_aeo2014!U55)*1000</f>
        <v>15.973110541704523</v>
      </c>
      <c r="T46" s="286">
        <f>SUM(EIA_electricity_aeo2014!V50,EIA_electricity_aeo2014!V55)*1000</f>
        <v>15.787796315121835</v>
      </c>
      <c r="U46" s="286">
        <f>SUM(EIA_electricity_aeo2014!W50,EIA_electricity_aeo2014!W55)*1000</f>
        <v>15.741274810946434</v>
      </c>
      <c r="V46" s="286">
        <f>SUM(EIA_electricity_aeo2014!X50,EIA_electricity_aeo2014!X55)*1000</f>
        <v>15.752500095028513</v>
      </c>
      <c r="W46" s="286">
        <f>SUM(EIA_electricity_aeo2014!Y50,EIA_electricity_aeo2014!Y55)*1000</f>
        <v>15.738563796191947</v>
      </c>
      <c r="X46" s="286">
        <f>SUM(EIA_electricity_aeo2014!Z50,EIA_electricity_aeo2014!Z55)*1000</f>
        <v>15.761886145181563</v>
      </c>
      <c r="Y46" s="286">
        <f>SUM(EIA_electricity_aeo2014!AA50,EIA_electricity_aeo2014!AA55)*1000</f>
        <v>15.760681972279148</v>
      </c>
      <c r="Z46" s="286">
        <f>SUM(EIA_electricity_aeo2014!AB50,EIA_electricity_aeo2014!AB55)*1000</f>
        <v>15.758182513599978</v>
      </c>
      <c r="AA46" s="286">
        <f>SUM(EIA_electricity_aeo2014!AC50,EIA_electricity_aeo2014!AC55)*1000</f>
        <v>15.74066133348671</v>
      </c>
      <c r="AB46" s="286">
        <f>SUM(EIA_electricity_aeo2014!AD50,EIA_electricity_aeo2014!AD55)*1000</f>
        <v>15.727111865415655</v>
      </c>
      <c r="AC46" s="286">
        <f>SUM(EIA_electricity_aeo2014!AE50,EIA_electricity_aeo2014!AE55)*1000</f>
        <v>15.712324847553056</v>
      </c>
      <c r="AD46" s="286">
        <f>SUM(EIA_electricity_aeo2014!AF50,EIA_electricity_aeo2014!AF55)*1000</f>
        <v>15.698189552754302</v>
      </c>
      <c r="AE46" s="286">
        <f>SUM(EIA_electricity_aeo2014!AG50,EIA_electricity_aeo2014!AG55)*1000</f>
        <v>15.687329657508364</v>
      </c>
      <c r="AF46" s="286">
        <f>SUM(EIA_electricity_aeo2014!AH50,EIA_electricity_aeo2014!AH55)*1000</f>
        <v>15.671271660868957</v>
      </c>
      <c r="AG46" s="286">
        <f>SUM(EIA_electricity_aeo2014!AI50,EIA_electricity_aeo2014!AI55)*1000</f>
        <v>15.670057574894793</v>
      </c>
      <c r="AH46" s="286">
        <f>SUM(EIA_electricity_aeo2014!AJ50,EIA_electricity_aeo2014!AJ55)*1000</f>
        <v>15.672115937214731</v>
      </c>
      <c r="AI46" s="292"/>
    </row>
    <row r="47" spans="1:36" s="252" customFormat="1">
      <c r="A47" s="10" t="s">
        <v>142</v>
      </c>
      <c r="B47" s="37"/>
      <c r="C47" s="330">
        <f>(C$14-C$43-C$46)*0.7</f>
        <v>51890.013699999989</v>
      </c>
      <c r="D47" s="330">
        <f>(D$14-D$30-D$43-D$46)*EIA_electricity_aeo2014!F60</f>
        <v>43879.268692698788</v>
      </c>
      <c r="E47" s="330">
        <f>(E$14-E$30-E$43-E$46)*EIA_electricity_aeo2014!G60</f>
        <v>40036.252473163215</v>
      </c>
      <c r="F47" s="330">
        <f>(F$14-F$30-F$43-F$46)*EIA_electricity_aeo2014!H60</f>
        <v>34189.827584216371</v>
      </c>
      <c r="G47" s="330">
        <f>(G$14-G$30-G$43-G$46)*EIA_electricity_aeo2014!I60</f>
        <v>37659.204821775158</v>
      </c>
      <c r="H47" s="286">
        <f>(H$14-H$30-H$43-H$46)*EIA_electricity_aeo2014!J60</f>
        <v>40783.183032948589</v>
      </c>
      <c r="I47" s="286">
        <f>(I$14-I$30-I$43-I$46)*EIA_electricity_aeo2014!K60</f>
        <v>38913.370356884217</v>
      </c>
      <c r="J47" s="286">
        <f>(J$14-J$30-J$43-J$46)*EIA_electricity_aeo2014!L60</f>
        <v>37237.608823834853</v>
      </c>
      <c r="K47" s="286">
        <f>(K$14-K$30-K$43-K$46)*EIA_electricity_aeo2014!M60</f>
        <v>39104.58431108763</v>
      </c>
      <c r="L47" s="286">
        <f>(L$14-L$30-L$43-L$46)*EIA_electricity_aeo2014!N60</f>
        <v>39414.438849544822</v>
      </c>
      <c r="M47" s="286">
        <f>(M$14-M$30-M$43-M$46)*EIA_electricity_aeo2014!O60</f>
        <v>38804.918641186705</v>
      </c>
      <c r="N47" s="287">
        <f>(N$14-N$43-N$46)*EIA_electricity_aeo2014!P60 - N30</f>
        <v>37472.866284326687</v>
      </c>
      <c r="O47" s="286">
        <f>(O$14-O$43-O$46)*EIA_electricity_aeo2014!Q60 - O30</f>
        <v>37649.695502323979</v>
      </c>
      <c r="P47" s="286">
        <f>(P$14-P$43-P$46)*EIA_electricity_aeo2014!R60 - P30</f>
        <v>37763.663209404134</v>
      </c>
      <c r="Q47" s="286">
        <f>(Q$14-Q$43-Q$46)*EIA_electricity_aeo2014!S60 - Q30</f>
        <v>37540.13776190496</v>
      </c>
      <c r="R47" s="286">
        <f>(R$14-R$43-R$46)*EIA_electricity_aeo2014!T60 - R30</f>
        <v>37804.341802629919</v>
      </c>
      <c r="S47" s="286">
        <f>(S$14-S$43-S$46)*EIA_electricity_aeo2014!U60 - S30</f>
        <v>38063.488746423354</v>
      </c>
      <c r="T47" s="286">
        <f>(T$14-T$43-T$46)*EIA_electricity_aeo2014!V60 - T30</f>
        <v>37962.488948585997</v>
      </c>
      <c r="U47" s="286">
        <f>(U$14-U$43-U$46)*EIA_electricity_aeo2014!W60 - U30</f>
        <v>37896.520515009244</v>
      </c>
      <c r="V47" s="286">
        <f>(V$14-V$43-V$46)*EIA_electricity_aeo2014!X60 - V30</f>
        <v>37823.333436872803</v>
      </c>
      <c r="W47" s="286">
        <f>(W$14-W$43-W$46)*EIA_electricity_aeo2014!Y60 - W30</f>
        <v>37721.512121239095</v>
      </c>
      <c r="X47" s="287">
        <f>(X$14-X$43-X$46)*EIA_electricity_aeo2014!Z60 - X30</f>
        <v>37721.828562474089</v>
      </c>
      <c r="Y47" s="286">
        <f>(Y$14-Y$43-Y$46)*EIA_electricity_aeo2014!AA60 - Y30</f>
        <v>37722.129315464197</v>
      </c>
      <c r="Z47" s="286">
        <f>(Z$14-Z$43-Z$46)*EIA_electricity_aeo2014!AB60 - Z30</f>
        <v>37684.06098403527</v>
      </c>
      <c r="AA47" s="286">
        <f>(AA$14-AA$43-AA$46)*EIA_electricity_aeo2014!AC60 - AA30</f>
        <v>37600.646977201832</v>
      </c>
      <c r="AB47" s="286">
        <f>(AB$14-AB$43-AB$46)*EIA_electricity_aeo2014!AD60 - AB30</f>
        <v>37538.349728529</v>
      </c>
      <c r="AC47" s="286">
        <f>(AC$14-AC$43-AC$46)*EIA_electricity_aeo2014!AE60 - AC30</f>
        <v>37473.186465707498</v>
      </c>
      <c r="AD47" s="286">
        <f>(AD$14-AD$43-AD$46)*EIA_electricity_aeo2014!AF60 - AD30</f>
        <v>37351.589953032904</v>
      </c>
      <c r="AE47" s="286">
        <f>(AE$14-AE$43-AE$46)*EIA_electricity_aeo2014!AG60 - AE30</f>
        <v>37103.584733303571</v>
      </c>
      <c r="AF47" s="286">
        <f>(AF$14-AF$43-AF$46)*EIA_electricity_aeo2014!AH60 - AF30</f>
        <v>36828.991504571954</v>
      </c>
      <c r="AG47" s="286">
        <f>(AG$14-AG$43-AG$46)*EIA_electricity_aeo2014!AI60 - AG30</f>
        <v>36611.14285428929</v>
      </c>
      <c r="AH47" s="287">
        <f>(AH$14-AH$43-AH$46)*EIA_electricity_aeo2014!AJ60 - AH30</f>
        <v>36415.908870184045</v>
      </c>
      <c r="AI47" s="292"/>
      <c r="AJ47" s="398"/>
    </row>
    <row r="48" spans="1:36" s="252" customFormat="1">
      <c r="A48" s="10" t="s">
        <v>222</v>
      </c>
      <c r="B48" s="37"/>
      <c r="C48" s="330">
        <f>(C$14-C$43-C$46)* 0.3</f>
        <v>22238.577299999994</v>
      </c>
      <c r="D48" s="330">
        <f t="shared" ref="D48:AH48" si="32">(D$14-SUM(D30:D42,D46:D47))</f>
        <v>29835.972361023945</v>
      </c>
      <c r="E48" s="330">
        <f t="shared" si="32"/>
        <v>35218.980101533321</v>
      </c>
      <c r="F48" s="330">
        <f>(F$14-SUM(F30:F42,F46:F47))</f>
        <v>41507.38144543636</v>
      </c>
      <c r="G48" s="330">
        <f t="shared" si="32"/>
        <v>38169.701820068105</v>
      </c>
      <c r="H48" s="286">
        <f t="shared" si="32"/>
        <v>38246.681749415104</v>
      </c>
      <c r="I48" s="286">
        <f t="shared" si="32"/>
        <v>41546.050342453673</v>
      </c>
      <c r="J48" s="286">
        <f t="shared" si="32"/>
        <v>45153.519579073618</v>
      </c>
      <c r="K48" s="286">
        <f t="shared" si="32"/>
        <v>43023.119582456755</v>
      </c>
      <c r="L48" s="286">
        <f t="shared" si="32"/>
        <v>42080.636688928542</v>
      </c>
      <c r="M48" s="286">
        <f t="shared" si="32"/>
        <v>41731.514265201171</v>
      </c>
      <c r="N48" s="287">
        <f t="shared" si="32"/>
        <v>41629.423250773252</v>
      </c>
      <c r="O48" s="286">
        <f t="shared" si="32"/>
        <v>42107.846604404971</v>
      </c>
      <c r="P48" s="286">
        <f t="shared" si="32"/>
        <v>42790.819680920511</v>
      </c>
      <c r="Q48" s="286">
        <f t="shared" si="32"/>
        <v>44148.181491502066</v>
      </c>
      <c r="R48" s="286">
        <f t="shared" si="32"/>
        <v>44888.245826837854</v>
      </c>
      <c r="S48" s="286">
        <f t="shared" si="32"/>
        <v>45296.098318990698</v>
      </c>
      <c r="T48" s="286">
        <f t="shared" si="32"/>
        <v>45940.121755315049</v>
      </c>
      <c r="U48" s="286">
        <f t="shared" si="32"/>
        <v>46564.219628437466</v>
      </c>
      <c r="V48" s="286">
        <f t="shared" si="32"/>
        <v>47312.903180663765</v>
      </c>
      <c r="W48" s="286">
        <f t="shared" si="32"/>
        <v>47749.567155078737</v>
      </c>
      <c r="X48" s="287">
        <f t="shared" si="32"/>
        <v>48453.142042261519</v>
      </c>
      <c r="Y48" s="286">
        <f t="shared" si="32"/>
        <v>48793.922522672598</v>
      </c>
      <c r="Z48" s="286">
        <f t="shared" si="32"/>
        <v>49295.128443155918</v>
      </c>
      <c r="AA48" s="286">
        <f t="shared" si="32"/>
        <v>49620.521746094848</v>
      </c>
      <c r="AB48" s="286">
        <f t="shared" si="32"/>
        <v>50112.130765205729</v>
      </c>
      <c r="AC48" s="286">
        <f t="shared" si="32"/>
        <v>50911.39377149989</v>
      </c>
      <c r="AD48" s="286">
        <f t="shared" si="32"/>
        <v>51541.7216821724</v>
      </c>
      <c r="AE48" s="286">
        <f t="shared" si="32"/>
        <v>52424.891727387148</v>
      </c>
      <c r="AF48" s="286">
        <f t="shared" si="32"/>
        <v>53383.158075281186</v>
      </c>
      <c r="AG48" s="286">
        <f t="shared" si="32"/>
        <v>54071.615145435586</v>
      </c>
      <c r="AH48" s="287">
        <f t="shared" si="32"/>
        <v>54560.493147139437</v>
      </c>
      <c r="AI48" s="292"/>
    </row>
    <row r="49" spans="1:35" s="252" customFormat="1">
      <c r="A49" s="10" t="s">
        <v>334</v>
      </c>
      <c r="B49" s="37"/>
      <c r="C49" s="330">
        <f>SUM(C43,C46:C48)</f>
        <v>111802.99999999999</v>
      </c>
      <c r="D49" s="330">
        <f t="shared" ref="D49:M49" si="33">SUM(D43,D46:D48)+D30</f>
        <v>111542</v>
      </c>
      <c r="E49" s="330">
        <f t="shared" si="33"/>
        <v>114128.75976861686</v>
      </c>
      <c r="F49" s="330">
        <f t="shared" si="33"/>
        <v>115152.65221889417</v>
      </c>
      <c r="G49" s="330">
        <f t="shared" si="33"/>
        <v>115443.72106544011</v>
      </c>
      <c r="H49" s="286">
        <f>SUM(H43,H46:H48)+H30</f>
        <v>117129.56084187319</v>
      </c>
      <c r="I49" s="286">
        <f t="shared" si="33"/>
        <v>120321.64470431587</v>
      </c>
      <c r="J49" s="286">
        <f t="shared" si="33"/>
        <v>124542.94565963518</v>
      </c>
      <c r="K49" s="286">
        <f t="shared" si="33"/>
        <v>125807.11553132175</v>
      </c>
      <c r="L49" s="286">
        <f t="shared" si="33"/>
        <v>126959.90096636266</v>
      </c>
      <c r="M49" s="286">
        <f t="shared" si="33"/>
        <v>128178.72203709368</v>
      </c>
      <c r="N49" s="287">
        <f t="shared" ref="N49:AH49" si="34">SUM(N43,N46:N48)+N30</f>
        <v>129403.64554308457</v>
      </c>
      <c r="O49" s="286">
        <f t="shared" si="34"/>
        <v>130461.16159898174</v>
      </c>
      <c r="P49" s="286">
        <f t="shared" si="34"/>
        <v>131769.89561552688</v>
      </c>
      <c r="Q49" s="286">
        <f t="shared" si="34"/>
        <v>133650.47624265865</v>
      </c>
      <c r="R49" s="286">
        <f t="shared" si="34"/>
        <v>135341.98396780144</v>
      </c>
      <c r="S49" s="286">
        <f t="shared" si="34"/>
        <v>136505.64872592504</v>
      </c>
      <c r="T49" s="286">
        <f t="shared" si="34"/>
        <v>137490.68822055735</v>
      </c>
      <c r="U49" s="286">
        <f t="shared" si="34"/>
        <v>138527.12784093965</v>
      </c>
      <c r="V49" s="286">
        <f t="shared" si="34"/>
        <v>139784.29093003334</v>
      </c>
      <c r="W49" s="286">
        <f t="shared" si="34"/>
        <v>140511.72394895487</v>
      </c>
      <c r="X49" s="287">
        <f t="shared" si="34"/>
        <v>141876.95022051357</v>
      </c>
      <c r="Y49" s="286">
        <f t="shared" si="34"/>
        <v>142807.70815587565</v>
      </c>
      <c r="Z49" s="286">
        <f t="shared" si="34"/>
        <v>143985.98319387477</v>
      </c>
      <c r="AA49" s="286">
        <f t="shared" si="34"/>
        <v>144846.8696315561</v>
      </c>
      <c r="AB49" s="286">
        <f t="shared" si="34"/>
        <v>146070.38559085462</v>
      </c>
      <c r="AC49" s="286">
        <f t="shared" si="34"/>
        <v>147859.78886121625</v>
      </c>
      <c r="AD49" s="286">
        <f t="shared" si="34"/>
        <v>149335.14061923881</v>
      </c>
      <c r="AE49" s="286">
        <f t="shared" si="34"/>
        <v>151089.54194372855</v>
      </c>
      <c r="AF49" s="286">
        <f t="shared" si="34"/>
        <v>152998.83965497641</v>
      </c>
      <c r="AG49" s="286">
        <f t="shared" si="34"/>
        <v>154624.09708791989</v>
      </c>
      <c r="AH49" s="287">
        <f t="shared" si="34"/>
        <v>156026.99350687308</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0.68535783017471896</v>
      </c>
      <c r="E51" s="332">
        <f t="shared" ref="E51:X51" si="36">E44/D44-1</f>
        <v>0.3961568851120072</v>
      </c>
      <c r="F51" s="332">
        <f t="shared" si="36"/>
        <v>0.33031583447531343</v>
      </c>
      <c r="G51" s="332">
        <f>G44/F44-1</f>
        <v>0.13170344960519875</v>
      </c>
      <c r="H51" s="284"/>
      <c r="I51" s="164">
        <f t="shared" ref="I51:N51" si="37">I44/H44-1</f>
        <v>0.31488577197477108</v>
      </c>
      <c r="J51" s="172">
        <f t="shared" si="37"/>
        <v>0.31939315815036395</v>
      </c>
      <c r="K51" s="172">
        <f t="shared" si="37"/>
        <v>0.29243451844064361</v>
      </c>
      <c r="L51" s="172">
        <f t="shared" si="37"/>
        <v>0.29249389807677439</v>
      </c>
      <c r="M51" s="172">
        <f t="shared" si="37"/>
        <v>0.29429570738093624</v>
      </c>
      <c r="N51" s="172">
        <f t="shared" si="37"/>
        <v>0.29539946178827026</v>
      </c>
      <c r="O51" s="172">
        <f t="shared" ref="O51:R51" si="38">O44/N44-1</f>
        <v>4.4855914053897106E-2</v>
      </c>
      <c r="P51" s="172">
        <f t="shared" si="38"/>
        <v>4.6773194662660611E-2</v>
      </c>
      <c r="Q51" s="172">
        <f t="shared" si="38"/>
        <v>5.1155606693120914E-2</v>
      </c>
      <c r="R51" s="172">
        <f t="shared" si="38"/>
        <v>4.9475500949286655E-2</v>
      </c>
      <c r="S51" s="164">
        <f t="shared" si="36"/>
        <v>4.5267318365735498E-2</v>
      </c>
      <c r="T51" s="164">
        <f t="shared" si="36"/>
        <v>4.3830848987554738E-2</v>
      </c>
      <c r="U51" s="164">
        <f t="shared" si="36"/>
        <v>4.4158915947861255E-2</v>
      </c>
      <c r="V51" s="164">
        <f t="shared" si="36"/>
        <v>4.5744842401456376E-2</v>
      </c>
      <c r="W51" s="164">
        <f t="shared" si="36"/>
        <v>4.1732874961655231E-2</v>
      </c>
      <c r="X51" s="185">
        <f t="shared" si="36"/>
        <v>4.6399115273771718E-2</v>
      </c>
      <c r="Y51" s="172">
        <f t="shared" ref="Y51:AH51" si="39">Y44/X44-1</f>
        <v>4.822422676700211E-2</v>
      </c>
      <c r="Z51" s="172">
        <f t="shared" si="39"/>
        <v>4.9978689534255549E-2</v>
      </c>
      <c r="AA51" s="172">
        <f t="shared" si="39"/>
        <v>4.7612219352165086E-2</v>
      </c>
      <c r="AB51" s="172">
        <f t="shared" si="39"/>
        <v>5.0176023588047292E-2</v>
      </c>
      <c r="AC51" s="172">
        <f t="shared" si="39"/>
        <v>5.4128980616449773E-2</v>
      </c>
      <c r="AD51" s="172">
        <f t="shared" si="39"/>
        <v>5.1763014942975083E-2</v>
      </c>
      <c r="AE51" s="172">
        <f t="shared" si="39"/>
        <v>5.3601732785329537E-2</v>
      </c>
      <c r="AF51" s="172">
        <f t="shared" si="39"/>
        <v>5.4524139353037571E-2</v>
      </c>
      <c r="AG51" s="172">
        <f t="shared" si="39"/>
        <v>5.2427304852140422E-2</v>
      </c>
      <c r="AH51" s="185">
        <f t="shared" si="39"/>
        <v>5.0813708700652604E-2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5.7484951208822667E-2</v>
      </c>
      <c r="D56" s="336">
        <f t="shared" si="40"/>
        <v>5.8210673850053025E-2</v>
      </c>
      <c r="E56" s="336">
        <f t="shared" si="40"/>
        <v>5.8936396491283384E-2</v>
      </c>
      <c r="F56" s="336">
        <f t="shared" si="40"/>
        <v>5.9662119132513743E-2</v>
      </c>
      <c r="G56" s="336">
        <f t="shared" si="40"/>
        <v>6.0387841773744101E-2</v>
      </c>
      <c r="H56" s="396">
        <f t="shared" si="40"/>
        <v>6.8832782280165039E-2</v>
      </c>
      <c r="I56" s="173">
        <f t="shared" si="40"/>
        <v>6.8271968610530295E-2</v>
      </c>
      <c r="J56" s="173">
        <f t="shared" si="40"/>
        <v>6.7711154940895552E-2</v>
      </c>
      <c r="K56" s="173">
        <f t="shared" si="40"/>
        <v>6.7150341271260808E-2</v>
      </c>
      <c r="L56" s="173">
        <f t="shared" si="40"/>
        <v>6.6589527601626064E-2</v>
      </c>
      <c r="M56" s="173">
        <f t="shared" si="40"/>
        <v>6.602871393199132E-2</v>
      </c>
      <c r="N56" s="178">
        <f>N26</f>
        <v>6.5467900262356576E-2</v>
      </c>
      <c r="O56" s="116">
        <f t="shared" ref="O56:AH56" si="41">O31/O$49</f>
        <v>6.4930066514611182E-2</v>
      </c>
      <c r="P56" s="116">
        <f t="shared" si="41"/>
        <v>6.4392232766865787E-2</v>
      </c>
      <c r="Q56" s="116">
        <f t="shared" si="41"/>
        <v>6.3854399019120392E-2</v>
      </c>
      <c r="R56" s="116">
        <f t="shared" si="41"/>
        <v>6.3316565271374997E-2</v>
      </c>
      <c r="S56" s="116">
        <f t="shared" si="41"/>
        <v>6.2778731523629602E-2</v>
      </c>
      <c r="T56" s="116">
        <f t="shared" si="41"/>
        <v>6.2240897775884214E-2</v>
      </c>
      <c r="U56" s="116">
        <f t="shared" si="41"/>
        <v>6.1703064028138833E-2</v>
      </c>
      <c r="V56" s="116">
        <f t="shared" si="41"/>
        <v>6.1165230280393439E-2</v>
      </c>
      <c r="W56" s="116">
        <f t="shared" si="41"/>
        <v>6.0627396532648044E-2</v>
      </c>
      <c r="X56" s="178">
        <f t="shared" si="41"/>
        <v>6.0089562784902677E-2</v>
      </c>
      <c r="Y56" s="173">
        <f t="shared" si="41"/>
        <v>5.956072807050241E-2</v>
      </c>
      <c r="Z56" s="173">
        <f t="shared" si="41"/>
        <v>5.9031893356102136E-2</v>
      </c>
      <c r="AA56" s="173">
        <f t="shared" si="41"/>
        <v>5.8503058641701876E-2</v>
      </c>
      <c r="AB56" s="173">
        <f t="shared" si="41"/>
        <v>5.7974223927301602E-2</v>
      </c>
      <c r="AC56" s="173">
        <f t="shared" si="41"/>
        <v>5.7445389212901328E-2</v>
      </c>
      <c r="AD56" s="173">
        <f t="shared" si="41"/>
        <v>5.6916554498501075E-2</v>
      </c>
      <c r="AE56" s="173">
        <f t="shared" si="41"/>
        <v>5.6387719784100794E-2</v>
      </c>
      <c r="AF56" s="173">
        <f t="shared" si="41"/>
        <v>5.5858885069700541E-2</v>
      </c>
      <c r="AG56" s="173">
        <f t="shared" si="41"/>
        <v>5.5330050355300274E-2</v>
      </c>
      <c r="AH56" s="178">
        <f t="shared" si="41"/>
        <v>5.4801215640899965E-2</v>
      </c>
      <c r="AI56" s="127"/>
    </row>
    <row r="57" spans="1:35">
      <c r="A57" s="9" t="s">
        <v>59</v>
      </c>
      <c r="B57" s="37"/>
      <c r="C57" s="336">
        <f t="shared" ref="C57:M57" si="42">C32/C$49</f>
        <v>0.27425024373227913</v>
      </c>
      <c r="D57" s="336">
        <f t="shared" si="42"/>
        <v>0.27232550722663162</v>
      </c>
      <c r="E57" s="336">
        <f t="shared" si="42"/>
        <v>0.27040077072098412</v>
      </c>
      <c r="F57" s="336">
        <f t="shared" si="42"/>
        <v>0.26847603421533661</v>
      </c>
      <c r="G57" s="336">
        <f t="shared" si="42"/>
        <v>0.26655129770968911</v>
      </c>
      <c r="H57" s="396">
        <f t="shared" si="42"/>
        <v>0.24027280023254269</v>
      </c>
      <c r="I57" s="116">
        <f t="shared" si="42"/>
        <v>0.24240702388881169</v>
      </c>
      <c r="J57" s="116">
        <f t="shared" si="42"/>
        <v>0.24454124754508072</v>
      </c>
      <c r="K57" s="116">
        <f t="shared" si="42"/>
        <v>0.24667547120134975</v>
      </c>
      <c r="L57" s="116">
        <f t="shared" si="42"/>
        <v>0.24880969485761878</v>
      </c>
      <c r="M57" s="116">
        <f t="shared" si="42"/>
        <v>0.25094391851388781</v>
      </c>
      <c r="N57" s="178">
        <f>N18</f>
        <v>0.25307814217015678</v>
      </c>
      <c r="O57" s="116">
        <f t="shared" ref="O57:AH57" si="43">O32/O$49</f>
        <v>0.2509990474515183</v>
      </c>
      <c r="P57" s="116">
        <f t="shared" si="43"/>
        <v>0.24891995273287981</v>
      </c>
      <c r="Q57" s="116">
        <f t="shared" si="43"/>
        <v>0.24684085801424133</v>
      </c>
      <c r="R57" s="116">
        <f t="shared" si="43"/>
        <v>0.24476176329560284</v>
      </c>
      <c r="S57" s="116">
        <f t="shared" si="43"/>
        <v>0.24268266857696436</v>
      </c>
      <c r="T57" s="116">
        <f t="shared" si="43"/>
        <v>0.24060357385832587</v>
      </c>
      <c r="U57" s="116">
        <f t="shared" si="43"/>
        <v>0.23852447913968738</v>
      </c>
      <c r="V57" s="116">
        <f t="shared" si="43"/>
        <v>0.23644538442104887</v>
      </c>
      <c r="W57" s="116">
        <f>W32/W$49</f>
        <v>0.23436628970241041</v>
      </c>
      <c r="X57" s="178">
        <f t="shared" si="43"/>
        <v>0.23228719498377201</v>
      </c>
      <c r="Y57" s="173">
        <f t="shared" si="43"/>
        <v>0.23024288767440107</v>
      </c>
      <c r="Z57" s="173">
        <f t="shared" si="43"/>
        <v>0.2281985803650301</v>
      </c>
      <c r="AA57" s="173">
        <f t="shared" si="43"/>
        <v>0.22615427305565911</v>
      </c>
      <c r="AB57" s="173">
        <f t="shared" si="43"/>
        <v>0.22410996574628814</v>
      </c>
      <c r="AC57" s="173">
        <f t="shared" si="43"/>
        <v>0.22206565843691717</v>
      </c>
      <c r="AD57" s="173">
        <f t="shared" si="43"/>
        <v>0.22002135112754617</v>
      </c>
      <c r="AE57" s="173">
        <f t="shared" si="43"/>
        <v>0.21797704381817523</v>
      </c>
      <c r="AF57" s="173">
        <f t="shared" si="43"/>
        <v>0.21593273650880429</v>
      </c>
      <c r="AG57" s="173">
        <f t="shared" si="43"/>
        <v>0.21388842919943329</v>
      </c>
      <c r="AH57" s="178">
        <f t="shared" si="43"/>
        <v>0.21184412189006224</v>
      </c>
      <c r="AI57" s="127"/>
    </row>
    <row r="58" spans="1:35">
      <c r="A58" s="9" t="s">
        <v>121</v>
      </c>
      <c r="B58" s="37"/>
      <c r="C58" s="336">
        <f>C34/C$49</f>
        <v>1.2253696233553663E-3</v>
      </c>
      <c r="D58" s="336">
        <f t="shared" ref="D58:G59" si="44">C58*($N71)</f>
        <v>1.4377643445287228E-3</v>
      </c>
      <c r="E58" s="336">
        <f t="shared" si="44"/>
        <v>1.6869736861418953E-3</v>
      </c>
      <c r="F58" s="336">
        <f t="shared" si="44"/>
        <v>1.9793787685477831E-3</v>
      </c>
      <c r="G58" s="336">
        <f t="shared" si="44"/>
        <v>2.3224667590032526E-3</v>
      </c>
      <c r="H58" s="396">
        <f>H34/H$49</f>
        <v>7.577215040544703E-4</v>
      </c>
      <c r="I58" s="116">
        <f t="shared" ref="I58:N59" si="45">H58*($N71)</f>
        <v>8.890582407527595E-4</v>
      </c>
      <c r="J58" s="116">
        <f t="shared" si="45"/>
        <v>1.043159724543822E-3</v>
      </c>
      <c r="K58" s="116">
        <f t="shared" si="45"/>
        <v>1.223971795131201E-3</v>
      </c>
      <c r="L58" s="116">
        <f t="shared" si="45"/>
        <v>1.4361242291364565E-3</v>
      </c>
      <c r="M58" s="116">
        <f t="shared" si="45"/>
        <v>1.6850492876690033E-3</v>
      </c>
      <c r="N58" s="178">
        <f t="shared" si="45"/>
        <v>1.9771208118820926E-3</v>
      </c>
      <c r="O58" s="116">
        <f t="shared" ref="O58:W58" si="46">N58*$X71</f>
        <v>2.048912460700394E-3</v>
      </c>
      <c r="P58" s="116">
        <f t="shared" si="46"/>
        <v>2.1233109511487446E-3</v>
      </c>
      <c r="Q58" s="116">
        <f t="shared" si="46"/>
        <v>2.2004109408007757E-3</v>
      </c>
      <c r="R58" s="116">
        <f t="shared" si="46"/>
        <v>2.2803105243611446E-3</v>
      </c>
      <c r="S58" s="116">
        <f t="shared" si="46"/>
        <v>2.3631113584719208E-3</v>
      </c>
      <c r="T58" s="116">
        <f t="shared" si="46"/>
        <v>2.4489187910508425E-3</v>
      </c>
      <c r="U58" s="116">
        <f t="shared" si="46"/>
        <v>2.5378419953260025E-3</v>
      </c>
      <c r="V58" s="116">
        <f t="shared" si="46"/>
        <v>2.6299941087374957E-3</v>
      </c>
      <c r="W58" s="116">
        <f t="shared" si="46"/>
        <v>2.7254923768827528E-3</v>
      </c>
      <c r="X58" s="178">
        <f t="shared" ref="X58:X66" si="47">X34/X$49</f>
        <v>2.8244583026887028E-3</v>
      </c>
      <c r="Y58" s="173">
        <f>X58*$AH71</f>
        <v>2.9413336641711998E-3</v>
      </c>
      <c r="Z58" s="173">
        <f t="shared" ref="Z58:AG58" si="48">Y58*$AH71</f>
        <v>3.063045298190863E-3</v>
      </c>
      <c r="AA58" s="173">
        <f t="shared" si="48"/>
        <v>3.1897933284671578E-3</v>
      </c>
      <c r="AB58" s="173">
        <f t="shared" si="48"/>
        <v>3.3217861597878281E-3</v>
      </c>
      <c r="AC58" s="173">
        <f t="shared" si="48"/>
        <v>3.4592408206773812E-3</v>
      </c>
      <c r="AD58" s="173">
        <f t="shared" si="48"/>
        <v>3.6023833202451076E-3</v>
      </c>
      <c r="AE58" s="173">
        <f t="shared" si="48"/>
        <v>3.7514490197993805E-3</v>
      </c>
      <c r="AF58" s="173">
        <f t="shared" si="48"/>
        <v>3.9066830198392589E-3</v>
      </c>
      <c r="AG58" s="173">
        <f t="shared" si="48"/>
        <v>4.0683405630597049E-3</v>
      </c>
      <c r="AH58" s="178">
        <f t="shared" ref="AH58:AH66" si="49">AH34/AH$49</f>
        <v>4.2366874540330536E-3</v>
      </c>
      <c r="AI58" s="127"/>
    </row>
    <row r="59" spans="1:35">
      <c r="A59" s="9" t="s">
        <v>50</v>
      </c>
      <c r="B59" s="37"/>
      <c r="C59" s="336">
        <f t="shared" ref="C59:C65" si="50">C35/C$49</f>
        <v>0</v>
      </c>
      <c r="D59" s="336">
        <f t="shared" si="44"/>
        <v>0</v>
      </c>
      <c r="E59" s="336">
        <f t="shared" si="44"/>
        <v>0</v>
      </c>
      <c r="F59" s="336">
        <f t="shared" si="44"/>
        <v>0</v>
      </c>
      <c r="G59" s="336">
        <f t="shared" si="44"/>
        <v>0</v>
      </c>
      <c r="H59" s="396">
        <f>H35/H$49</f>
        <v>3.5081408744862542E-8</v>
      </c>
      <c r="I59" s="116">
        <f t="shared" si="45"/>
        <v>4.030776216098815E-8</v>
      </c>
      <c r="J59" s="116">
        <f t="shared" si="45"/>
        <v>4.6312726556761147E-8</v>
      </c>
      <c r="K59" s="116">
        <f t="shared" si="45"/>
        <v>5.3212297734485475E-8</v>
      </c>
      <c r="L59" s="116">
        <f t="shared" si="45"/>
        <v>6.1139752303573952E-8</v>
      </c>
      <c r="M59" s="116">
        <f t="shared" si="45"/>
        <v>7.0248222138316595E-8</v>
      </c>
      <c r="N59" s="178">
        <f t="shared" si="45"/>
        <v>8.0713652372873736E-8</v>
      </c>
      <c r="O59" s="116">
        <f t="shared" ref="O59:V59" si="51">N59*$X72</f>
        <v>8.3644462746813292E-8</v>
      </c>
      <c r="P59" s="116">
        <f t="shared" si="51"/>
        <v>8.6681694391448293E-8</v>
      </c>
      <c r="Q59" s="116">
        <f t="shared" si="51"/>
        <v>8.9829211591877878E-8</v>
      </c>
      <c r="R59" s="116">
        <f t="shared" si="51"/>
        <v>9.3091018950068585E-8</v>
      </c>
      <c r="S59" s="116">
        <f t="shared" si="51"/>
        <v>9.6471266479929559E-8</v>
      </c>
      <c r="T59" s="116">
        <f t="shared" si="51"/>
        <v>9.9974254887396146E-8</v>
      </c>
      <c r="U59" s="116">
        <f t="shared" si="51"/>
        <v>1.0360444104223964E-7</v>
      </c>
      <c r="V59" s="116">
        <f t="shared" si="51"/>
        <v>1.0736644364856519E-7</v>
      </c>
      <c r="W59" s="116">
        <f>V59*$X72</f>
        <v>1.1126504912121216E-7</v>
      </c>
      <c r="X59" s="178">
        <f t="shared" si="47"/>
        <v>1.1530521767553397E-7</v>
      </c>
      <c r="Y59" s="173">
        <f>X59*$AH72</f>
        <v>1.2007651806393674E-7</v>
      </c>
      <c r="Z59" s="173">
        <f t="shared" ref="Z59:AG59" si="52">Y59*$AH72</f>
        <v>1.2504525364092252E-7</v>
      </c>
      <c r="AA59" s="173">
        <f t="shared" si="52"/>
        <v>1.3021959422404995E-7</v>
      </c>
      <c r="AB59" s="173">
        <f t="shared" si="52"/>
        <v>1.3560804769583674E-7</v>
      </c>
      <c r="AC59" s="173">
        <f t="shared" si="52"/>
        <v>1.4121947399280108E-7</v>
      </c>
      <c r="AD59" s="173">
        <f t="shared" si="52"/>
        <v>1.4706309967336609E-7</v>
      </c>
      <c r="AE59" s="173">
        <f t="shared" si="52"/>
        <v>1.5314853308858034E-7</v>
      </c>
      <c r="AF59" s="173">
        <f t="shared" si="52"/>
        <v>1.5948578018059902E-7</v>
      </c>
      <c r="AG59" s="173">
        <f t="shared" si="52"/>
        <v>1.6608526093490209E-7</v>
      </c>
      <c r="AH59" s="178">
        <f t="shared" si="49"/>
        <v>1.7295782651330094E-7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1.6099746876201894E-4</v>
      </c>
      <c r="D61" s="336">
        <f t="shared" ref="D61:M61" si="56">C61*($N74)</f>
        <v>1.8160888940526942E-4</v>
      </c>
      <c r="E61" s="336">
        <f t="shared" si="56"/>
        <v>2.0485905129209175E-4</v>
      </c>
      <c r="F61" s="336">
        <f t="shared" si="56"/>
        <v>2.3108577467617172E-4</v>
      </c>
      <c r="G61" s="336">
        <f t="shared" si="56"/>
        <v>2.6067012866103149E-4</v>
      </c>
      <c r="H61" s="396">
        <f t="shared" si="53"/>
        <v>4.5565148081258962E-4</v>
      </c>
      <c r="I61" s="116">
        <f t="shared" si="56"/>
        <v>5.1398546835888228E-4</v>
      </c>
      <c r="J61" s="116">
        <f t="shared" si="56"/>
        <v>5.7978756310189141E-4</v>
      </c>
      <c r="K61" s="116">
        <f t="shared" si="56"/>
        <v>6.5401385646357568E-4</v>
      </c>
      <c r="L61" s="116">
        <f t="shared" si="56"/>
        <v>7.3774284180564407E-4</v>
      </c>
      <c r="M61" s="116">
        <f t="shared" si="56"/>
        <v>8.3219108472479221E-4</v>
      </c>
      <c r="N61" s="178">
        <f>M61*($N74)</f>
        <v>9.3873089951020377E-4</v>
      </c>
      <c r="O61" s="116">
        <f t="shared" ref="O61:W61" si="57">N61*$X74</f>
        <v>9.7281735425161682E-4</v>
      </c>
      <c r="P61" s="116">
        <f t="shared" si="57"/>
        <v>1.0081415294062438E-3</v>
      </c>
      <c r="Q61" s="116">
        <f t="shared" si="57"/>
        <v>1.0447483680998191E-3</v>
      </c>
      <c r="R61" s="116">
        <f t="shared" si="57"/>
        <v>1.0826844453973499E-3</v>
      </c>
      <c r="S61" s="116">
        <f t="shared" si="57"/>
        <v>1.1219980275608051E-3</v>
      </c>
      <c r="T61" s="116">
        <f t="shared" si="57"/>
        <v>1.1627391334585241E-3</v>
      </c>
      <c r="U61" s="116">
        <f t="shared" si="57"/>
        <v>1.2049595982044734E-3</v>
      </c>
      <c r="V61" s="116">
        <f t="shared" si="57"/>
        <v>1.2487131391083239E-3</v>
      </c>
      <c r="W61" s="116">
        <f t="shared" si="57"/>
        <v>1.2940554240202537E-3</v>
      </c>
      <c r="X61" s="178">
        <f t="shared" si="47"/>
        <v>1.3410441421574334E-3</v>
      </c>
      <c r="Y61" s="173">
        <f t="shared" si="55"/>
        <v>1.3965362054424299E-3</v>
      </c>
      <c r="Z61" s="173">
        <f t="shared" si="55"/>
        <v>1.4543245160997702E-3</v>
      </c>
      <c r="AA61" s="173">
        <f t="shared" si="55"/>
        <v>1.5145040922578653E-3</v>
      </c>
      <c r="AB61" s="173">
        <f t="shared" si="55"/>
        <v>1.5771738838709539E-3</v>
      </c>
      <c r="AC61" s="173">
        <f t="shared" si="55"/>
        <v>1.64243693541705E-3</v>
      </c>
      <c r="AD61" s="173">
        <f t="shared" si="55"/>
        <v>1.710400555328287E-3</v>
      </c>
      <c r="AE61" s="173">
        <f t="shared" si="55"/>
        <v>1.7811764924322484E-3</v>
      </c>
      <c r="AF61" s="173">
        <f t="shared" si="55"/>
        <v>1.8548811196943947E-3</v>
      </c>
      <c r="AG61" s="173">
        <f t="shared" si="55"/>
        <v>1.9316356255637047E-3</v>
      </c>
      <c r="AH61" s="178">
        <f t="shared" si="49"/>
        <v>2.0115662132361499E-3</v>
      </c>
      <c r="AI61" s="127"/>
    </row>
    <row r="62" spans="1:35">
      <c r="A62" s="9" t="s">
        <v>347</v>
      </c>
      <c r="B62" s="37"/>
      <c r="C62" s="339">
        <f t="shared" si="50"/>
        <v>2.9999999999999996E-3</v>
      </c>
      <c r="D62" s="339">
        <f t="shared" ref="D62:N62" si="58">C62*($N75)</f>
        <v>3.8858671111416799E-3</v>
      </c>
      <c r="E62" s="339">
        <f t="shared" si="58"/>
        <v>5.0333210684841952E-3</v>
      </c>
      <c r="F62" s="339">
        <f t="shared" si="58"/>
        <v>6.5196055999464115E-3</v>
      </c>
      <c r="G62" s="339">
        <f t="shared" si="58"/>
        <v>8.4447736594822943E-3</v>
      </c>
      <c r="H62" s="396">
        <f t="shared" si="53"/>
        <v>1.3500853755442103E-2</v>
      </c>
      <c r="I62" s="116">
        <f t="shared" si="58"/>
        <v>1.7487507860202037E-2</v>
      </c>
      <c r="J62" s="116">
        <f t="shared" si="58"/>
        <v>2.2651377216596907E-2</v>
      </c>
      <c r="K62" s="116">
        <f t="shared" si="58"/>
        <v>2.9340080582679298E-2</v>
      </c>
      <c r="L62" s="116">
        <f t="shared" si="58"/>
        <v>3.8003884724826707E-2</v>
      </c>
      <c r="M62" s="116">
        <f t="shared" si="58"/>
        <v>4.9226015249274599E-2</v>
      </c>
      <c r="N62" s="178">
        <f t="shared" si="58"/>
        <v>6.3761917889904998E-2</v>
      </c>
      <c r="O62" s="116">
        <f t="shared" ref="O62:W62" si="59">N62*$X75</f>
        <v>6.6077190274689557E-2</v>
      </c>
      <c r="P62" s="116">
        <f t="shared" si="59"/>
        <v>6.8476533001037579E-2</v>
      </c>
      <c r="Q62" s="116">
        <f t="shared" si="59"/>
        <v>7.0962998764768817E-2</v>
      </c>
      <c r="R62" s="116">
        <f t="shared" si="59"/>
        <v>7.3539751108781706E-2</v>
      </c>
      <c r="S62" s="116">
        <f t="shared" si="59"/>
        <v>7.621006844804494E-2</v>
      </c>
      <c r="T62" s="116">
        <f t="shared" si="59"/>
        <v>7.8977348240741319E-2</v>
      </c>
      <c r="U62" s="116">
        <f t="shared" si="59"/>
        <v>8.1845111310870869E-2</v>
      </c>
      <c r="V62" s="116">
        <f t="shared" si="59"/>
        <v>8.481700632781293E-2</v>
      </c>
      <c r="W62" s="116">
        <f t="shared" si="59"/>
        <v>8.7896814448546592E-2</v>
      </c>
      <c r="X62" s="178">
        <f t="shared" si="47"/>
        <v>9.1088454128435692E-2</v>
      </c>
      <c r="Y62" s="173">
        <f t="shared" si="55"/>
        <v>9.4857671040934802E-2</v>
      </c>
      <c r="Z62" s="173">
        <f t="shared" si="55"/>
        <v>9.8782857184324988E-2</v>
      </c>
      <c r="AA62" s="173">
        <f t="shared" si="55"/>
        <v>0.10287046652545122</v>
      </c>
      <c r="AB62" s="173">
        <f t="shared" si="55"/>
        <v>0.10712722009465424</v>
      </c>
      <c r="AC62" s="173">
        <f t="shared" si="55"/>
        <v>0.11156011703678965</v>
      </c>
      <c r="AD62" s="173">
        <f t="shared" si="55"/>
        <v>0.11617644611953538</v>
      </c>
      <c r="AE62" s="173">
        <f t="shared" si="55"/>
        <v>0.12098379771790985</v>
      </c>
      <c r="AF62" s="173">
        <f t="shared" si="55"/>
        <v>0.12599007629470654</v>
      </c>
      <c r="AG62" s="173">
        <f t="shared" si="55"/>
        <v>0.13120351339736577</v>
      </c>
      <c r="AH62" s="178">
        <f t="shared" si="49"/>
        <v>0.13663268119265354</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8.5375544210399312E-7</v>
      </c>
      <c r="I63" s="116">
        <f t="shared" si="60"/>
        <v>9.5211989629064276E-7</v>
      </c>
      <c r="J63" s="116">
        <f t="shared" si="60"/>
        <v>1.0618172982633622E-6</v>
      </c>
      <c r="K63" s="116">
        <f t="shared" si="60"/>
        <v>1.18415336060485E-6</v>
      </c>
      <c r="L63" s="116">
        <f t="shared" si="60"/>
        <v>1.3205842320756465E-6</v>
      </c>
      <c r="M63" s="116">
        <f t="shared" si="60"/>
        <v>1.4727338299458458E-6</v>
      </c>
      <c r="N63" s="178">
        <f t="shared" si="60"/>
        <v>1.6424131692515291E-6</v>
      </c>
      <c r="O63" s="116">
        <f t="shared" ref="O63:W63" si="61">N63*$X76</f>
        <v>1.7020511785996859E-6</v>
      </c>
      <c r="P63" s="116">
        <f t="shared" si="61"/>
        <v>1.7638547162239168E-6</v>
      </c>
      <c r="Q63" s="116">
        <f t="shared" si="61"/>
        <v>1.8279024150760211E-6</v>
      </c>
      <c r="R63" s="116">
        <f t="shared" si="61"/>
        <v>1.8942757633654169E-6</v>
      </c>
      <c r="S63" s="116">
        <f t="shared" si="61"/>
        <v>1.9630592082369991E-6</v>
      </c>
      <c r="T63" s="116">
        <f t="shared" si="61"/>
        <v>2.0343402632136681E-6</v>
      </c>
      <c r="U63" s="116">
        <f t="shared" si="61"/>
        <v>2.1082096195402235E-6</v>
      </c>
      <c r="V63" s="116">
        <f t="shared" si="61"/>
        <v>2.1847612615702923E-6</v>
      </c>
      <c r="W63" s="116">
        <f t="shared" si="61"/>
        <v>2.2640925863430941E-6</v>
      </c>
      <c r="X63" s="178">
        <f t="shared" si="47"/>
        <v>2.3463045275021854E-6</v>
      </c>
      <c r="Y63" s="173">
        <f t="shared" si="55"/>
        <v>2.4433940081784597E-6</v>
      </c>
      <c r="Z63" s="173">
        <f t="shared" si="55"/>
        <v>2.5445010267094744E-6</v>
      </c>
      <c r="AA63" s="173">
        <f t="shared" si="55"/>
        <v>2.6497918277831384E-6</v>
      </c>
      <c r="AB63" s="173">
        <f t="shared" si="55"/>
        <v>2.7594395352499867E-6</v>
      </c>
      <c r="AC63" s="173">
        <f t="shared" si="55"/>
        <v>2.8736244367811677E-6</v>
      </c>
      <c r="AD63" s="173">
        <f t="shared" si="55"/>
        <v>2.9925342803055074E-6</v>
      </c>
      <c r="AE63" s="173">
        <f t="shared" si="55"/>
        <v>3.116364582713062E-6</v>
      </c>
      <c r="AF63" s="173">
        <f t="shared" si="55"/>
        <v>3.2453189513327441E-6</v>
      </c>
      <c r="AG63" s="173">
        <f t="shared" si="55"/>
        <v>3.3796094187126116E-6</v>
      </c>
      <c r="AH63" s="178">
        <f t="shared" si="49"/>
        <v>3.5194567912532785E-6</v>
      </c>
      <c r="AI63" s="127"/>
    </row>
    <row r="64" spans="1:35">
      <c r="A64" s="9" t="s">
        <v>344</v>
      </c>
      <c r="B64" s="37"/>
      <c r="C64" s="336">
        <f t="shared" si="50"/>
        <v>8.9443038201121628E-8</v>
      </c>
      <c r="D64" s="336">
        <f t="shared" ref="D64:N64" si="62">C64*($N77)</f>
        <v>9.9748115275379763E-8</v>
      </c>
      <c r="E64" s="336">
        <f t="shared" si="62"/>
        <v>1.1124047998702351E-7</v>
      </c>
      <c r="F64" s="336">
        <f t="shared" si="62"/>
        <v>1.2405692431962862E-7</v>
      </c>
      <c r="G64" s="336">
        <f t="shared" si="62"/>
        <v>1.383500005882873E-7</v>
      </c>
      <c r="H64" s="396">
        <f t="shared" si="53"/>
        <v>8.5375544210399315E-8</v>
      </c>
      <c r="I64" s="116">
        <f t="shared" si="62"/>
        <v>9.521198962906427E-8</v>
      </c>
      <c r="J64" s="116">
        <f t="shared" si="62"/>
        <v>1.0618172982633621E-7</v>
      </c>
      <c r="K64" s="116">
        <f t="shared" si="62"/>
        <v>1.1841533606048499E-7</v>
      </c>
      <c r="L64" s="116">
        <f t="shared" si="62"/>
        <v>1.3205842320756463E-7</v>
      </c>
      <c r="M64" s="116">
        <f t="shared" si="62"/>
        <v>1.4727338299458456E-7</v>
      </c>
      <c r="N64" s="178">
        <f t="shared" si="62"/>
        <v>1.6424131692515289E-7</v>
      </c>
      <c r="O64" s="116">
        <f t="shared" ref="O64:W64" si="63">N64*$X77</f>
        <v>1.7020511785996855E-7</v>
      </c>
      <c r="P64" s="116">
        <f t="shared" si="63"/>
        <v>1.7638547162239165E-7</v>
      </c>
      <c r="Q64" s="116">
        <f t="shared" si="63"/>
        <v>1.8279024150760208E-7</v>
      </c>
      <c r="R64" s="116">
        <f t="shared" si="63"/>
        <v>1.8942757633654164E-7</v>
      </c>
      <c r="S64" s="116">
        <f t="shared" si="63"/>
        <v>1.9630592082369987E-7</v>
      </c>
      <c r="T64" s="116">
        <f t="shared" si="63"/>
        <v>2.0343402632136677E-7</v>
      </c>
      <c r="U64" s="116">
        <f t="shared" si="63"/>
        <v>2.1082096195402231E-7</v>
      </c>
      <c r="V64" s="116">
        <f t="shared" si="63"/>
        <v>2.1847612615702917E-7</v>
      </c>
      <c r="W64" s="116">
        <f t="shared" si="63"/>
        <v>2.2640925863430934E-7</v>
      </c>
      <c r="X64" s="178">
        <f t="shared" si="47"/>
        <v>2.3463045275021851E-7</v>
      </c>
      <c r="Y64" s="173">
        <f t="shared" si="55"/>
        <v>2.4433940081784596E-7</v>
      </c>
      <c r="Z64" s="173">
        <f t="shared" si="55"/>
        <v>2.5445010267094745E-7</v>
      </c>
      <c r="AA64" s="173">
        <f t="shared" si="55"/>
        <v>2.6497918277831388E-7</v>
      </c>
      <c r="AB64" s="173">
        <f t="shared" si="55"/>
        <v>2.7594395352499871E-7</v>
      </c>
      <c r="AC64" s="173">
        <f t="shared" si="55"/>
        <v>2.8736244367811681E-7</v>
      </c>
      <c r="AD64" s="173">
        <f t="shared" si="55"/>
        <v>2.9925342803055081E-7</v>
      </c>
      <c r="AE64" s="173">
        <f t="shared" si="55"/>
        <v>3.1163645827130626E-7</v>
      </c>
      <c r="AF64" s="173">
        <f t="shared" si="55"/>
        <v>3.2453189513327449E-7</v>
      </c>
      <c r="AG64" s="173">
        <f t="shared" si="55"/>
        <v>3.3796094187126123E-7</v>
      </c>
      <c r="AH64" s="178">
        <f t="shared" si="49"/>
        <v>3.5194567912532776E-7</v>
      </c>
      <c r="AI64" s="127"/>
    </row>
    <row r="65" spans="1:35">
      <c r="A65" s="9" t="s">
        <v>120</v>
      </c>
      <c r="B65" s="37"/>
      <c r="C65" s="336">
        <f t="shared" si="50"/>
        <v>0</v>
      </c>
      <c r="D65" s="336">
        <v>0</v>
      </c>
      <c r="E65" s="336">
        <v>0</v>
      </c>
      <c r="F65" s="336">
        <v>0</v>
      </c>
      <c r="G65" s="336">
        <v>0</v>
      </c>
      <c r="H65" s="396">
        <f t="shared" si="53"/>
        <v>8.5375544210399308E-6</v>
      </c>
      <c r="I65" s="173">
        <v>0</v>
      </c>
      <c r="J65" s="173">
        <v>0</v>
      </c>
      <c r="K65" s="173">
        <v>0</v>
      </c>
      <c r="L65" s="173">
        <v>0</v>
      </c>
      <c r="M65" s="173">
        <v>0</v>
      </c>
      <c r="N65" s="178">
        <v>0</v>
      </c>
      <c r="O65" s="116">
        <f t="shared" ref="O65:AG65" si="64">O41/O$49</f>
        <v>6.1320931853962892E-5</v>
      </c>
      <c r="P65" s="116">
        <f t="shared" si="64"/>
        <v>6.8300881304936696E-5</v>
      </c>
      <c r="Q65" s="116">
        <f t="shared" si="64"/>
        <v>7.4822030426915852E-5</v>
      </c>
      <c r="R65" s="116">
        <f t="shared" si="64"/>
        <v>8.1275592964685352E-5</v>
      </c>
      <c r="S65" s="116">
        <f t="shared" si="64"/>
        <v>8.7908450031203505E-5</v>
      </c>
      <c r="T65" s="116">
        <f t="shared" si="64"/>
        <v>9.4551857789422754E-5</v>
      </c>
      <c r="U65" s="116">
        <f t="shared" si="64"/>
        <v>1.0106323734709316E-4</v>
      </c>
      <c r="V65" s="116">
        <f t="shared" si="64"/>
        <v>1.0730819536444189E-4</v>
      </c>
      <c r="W65" s="116">
        <f t="shared" si="64"/>
        <v>1.1386950177774834E-4</v>
      </c>
      <c r="X65" s="178">
        <f t="shared" si="47"/>
        <v>1.1982214146538668E-4</v>
      </c>
      <c r="Y65" s="173">
        <f t="shared" si="64"/>
        <v>1.2604361649969811E-4</v>
      </c>
      <c r="Z65" s="173">
        <f t="shared" si="64"/>
        <v>1.31957289025952E-4</v>
      </c>
      <c r="AA65" s="173">
        <f t="shared" si="64"/>
        <v>1.380768535134627E-4</v>
      </c>
      <c r="AB65" s="173">
        <f t="shared" si="64"/>
        <v>1.4376630769512253E-4</v>
      </c>
      <c r="AC65" s="173">
        <f t="shared" si="64"/>
        <v>1.4878960784023287E-4</v>
      </c>
      <c r="AD65" s="173">
        <f t="shared" si="64"/>
        <v>1.5401599318571181E-4</v>
      </c>
      <c r="AE65" s="173">
        <f t="shared" si="64"/>
        <v>1.5884620266397065E-4</v>
      </c>
      <c r="AF65" s="173">
        <f t="shared" si="64"/>
        <v>1.633999320280914E-4</v>
      </c>
      <c r="AG65" s="173">
        <f t="shared" si="64"/>
        <v>1.6814972885640389E-4</v>
      </c>
      <c r="AH65" s="178">
        <f t="shared" si="49"/>
        <v>1.7304697984077115E-4</v>
      </c>
      <c r="AI65" s="127"/>
    </row>
    <row r="66" spans="1:35">
      <c r="A66" s="9" t="s">
        <v>53</v>
      </c>
      <c r="B66" s="37"/>
      <c r="C66" s="336">
        <f>C42/C$49</f>
        <v>2.6832911460336487E-4</v>
      </c>
      <c r="D66" s="336">
        <f t="shared" ref="D66:N66" si="65">C66*($N79)</f>
        <v>3.1771919666402247E-4</v>
      </c>
      <c r="E66" s="336">
        <f t="shared" si="65"/>
        <v>3.7620027956357263E-4</v>
      </c>
      <c r="F66" s="336">
        <f t="shared" si="65"/>
        <v>4.4544570120316009E-4</v>
      </c>
      <c r="G66" s="336">
        <f t="shared" si="65"/>
        <v>5.2743680294592768E-4</v>
      </c>
      <c r="H66" s="396">
        <f t="shared" si="53"/>
        <v>1.2048389662325924E-3</v>
      </c>
      <c r="I66" s="116">
        <f t="shared" si="65"/>
        <v>1.4266080258445806E-3</v>
      </c>
      <c r="J66" s="116">
        <f t="shared" si="65"/>
        <v>1.6891970764923592E-3</v>
      </c>
      <c r="K66" s="116">
        <f t="shared" si="65"/>
        <v>2.0001196625408519E-3</v>
      </c>
      <c r="L66" s="116">
        <f t="shared" si="65"/>
        <v>2.3682723112388874E-3</v>
      </c>
      <c r="M66" s="116">
        <f t="shared" si="65"/>
        <v>2.804189091894508E-3</v>
      </c>
      <c r="N66" s="178">
        <f t="shared" si="65"/>
        <v>3.3203430305641731E-3</v>
      </c>
      <c r="O66" s="116">
        <f t="shared" ref="O66:W66" si="66">N66*$X79</f>
        <v>3.4409087033212375E-3</v>
      </c>
      <c r="P66" s="116">
        <f t="shared" si="66"/>
        <v>3.5658522615297623E-3</v>
      </c>
      <c r="Q66" s="116">
        <f t="shared" si="66"/>
        <v>3.695332671507338E-3</v>
      </c>
      <c r="R66" s="116">
        <f t="shared" si="66"/>
        <v>3.829514671830883E-3</v>
      </c>
      <c r="S66" s="116">
        <f t="shared" si="66"/>
        <v>3.968568982934362E-3</v>
      </c>
      <c r="T66" s="116">
        <f t="shared" si="66"/>
        <v>4.1126725243172541E-3</v>
      </c>
      <c r="U66" s="116">
        <f t="shared" si="66"/>
        <v>4.2620086396401198E-3</v>
      </c>
      <c r="V66" s="116">
        <f t="shared" si="66"/>
        <v>4.4167673299936646E-3</v>
      </c>
      <c r="W66" s="116">
        <f t="shared" si="66"/>
        <v>4.577145495638083E-3</v>
      </c>
      <c r="X66" s="178">
        <f t="shared" si="47"/>
        <v>4.7433471865202474E-3</v>
      </c>
      <c r="Y66" s="173">
        <f t="shared" si="55"/>
        <v>4.9396256787655763E-3</v>
      </c>
      <c r="Z66" s="173">
        <f t="shared" si="55"/>
        <v>5.1440261247712336E-3</v>
      </c>
      <c r="AA66" s="173">
        <f t="shared" si="55"/>
        <v>5.3568846089045398E-3</v>
      </c>
      <c r="AB66" s="173">
        <f t="shared" si="55"/>
        <v>5.5785511226178943E-3</v>
      </c>
      <c r="AC66" s="173">
        <f t="shared" si="55"/>
        <v>5.8093901399203975E-3</v>
      </c>
      <c r="AD66" s="173">
        <f t="shared" si="55"/>
        <v>6.049781216662338E-3</v>
      </c>
      <c r="AE66" s="173">
        <f t="shared" si="55"/>
        <v>6.3001196146179198E-3</v>
      </c>
      <c r="AF66" s="173">
        <f t="shared" si="55"/>
        <v>6.5608169513923743E-3</v>
      </c>
      <c r="AG66" s="173">
        <f t="shared" si="55"/>
        <v>6.8323018772220587E-3</v>
      </c>
      <c r="AH66" s="178">
        <f t="shared" si="49"/>
        <v>7.1150207797803702E-3</v>
      </c>
      <c r="AI66" s="127"/>
    </row>
    <row r="67" spans="1:35" s="1" customFormat="1">
      <c r="A67" s="11" t="s">
        <v>540</v>
      </c>
      <c r="B67" s="36"/>
      <c r="C67" s="340">
        <f t="shared" ref="C67:AG67" si="67">SUM(C58:C66)</f>
        <v>4.6547856497589513E-3</v>
      </c>
      <c r="D67" s="340">
        <f t="shared" si="67"/>
        <v>5.8230592898549701E-3</v>
      </c>
      <c r="E67" s="340">
        <f t="shared" si="67"/>
        <v>7.3014653259617429E-3</v>
      </c>
      <c r="F67" s="340">
        <f t="shared" si="67"/>
        <v>9.1756399012978464E-3</v>
      </c>
      <c r="G67" s="340">
        <f t="shared" si="67"/>
        <v>1.1555485700093094E-2</v>
      </c>
      <c r="H67" s="403">
        <f t="shared" si="67"/>
        <v>1.5928577473357856E-2</v>
      </c>
      <c r="I67" s="85">
        <f t="shared" si="67"/>
        <v>2.0318247234806339E-2</v>
      </c>
      <c r="J67" s="85">
        <f t="shared" si="67"/>
        <v>2.5964735892489627E-2</v>
      </c>
      <c r="K67" s="85">
        <f t="shared" si="67"/>
        <v>3.3219541677809328E-2</v>
      </c>
      <c r="L67" s="85">
        <f t="shared" si="67"/>
        <v>4.2547537889415288E-2</v>
      </c>
      <c r="M67" s="85">
        <f t="shared" si="67"/>
        <v>5.4549134968997978E-2</v>
      </c>
      <c r="N67" s="183">
        <f>SUM(N58:N66)</f>
        <v>7.0000000000000007E-2</v>
      </c>
      <c r="O67" s="85">
        <f t="shared" si="67"/>
        <v>7.2603105625575967E-2</v>
      </c>
      <c r="P67" s="85">
        <f t="shared" si="67"/>
        <v>7.5244165546309513E-2</v>
      </c>
      <c r="Q67" s="85">
        <f t="shared" si="67"/>
        <v>7.7980413297471823E-2</v>
      </c>
      <c r="R67" s="85">
        <f t="shared" si="67"/>
        <v>8.0815713137694409E-2</v>
      </c>
      <c r="S67" s="85">
        <f t="shared" si="67"/>
        <v>8.3753911103438786E-2</v>
      </c>
      <c r="T67" s="85">
        <f t="shared" si="67"/>
        <v>8.6798568295901782E-2</v>
      </c>
      <c r="U67" s="85">
        <f t="shared" si="67"/>
        <v>8.9953407416411099E-2</v>
      </c>
      <c r="V67" s="85">
        <f t="shared" si="67"/>
        <v>9.3222299704848244E-2</v>
      </c>
      <c r="W67" s="85">
        <f t="shared" si="67"/>
        <v>9.660997901375952E-2</v>
      </c>
      <c r="X67" s="183">
        <f t="shared" si="67"/>
        <v>0.10011982214146539</v>
      </c>
      <c r="Y67" s="85">
        <f t="shared" si="67"/>
        <v>0.10426401801574077</v>
      </c>
      <c r="Z67" s="85">
        <f t="shared" si="67"/>
        <v>0.10857913440879584</v>
      </c>
      <c r="AA67" s="85">
        <f t="shared" si="67"/>
        <v>0.11307277039919904</v>
      </c>
      <c r="AB67" s="85">
        <f t="shared" si="67"/>
        <v>0.11775166856016249</v>
      </c>
      <c r="AC67" s="85">
        <f t="shared" si="67"/>
        <v>0.12262327674699916</v>
      </c>
      <c r="AD67" s="85">
        <f t="shared" si="67"/>
        <v>0.12769646605576482</v>
      </c>
      <c r="AE67" s="85">
        <f t="shared" si="67"/>
        <v>0.13297897019699745</v>
      </c>
      <c r="AF67" s="85">
        <f t="shared" si="67"/>
        <v>0.13847958665428731</v>
      </c>
      <c r="AG67" s="85">
        <f t="shared" si="67"/>
        <v>0.14420782484768915</v>
      </c>
      <c r="AH67" s="183">
        <f>SUM(AH58:AH66)</f>
        <v>0.1501730469798408</v>
      </c>
      <c r="AI67" s="196"/>
    </row>
    <row r="68" spans="1:35" s="252" customFormat="1">
      <c r="A68" s="10" t="s">
        <v>548</v>
      </c>
      <c r="B68" s="37"/>
      <c r="C68" s="332"/>
      <c r="D68" s="332">
        <f>D67/C67-1</f>
        <v>0.25098333800967132</v>
      </c>
      <c r="E68" s="332">
        <f t="shared" ref="E68:W68" si="68">E67/D67-1</f>
        <v>0.2538881990575772</v>
      </c>
      <c r="F68" s="332">
        <f t="shared" si="68"/>
        <v>0.25668471897991774</v>
      </c>
      <c r="G68" s="332">
        <f t="shared" si="68"/>
        <v>0.25936564908771431</v>
      </c>
      <c r="H68" s="284"/>
      <c r="I68" s="284">
        <f t="shared" si="68"/>
        <v>0.27558454411830846</v>
      </c>
      <c r="J68" s="284">
        <f t="shared" si="68"/>
        <v>0.27790235015993536</v>
      </c>
      <c r="K68" s="284">
        <f t="shared" si="68"/>
        <v>0.27940995877482333</v>
      </c>
      <c r="L68" s="284">
        <f t="shared" si="68"/>
        <v>0.28079846200397962</v>
      </c>
      <c r="M68" s="284">
        <f t="shared" si="68"/>
        <v>0.28207500774253669</v>
      </c>
      <c r="N68" s="283">
        <f t="shared" si="68"/>
        <v>0.28324674698843988</v>
      </c>
      <c r="O68" s="284">
        <f t="shared" si="68"/>
        <v>3.7187223222513666E-2</v>
      </c>
      <c r="P68" s="284">
        <f t="shared" si="68"/>
        <v>3.6376679729843042E-2</v>
      </c>
      <c r="Q68" s="284">
        <f t="shared" si="68"/>
        <v>3.636491588810653E-2</v>
      </c>
      <c r="R68" s="284">
        <f t="shared" si="68"/>
        <v>3.6359128149356712E-2</v>
      </c>
      <c r="S68" s="284">
        <f t="shared" si="68"/>
        <v>3.6356765926673917E-2</v>
      </c>
      <c r="T68" s="284">
        <f t="shared" si="68"/>
        <v>3.6352418082335802E-2</v>
      </c>
      <c r="U68" s="284">
        <f t="shared" si="68"/>
        <v>3.6346672329366836E-2</v>
      </c>
      <c r="V68" s="284">
        <f t="shared" si="68"/>
        <v>3.6339838393278701E-2</v>
      </c>
      <c r="W68" s="284">
        <f t="shared" si="68"/>
        <v>3.6339795517135176E-2</v>
      </c>
      <c r="X68" s="284">
        <f>X67/W67-1</f>
        <v>3.6330026810232452E-2</v>
      </c>
      <c r="Y68" s="289">
        <f t="shared" ref="Y68:AG68" si="69">Y67/X67-1</f>
        <v>4.1392361528767019E-2</v>
      </c>
      <c r="Z68" s="289">
        <f t="shared" si="69"/>
        <v>4.138643872715142E-2</v>
      </c>
      <c r="AA68" s="289">
        <f t="shared" si="69"/>
        <v>4.1385815192492181E-2</v>
      </c>
      <c r="AB68" s="289">
        <f t="shared" si="69"/>
        <v>4.1379530584107815E-2</v>
      </c>
      <c r="AC68" s="289">
        <f t="shared" si="69"/>
        <v>4.1371882423454798E-2</v>
      </c>
      <c r="AD68" s="289">
        <f t="shared" si="69"/>
        <v>4.1372155787622988E-2</v>
      </c>
      <c r="AE68" s="289">
        <f t="shared" si="69"/>
        <v>4.1367661176510362E-2</v>
      </c>
      <c r="AF68" s="289">
        <f t="shared" si="69"/>
        <v>4.136455899110314E-2</v>
      </c>
      <c r="AG68" s="289">
        <f t="shared" si="69"/>
        <v>4.136521729879461E-2</v>
      </c>
      <c r="AH68" s="283">
        <f>AH67/AG67-1</f>
        <v>4.1365453909675498E-2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1.1733311460682101</v>
      </c>
      <c r="O71" s="164"/>
      <c r="P71" s="164"/>
      <c r="Q71" s="164"/>
      <c r="R71" s="164"/>
      <c r="S71" s="164"/>
      <c r="T71" s="164"/>
      <c r="U71" s="164"/>
      <c r="V71" s="164"/>
      <c r="W71" s="164"/>
      <c r="X71" s="186">
        <f>(X86/N86)^(1/10)</f>
        <v>1.0363112099103142</v>
      </c>
      <c r="Y71" s="20"/>
      <c r="Z71" s="20"/>
      <c r="AA71" s="20"/>
      <c r="AB71" s="20"/>
      <c r="AC71" s="20"/>
      <c r="AD71" s="20"/>
      <c r="AE71" s="20"/>
      <c r="AF71" s="20"/>
      <c r="AG71" s="20"/>
      <c r="AH71" s="186">
        <f>(AH86/X86)^(1/10)</f>
        <v>1.0413797439924106</v>
      </c>
      <c r="AI71" s="127"/>
    </row>
    <row r="72" spans="1:35">
      <c r="A72" s="9" t="s">
        <v>50</v>
      </c>
      <c r="B72" s="37"/>
      <c r="C72" s="332"/>
      <c r="D72" s="332"/>
      <c r="E72" s="332"/>
      <c r="F72" s="332"/>
      <c r="G72" s="332"/>
      <c r="H72" s="284"/>
      <c r="I72" s="164"/>
      <c r="J72" s="164"/>
      <c r="K72" s="395"/>
      <c r="L72" s="395"/>
      <c r="M72" s="164"/>
      <c r="N72" s="186">
        <f>(N87/H87)^(1/6)</f>
        <v>1.14897786614373</v>
      </c>
      <c r="O72" s="164"/>
      <c r="P72" s="164"/>
      <c r="Q72" s="164"/>
      <c r="R72" s="164"/>
      <c r="S72" s="164"/>
      <c r="T72" s="164"/>
      <c r="U72" s="164"/>
      <c r="V72" s="164"/>
      <c r="W72" s="164"/>
      <c r="X72" s="186">
        <f>(X87/N87)^(1/10)</f>
        <v>1.0363112099103142</v>
      </c>
      <c r="Y72" s="20"/>
      <c r="Z72" s="20"/>
      <c r="AA72" s="20"/>
      <c r="AB72" s="20"/>
      <c r="AC72" s="20"/>
      <c r="AD72" s="20"/>
      <c r="AE72" s="20"/>
      <c r="AF72" s="20"/>
      <c r="AG72" s="20"/>
      <c r="AH72" s="186">
        <f>(AH87/X87)^(1/10)</f>
        <v>1.0413797439924106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1.1280232590098518</v>
      </c>
      <c r="O74" s="164"/>
      <c r="P74" s="164"/>
      <c r="Q74" s="164"/>
      <c r="R74" s="164"/>
      <c r="S74" s="164"/>
      <c r="T74" s="164"/>
      <c r="U74" s="164"/>
      <c r="V74" s="164"/>
      <c r="W74" s="164"/>
      <c r="X74" s="186">
        <f>(X89/N89)^(1/10)</f>
        <v>1.0363112099103142</v>
      </c>
      <c r="AH74" s="186">
        <f>(AH89/X89)^(1/10)</f>
        <v>1.0413797439924106</v>
      </c>
      <c r="AI74" s="127"/>
    </row>
    <row r="75" spans="1:35">
      <c r="A75" s="9" t="s">
        <v>347</v>
      </c>
      <c r="B75" s="37"/>
      <c r="C75" s="332"/>
      <c r="D75" s="332"/>
      <c r="E75" s="332"/>
      <c r="F75" s="332"/>
      <c r="G75" s="332"/>
      <c r="H75" s="284"/>
      <c r="I75" s="164"/>
      <c r="J75" s="164"/>
      <c r="K75" s="395"/>
      <c r="L75" s="395"/>
      <c r="M75" s="164"/>
      <c r="N75" s="179">
        <f>(N90/H90)^(1/6)</f>
        <v>1.2952890370472268</v>
      </c>
      <c r="O75" s="164"/>
      <c r="P75" s="164"/>
      <c r="Q75" s="164"/>
      <c r="R75" s="164"/>
      <c r="S75" s="164"/>
      <c r="T75" s="164"/>
      <c r="U75" s="164"/>
      <c r="V75" s="164"/>
      <c r="W75" s="164"/>
      <c r="X75" s="186">
        <f>(X90/N90)^(1/10)</f>
        <v>1.0363112099103142</v>
      </c>
      <c r="AH75" s="186">
        <f>(AH90/X90)^(1/10)</f>
        <v>1.0413797439924106</v>
      </c>
      <c r="AI75" s="127"/>
    </row>
    <row r="76" spans="1:35">
      <c r="A76" s="9" t="s">
        <v>348</v>
      </c>
      <c r="B76" s="37"/>
      <c r="C76" s="332"/>
      <c r="D76" s="332"/>
      <c r="E76" s="332"/>
      <c r="F76" s="332"/>
      <c r="G76" s="332"/>
      <c r="H76" s="284"/>
      <c r="I76" s="164"/>
      <c r="J76" s="164"/>
      <c r="K76" s="395"/>
      <c r="L76" s="395"/>
      <c r="M76" s="164"/>
      <c r="N76" s="179">
        <f>(N91/H91)^(1/6)</f>
        <v>1.1152138532133282</v>
      </c>
      <c r="O76" s="164"/>
      <c r="P76" s="164"/>
      <c r="Q76" s="164"/>
      <c r="R76" s="164"/>
      <c r="S76" s="164"/>
      <c r="T76" s="164"/>
      <c r="U76" s="164"/>
      <c r="V76" s="164"/>
      <c r="W76" s="164"/>
      <c r="X76" s="186">
        <f>(X91/N91)^(1/10)</f>
        <v>1.0363112099103142</v>
      </c>
      <c r="AH76" s="186">
        <f>(AH91/X91)^(1/10)</f>
        <v>1.0413797439924106</v>
      </c>
      <c r="AI76" s="127"/>
    </row>
    <row r="77" spans="1:35">
      <c r="A77" s="9" t="s">
        <v>344</v>
      </c>
      <c r="B77" s="37"/>
      <c r="C77" s="332"/>
      <c r="D77" s="332"/>
      <c r="E77" s="332"/>
      <c r="F77" s="332"/>
      <c r="G77" s="332"/>
      <c r="H77" s="284"/>
      <c r="I77" s="164"/>
      <c r="J77" s="164"/>
      <c r="K77" s="395"/>
      <c r="L77" s="395"/>
      <c r="M77" s="164"/>
      <c r="N77" s="179">
        <f>(N92/H92)^(1/6)</f>
        <v>1.1152138532133282</v>
      </c>
      <c r="O77" s="164"/>
      <c r="P77" s="164"/>
      <c r="Q77" s="164"/>
      <c r="R77" s="164"/>
      <c r="S77" s="164"/>
      <c r="T77" s="164"/>
      <c r="U77" s="164"/>
      <c r="V77" s="164"/>
      <c r="W77" s="164"/>
      <c r="X77" s="186">
        <f>(X92/N92)^(1/10)</f>
        <v>1.0363112099103142</v>
      </c>
      <c r="AH77" s="186">
        <f>(AH92/X92)^(1/10)</f>
        <v>1.0413797439924106</v>
      </c>
      <c r="AI77" s="127"/>
    </row>
    <row r="78" spans="1:35">
      <c r="A78" s="9" t="s">
        <v>120</v>
      </c>
      <c r="B78" s="37"/>
      <c r="C78" s="332"/>
      <c r="D78" s="332"/>
      <c r="E78" s="332"/>
      <c r="F78" s="332"/>
      <c r="G78" s="332"/>
      <c r="H78" s="284"/>
      <c r="I78" s="164"/>
      <c r="J78" s="164"/>
      <c r="K78" s="395"/>
      <c r="L78" s="395"/>
      <c r="M78" s="164"/>
      <c r="N78" s="186">
        <f t="shared" ref="N78:N79" si="70">(N93/H93)^(1/6)</f>
        <v>1.3603051447839156</v>
      </c>
      <c r="O78" s="164"/>
      <c r="P78" s="164"/>
      <c r="Q78" s="164"/>
      <c r="R78" s="164"/>
      <c r="S78" s="164"/>
      <c r="T78" s="164"/>
      <c r="U78" s="164"/>
      <c r="V78" s="164"/>
      <c r="W78" s="164"/>
      <c r="X78" s="186">
        <f t="shared" ref="X78:X79" si="71">(X93/N93)^(1/10)</f>
        <v>1.0827758351587875</v>
      </c>
      <c r="AH78" s="186">
        <f t="shared" ref="AH78:AH79" si="72">(AH93/X93)^(1/10)</f>
        <v>1.0374392973737323</v>
      </c>
      <c r="AI78" s="127"/>
    </row>
    <row r="79" spans="1:35">
      <c r="A79" s="9" t="s">
        <v>53</v>
      </c>
      <c r="B79" s="37"/>
      <c r="C79" s="332"/>
      <c r="D79" s="332"/>
      <c r="E79" s="332"/>
      <c r="F79" s="332"/>
      <c r="G79" s="332"/>
      <c r="H79" s="284"/>
      <c r="I79" s="164"/>
      <c r="J79" s="164"/>
      <c r="K79" s="395"/>
      <c r="L79" s="395"/>
      <c r="M79" s="164"/>
      <c r="N79" s="186">
        <f t="shared" si="70"/>
        <v>1.1840653114875901</v>
      </c>
      <c r="O79" s="164"/>
      <c r="P79" s="164"/>
      <c r="Q79" s="164"/>
      <c r="R79" s="164"/>
      <c r="S79" s="164"/>
      <c r="T79" s="164"/>
      <c r="U79" s="164"/>
      <c r="V79" s="164"/>
      <c r="W79" s="164"/>
      <c r="X79" s="186">
        <f t="shared" si="71"/>
        <v>1.0363112099103142</v>
      </c>
      <c r="AH79" s="186">
        <f t="shared" si="72"/>
        <v>1.0413797439924106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5.7484951208822667E-2</v>
      </c>
      <c r="D84" s="336">
        <f t="shared" si="73"/>
        <v>5.8210673850053025E-2</v>
      </c>
      <c r="E84" s="336">
        <f t="shared" si="73"/>
        <v>5.8936396491283384E-2</v>
      </c>
      <c r="F84" s="336">
        <f t="shared" si="73"/>
        <v>5.9662119132513743E-2</v>
      </c>
      <c r="G84" s="336">
        <f t="shared" si="73"/>
        <v>6.0387841773744101E-2</v>
      </c>
      <c r="H84" s="396">
        <f t="shared" si="73"/>
        <v>6.8832782280165039E-2</v>
      </c>
      <c r="I84" s="116">
        <f t="shared" si="73"/>
        <v>6.8271968610530295E-2</v>
      </c>
      <c r="J84" s="116">
        <f t="shared" si="73"/>
        <v>6.7711154940895552E-2</v>
      </c>
      <c r="K84" s="116">
        <f t="shared" si="73"/>
        <v>6.7150341271260808E-2</v>
      </c>
      <c r="L84" s="116">
        <f t="shared" si="73"/>
        <v>6.6589527601626064E-2</v>
      </c>
      <c r="M84" s="116">
        <f t="shared" si="73"/>
        <v>6.602871393199132E-2</v>
      </c>
      <c r="N84" s="178">
        <f t="shared" si="73"/>
        <v>6.5467900262356576E-2</v>
      </c>
      <c r="O84" s="116">
        <f t="shared" si="73"/>
        <v>6.4930066514611182E-2</v>
      </c>
      <c r="P84" s="116">
        <f t="shared" si="73"/>
        <v>6.4392232766865787E-2</v>
      </c>
      <c r="Q84" s="116">
        <f t="shared" si="73"/>
        <v>6.3854399019120392E-2</v>
      </c>
      <c r="R84" s="116">
        <f t="shared" si="73"/>
        <v>6.3316565271374997E-2</v>
      </c>
      <c r="S84" s="116">
        <f t="shared" si="73"/>
        <v>6.2778731523629602E-2</v>
      </c>
      <c r="T84" s="116">
        <f t="shared" si="73"/>
        <v>6.2240897775884214E-2</v>
      </c>
      <c r="U84" s="116">
        <f t="shared" si="73"/>
        <v>6.1703064028138833E-2</v>
      </c>
      <c r="V84" s="116">
        <f t="shared" si="73"/>
        <v>6.1165230280393439E-2</v>
      </c>
      <c r="W84" s="116">
        <f t="shared" si="73"/>
        <v>6.0627396532648044E-2</v>
      </c>
      <c r="X84" s="178">
        <f t="shared" si="73"/>
        <v>6.0089562784902677E-2</v>
      </c>
      <c r="Y84" s="173">
        <f t="shared" si="73"/>
        <v>5.956072807050241E-2</v>
      </c>
      <c r="Z84" s="173">
        <f t="shared" si="73"/>
        <v>5.9031893356102136E-2</v>
      </c>
      <c r="AA84" s="173">
        <f t="shared" si="73"/>
        <v>5.8503058641701876E-2</v>
      </c>
      <c r="AB84" s="173">
        <f t="shared" si="73"/>
        <v>5.7974223927301602E-2</v>
      </c>
      <c r="AC84" s="173">
        <f t="shared" si="73"/>
        <v>5.7445389212901328E-2</v>
      </c>
      <c r="AD84" s="173">
        <f t="shared" si="73"/>
        <v>5.6916554498501075E-2</v>
      </c>
      <c r="AE84" s="173">
        <f t="shared" si="73"/>
        <v>5.6387719784100794E-2</v>
      </c>
      <c r="AF84" s="173">
        <f t="shared" si="73"/>
        <v>5.5858885069700541E-2</v>
      </c>
      <c r="AG84" s="173">
        <f t="shared" si="73"/>
        <v>5.5330050355300274E-2</v>
      </c>
      <c r="AH84" s="178">
        <f t="shared" si="73"/>
        <v>5.4801215640899965E-2</v>
      </c>
      <c r="AI84" s="127"/>
    </row>
    <row r="85" spans="1:35">
      <c r="A85" s="9" t="s">
        <v>59</v>
      </c>
      <c r="B85" s="37"/>
      <c r="C85" s="336">
        <f t="shared" ref="C85:AH85" si="74">C32/C$49</f>
        <v>0.27425024373227913</v>
      </c>
      <c r="D85" s="336">
        <f t="shared" si="74"/>
        <v>0.27232550722663162</v>
      </c>
      <c r="E85" s="336">
        <f t="shared" si="74"/>
        <v>0.27040077072098412</v>
      </c>
      <c r="F85" s="336">
        <f t="shared" si="74"/>
        <v>0.26847603421533661</v>
      </c>
      <c r="G85" s="336">
        <f t="shared" si="74"/>
        <v>0.26655129770968911</v>
      </c>
      <c r="H85" s="396">
        <f t="shared" si="74"/>
        <v>0.24027280023254269</v>
      </c>
      <c r="I85" s="116">
        <f t="shared" si="74"/>
        <v>0.24240702388881169</v>
      </c>
      <c r="J85" s="116">
        <f t="shared" si="74"/>
        <v>0.24454124754508072</v>
      </c>
      <c r="K85" s="116">
        <f t="shared" si="74"/>
        <v>0.24667547120134975</v>
      </c>
      <c r="L85" s="116">
        <f t="shared" si="74"/>
        <v>0.24880969485761878</v>
      </c>
      <c r="M85" s="116">
        <f t="shared" si="74"/>
        <v>0.25094391851388781</v>
      </c>
      <c r="N85" s="178">
        <f t="shared" si="74"/>
        <v>0.25307814217015678</v>
      </c>
      <c r="O85" s="116">
        <f t="shared" si="74"/>
        <v>0.2509990474515183</v>
      </c>
      <c r="P85" s="116">
        <f t="shared" si="74"/>
        <v>0.24891995273287981</v>
      </c>
      <c r="Q85" s="116">
        <f t="shared" si="74"/>
        <v>0.24684085801424133</v>
      </c>
      <c r="R85" s="116">
        <f t="shared" si="74"/>
        <v>0.24476176329560284</v>
      </c>
      <c r="S85" s="116">
        <f t="shared" si="74"/>
        <v>0.24268266857696436</v>
      </c>
      <c r="T85" s="116">
        <f t="shared" si="74"/>
        <v>0.24060357385832587</v>
      </c>
      <c r="U85" s="116">
        <f t="shared" si="74"/>
        <v>0.23852447913968738</v>
      </c>
      <c r="V85" s="116">
        <f t="shared" si="74"/>
        <v>0.23644538442104887</v>
      </c>
      <c r="W85" s="116">
        <f t="shared" si="74"/>
        <v>0.23436628970241041</v>
      </c>
      <c r="X85" s="178">
        <f t="shared" si="74"/>
        <v>0.23228719498377201</v>
      </c>
      <c r="Y85" s="173">
        <f t="shared" si="74"/>
        <v>0.23024288767440107</v>
      </c>
      <c r="Z85" s="173">
        <f t="shared" si="74"/>
        <v>0.2281985803650301</v>
      </c>
      <c r="AA85" s="173">
        <f t="shared" si="74"/>
        <v>0.22615427305565911</v>
      </c>
      <c r="AB85" s="173">
        <f t="shared" si="74"/>
        <v>0.22410996574628814</v>
      </c>
      <c r="AC85" s="173">
        <f t="shared" si="74"/>
        <v>0.22206565843691717</v>
      </c>
      <c r="AD85" s="173">
        <f t="shared" si="74"/>
        <v>0.22002135112754617</v>
      </c>
      <c r="AE85" s="173">
        <f t="shared" si="74"/>
        <v>0.21797704381817523</v>
      </c>
      <c r="AF85" s="173">
        <f t="shared" si="74"/>
        <v>0.21593273650880429</v>
      </c>
      <c r="AG85" s="173">
        <f t="shared" si="74"/>
        <v>0.21388842919943329</v>
      </c>
      <c r="AH85" s="178">
        <f t="shared" si="74"/>
        <v>0.21184412189006224</v>
      </c>
      <c r="AI85" s="127"/>
    </row>
    <row r="86" spans="1:35" s="252" customFormat="1">
      <c r="A86" s="10" t="s">
        <v>121</v>
      </c>
      <c r="B86" s="37"/>
      <c r="C86" s="410">
        <f t="shared" ref="C86:AH86" si="75">C34/C$49</f>
        <v>1.2253696233553663E-3</v>
      </c>
      <c r="D86" s="336">
        <f t="shared" si="75"/>
        <v>1.4377643445287228E-3</v>
      </c>
      <c r="E86" s="336">
        <f t="shared" si="75"/>
        <v>1.6869736861418953E-3</v>
      </c>
      <c r="F86" s="336">
        <f t="shared" si="75"/>
        <v>1.9793787685477831E-3</v>
      </c>
      <c r="G86" s="336">
        <f t="shared" si="75"/>
        <v>2.3224667590032526E-3</v>
      </c>
      <c r="H86" s="409">
        <f t="shared" si="75"/>
        <v>7.577215040544703E-4</v>
      </c>
      <c r="I86" s="396">
        <f t="shared" si="75"/>
        <v>8.890582407527595E-4</v>
      </c>
      <c r="J86" s="396">
        <f t="shared" si="75"/>
        <v>1.043159724543822E-3</v>
      </c>
      <c r="K86" s="396">
        <f t="shared" si="75"/>
        <v>1.223971795131201E-3</v>
      </c>
      <c r="L86" s="396">
        <f t="shared" si="75"/>
        <v>1.4361242291364565E-3</v>
      </c>
      <c r="M86" s="396">
        <f t="shared" si="75"/>
        <v>1.6850492876690033E-3</v>
      </c>
      <c r="N86" s="397">
        <f>N34/N$49</f>
        <v>1.9771208118820921E-3</v>
      </c>
      <c r="O86" s="396">
        <f t="shared" si="75"/>
        <v>2.048912460700394E-3</v>
      </c>
      <c r="P86" s="396">
        <f t="shared" si="75"/>
        <v>2.1233109511487446E-3</v>
      </c>
      <c r="Q86" s="396">
        <f t="shared" si="75"/>
        <v>2.2004109408007757E-3</v>
      </c>
      <c r="R86" s="396">
        <f t="shared" si="75"/>
        <v>2.2803105243611446E-3</v>
      </c>
      <c r="S86" s="396">
        <f t="shared" si="75"/>
        <v>2.3631113584719208E-3</v>
      </c>
      <c r="T86" s="396">
        <f t="shared" si="75"/>
        <v>2.4489187910508425E-3</v>
      </c>
      <c r="U86" s="396">
        <f t="shared" si="75"/>
        <v>2.5378419953260025E-3</v>
      </c>
      <c r="V86" s="396">
        <f t="shared" si="75"/>
        <v>2.6299941087374957E-3</v>
      </c>
      <c r="W86" s="396">
        <f t="shared" si="75"/>
        <v>2.7254923768827528E-3</v>
      </c>
      <c r="X86" s="397">
        <f t="shared" si="75"/>
        <v>2.8244583026887028E-3</v>
      </c>
      <c r="Y86" s="396">
        <f>Y34/Y$49</f>
        <v>2.9413336641711998E-3</v>
      </c>
      <c r="Z86" s="396">
        <f t="shared" si="75"/>
        <v>3.063045298190863E-3</v>
      </c>
      <c r="AA86" s="396">
        <f t="shared" si="75"/>
        <v>3.1897933284671578E-3</v>
      </c>
      <c r="AB86" s="396">
        <f t="shared" si="75"/>
        <v>3.3217861597878281E-3</v>
      </c>
      <c r="AC86" s="396">
        <f t="shared" si="75"/>
        <v>3.4592408206773812E-3</v>
      </c>
      <c r="AD86" s="396">
        <f t="shared" si="75"/>
        <v>3.6023833202451076E-3</v>
      </c>
      <c r="AE86" s="396">
        <f t="shared" si="75"/>
        <v>3.7514490197993809E-3</v>
      </c>
      <c r="AF86" s="396">
        <f t="shared" si="75"/>
        <v>3.9066830198392589E-3</v>
      </c>
      <c r="AG86" s="396">
        <f t="shared" si="75"/>
        <v>4.0683405630597049E-3</v>
      </c>
      <c r="AH86" s="397">
        <f t="shared" si="75"/>
        <v>4.2366874540330536E-3</v>
      </c>
      <c r="AI86" s="292"/>
    </row>
    <row r="87" spans="1:35">
      <c r="A87" s="9" t="s">
        <v>50</v>
      </c>
      <c r="B87" s="37"/>
      <c r="C87" s="410">
        <f t="shared" ref="C87:AH87" si="76">C35/C$49</f>
        <v>0</v>
      </c>
      <c r="D87" s="336">
        <f t="shared" si="76"/>
        <v>0</v>
      </c>
      <c r="E87" s="336">
        <f t="shared" si="76"/>
        <v>3.515225266737007E-8</v>
      </c>
      <c r="F87" s="336">
        <f t="shared" si="76"/>
        <v>3.2636669043940238E-8</v>
      </c>
      <c r="G87" s="336">
        <f t="shared" si="76"/>
        <v>3.5593568555112262E-8</v>
      </c>
      <c r="H87" s="409">
        <f t="shared" si="76"/>
        <v>3.5081408744862542E-8</v>
      </c>
      <c r="I87" s="116">
        <f t="shared" si="76"/>
        <v>4.030776216098815E-8</v>
      </c>
      <c r="J87" s="116">
        <f>J35/J$49</f>
        <v>4.6312726556761147E-8</v>
      </c>
      <c r="K87" s="116">
        <f t="shared" si="76"/>
        <v>5.3212297734485468E-8</v>
      </c>
      <c r="L87" s="116">
        <f t="shared" si="76"/>
        <v>6.1139752303573952E-8</v>
      </c>
      <c r="M87" s="116">
        <f t="shared" si="76"/>
        <v>7.0248222138316595E-8</v>
      </c>
      <c r="N87" s="178">
        <f t="shared" si="76"/>
        <v>8.0713652372873762E-8</v>
      </c>
      <c r="O87" s="116">
        <f t="shared" si="76"/>
        <v>8.3644462746813292E-8</v>
      </c>
      <c r="P87" s="116">
        <f t="shared" si="76"/>
        <v>8.6681694391448293E-8</v>
      </c>
      <c r="Q87" s="116">
        <f t="shared" si="76"/>
        <v>8.9829211591877878E-8</v>
      </c>
      <c r="R87" s="116">
        <f t="shared" si="76"/>
        <v>9.3091018950068585E-8</v>
      </c>
      <c r="S87" s="116">
        <f t="shared" si="76"/>
        <v>9.6471266479929559E-8</v>
      </c>
      <c r="T87" s="116">
        <f t="shared" si="76"/>
        <v>9.9974254887396146E-8</v>
      </c>
      <c r="U87" s="116">
        <f t="shared" si="76"/>
        <v>1.0360444104223964E-7</v>
      </c>
      <c r="V87" s="116">
        <f t="shared" si="76"/>
        <v>1.0736644364856519E-7</v>
      </c>
      <c r="W87" s="116">
        <f t="shared" si="76"/>
        <v>1.1126504912121216E-7</v>
      </c>
      <c r="X87" s="178">
        <f t="shared" si="76"/>
        <v>1.1530521767553397E-7</v>
      </c>
      <c r="Y87" s="173">
        <f t="shared" si="76"/>
        <v>1.2007651806393674E-7</v>
      </c>
      <c r="Z87" s="173">
        <f t="shared" si="76"/>
        <v>1.2504525364092252E-7</v>
      </c>
      <c r="AA87" s="173">
        <f t="shared" si="76"/>
        <v>1.3021959422404995E-7</v>
      </c>
      <c r="AB87" s="173">
        <f t="shared" si="76"/>
        <v>1.3560804769583674E-7</v>
      </c>
      <c r="AC87" s="173">
        <f t="shared" si="76"/>
        <v>1.4121947399280108E-7</v>
      </c>
      <c r="AD87" s="173">
        <f t="shared" si="76"/>
        <v>1.4706309967336609E-7</v>
      </c>
      <c r="AE87" s="173">
        <f t="shared" si="76"/>
        <v>1.5314853308858034E-7</v>
      </c>
      <c r="AF87" s="173">
        <f t="shared" si="76"/>
        <v>1.5948578018059902E-7</v>
      </c>
      <c r="AG87" s="173">
        <f t="shared" si="76"/>
        <v>1.6608526093490209E-7</v>
      </c>
      <c r="AH87" s="178">
        <f t="shared" si="76"/>
        <v>1.7295782651330094E-7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1.6099746876201894E-4</v>
      </c>
      <c r="D89" s="336">
        <f t="shared" si="78"/>
        <v>2.1516558785031648E-4</v>
      </c>
      <c r="E89" s="336">
        <f t="shared" si="78"/>
        <v>5.1601350711038142E-4</v>
      </c>
      <c r="F89" s="336">
        <f t="shared" si="78"/>
        <v>5.2955799235611519E-4</v>
      </c>
      <c r="G89" s="336">
        <f t="shared" si="78"/>
        <v>4.2963942909899808E-4</v>
      </c>
      <c r="H89" s="409">
        <f t="shared" si="78"/>
        <v>4.5565148081258962E-4</v>
      </c>
      <c r="I89" s="116">
        <f t="shared" si="78"/>
        <v>5.1398546835888228E-4</v>
      </c>
      <c r="J89" s="116">
        <f t="shared" si="78"/>
        <v>5.7978756310189141E-4</v>
      </c>
      <c r="K89" s="116">
        <f t="shared" si="78"/>
        <v>6.5401385646357568E-4</v>
      </c>
      <c r="L89" s="116">
        <f t="shared" si="78"/>
        <v>7.3774284180564407E-4</v>
      </c>
      <c r="M89" s="116">
        <f t="shared" si="78"/>
        <v>8.3219108472479221E-4</v>
      </c>
      <c r="N89" s="178">
        <f t="shared" si="78"/>
        <v>9.3873089951020344E-4</v>
      </c>
      <c r="O89" s="116">
        <f t="shared" si="78"/>
        <v>9.7281735425161682E-4</v>
      </c>
      <c r="P89" s="116">
        <f t="shared" si="78"/>
        <v>1.0081415294062438E-3</v>
      </c>
      <c r="Q89" s="116">
        <f t="shared" si="78"/>
        <v>1.0447483680998191E-3</v>
      </c>
      <c r="R89" s="116">
        <f t="shared" si="78"/>
        <v>1.0826844453973499E-3</v>
      </c>
      <c r="S89" s="116">
        <f t="shared" si="78"/>
        <v>1.1219980275608051E-3</v>
      </c>
      <c r="T89" s="116">
        <f t="shared" si="78"/>
        <v>1.1627391334585241E-3</v>
      </c>
      <c r="U89" s="116">
        <f t="shared" si="78"/>
        <v>1.2049595982044734E-3</v>
      </c>
      <c r="V89" s="116">
        <f t="shared" si="78"/>
        <v>1.2487131391083239E-3</v>
      </c>
      <c r="W89" s="116">
        <f t="shared" si="78"/>
        <v>1.2940554240202537E-3</v>
      </c>
      <c r="X89" s="178">
        <f t="shared" si="78"/>
        <v>1.3410441421574334E-3</v>
      </c>
      <c r="Y89" s="173">
        <f t="shared" si="78"/>
        <v>1.3965362054424299E-3</v>
      </c>
      <c r="Z89" s="173">
        <f t="shared" si="78"/>
        <v>1.4543245160997702E-3</v>
      </c>
      <c r="AA89" s="173">
        <f t="shared" si="78"/>
        <v>1.5145040922578653E-3</v>
      </c>
      <c r="AB89" s="173">
        <f t="shared" si="78"/>
        <v>1.5771738838709539E-3</v>
      </c>
      <c r="AC89" s="173">
        <f t="shared" si="78"/>
        <v>1.64243693541705E-3</v>
      </c>
      <c r="AD89" s="173">
        <f t="shared" si="78"/>
        <v>1.710400555328287E-3</v>
      </c>
      <c r="AE89" s="173">
        <f t="shared" si="78"/>
        <v>1.7811764924322486E-3</v>
      </c>
      <c r="AF89" s="173">
        <f t="shared" si="78"/>
        <v>1.8548811196943944E-3</v>
      </c>
      <c r="AG89" s="173">
        <f t="shared" si="78"/>
        <v>1.9316356255637049E-3</v>
      </c>
      <c r="AH89" s="178">
        <f t="shared" si="78"/>
        <v>2.0115662132361499E-3</v>
      </c>
      <c r="AI89" s="127"/>
    </row>
    <row r="90" spans="1:35" s="252" customFormat="1">
      <c r="A90" s="10" t="s">
        <v>347</v>
      </c>
      <c r="B90" s="37"/>
      <c r="C90" s="410">
        <f t="shared" ref="C90:AH90" si="79">C38/C$49</f>
        <v>2.9999999999999996E-3</v>
      </c>
      <c r="D90" s="336">
        <f t="shared" si="79"/>
        <v>5.0000000000000001E-3</v>
      </c>
      <c r="E90" s="336">
        <f t="shared" si="79"/>
        <v>7.5008762033356253E-3</v>
      </c>
      <c r="F90" s="336">
        <f t="shared" si="79"/>
        <v>1.0500868412477465E-2</v>
      </c>
      <c r="G90" s="336">
        <f t="shared" si="79"/>
        <v>1.2000866222944627E-2</v>
      </c>
      <c r="H90" s="409">
        <f t="shared" si="79"/>
        <v>1.3500853755442103E-2</v>
      </c>
      <c r="I90" s="396">
        <f t="shared" si="79"/>
        <v>1.7487507860202037E-2</v>
      </c>
      <c r="J90" s="396">
        <f t="shared" si="79"/>
        <v>2.2651377216596907E-2</v>
      </c>
      <c r="K90" s="396">
        <f t="shared" si="79"/>
        <v>2.9340080582679298E-2</v>
      </c>
      <c r="L90" s="396">
        <f t="shared" si="79"/>
        <v>3.8003884724826707E-2</v>
      </c>
      <c r="M90" s="396">
        <f t="shared" si="79"/>
        <v>4.9226015249274599E-2</v>
      </c>
      <c r="N90" s="397">
        <f t="shared" si="79"/>
        <v>6.3761917889904984E-2</v>
      </c>
      <c r="O90" s="396">
        <f t="shared" si="79"/>
        <v>6.6077190274689557E-2</v>
      </c>
      <c r="P90" s="396">
        <f t="shared" si="79"/>
        <v>6.8476533001037579E-2</v>
      </c>
      <c r="Q90" s="396">
        <f t="shared" si="79"/>
        <v>7.0962998764768817E-2</v>
      </c>
      <c r="R90" s="396">
        <f t="shared" si="79"/>
        <v>7.3539751108781706E-2</v>
      </c>
      <c r="S90" s="396">
        <f t="shared" si="79"/>
        <v>7.621006844804494E-2</v>
      </c>
      <c r="T90" s="396">
        <f t="shared" si="79"/>
        <v>7.8977348240741319E-2</v>
      </c>
      <c r="U90" s="396">
        <f t="shared" si="79"/>
        <v>8.1845111310870869E-2</v>
      </c>
      <c r="V90" s="396">
        <f t="shared" si="79"/>
        <v>8.481700632781293E-2</v>
      </c>
      <c r="W90" s="396">
        <f t="shared" si="79"/>
        <v>8.7896814448546592E-2</v>
      </c>
      <c r="X90" s="397">
        <f t="shared" si="79"/>
        <v>9.1088454128435692E-2</v>
      </c>
      <c r="Y90" s="396">
        <f t="shared" si="79"/>
        <v>9.4857671040934802E-2</v>
      </c>
      <c r="Z90" s="396">
        <f t="shared" si="79"/>
        <v>9.8782857184324988E-2</v>
      </c>
      <c r="AA90" s="396">
        <f t="shared" si="79"/>
        <v>0.10287046652545122</v>
      </c>
      <c r="AB90" s="396">
        <f t="shared" si="79"/>
        <v>0.10712722009465424</v>
      </c>
      <c r="AC90" s="396">
        <f t="shared" si="79"/>
        <v>0.11156011703678967</v>
      </c>
      <c r="AD90" s="396">
        <f t="shared" si="79"/>
        <v>0.11617644611953538</v>
      </c>
      <c r="AE90" s="396">
        <f t="shared" si="79"/>
        <v>0.12098379771790986</v>
      </c>
      <c r="AF90" s="396">
        <f t="shared" si="79"/>
        <v>0.12599007629470654</v>
      </c>
      <c r="AG90" s="396">
        <f t="shared" si="79"/>
        <v>0.13120351339736577</v>
      </c>
      <c r="AH90" s="397">
        <f t="shared" si="79"/>
        <v>0.13663268119265354</v>
      </c>
      <c r="AI90" s="292"/>
    </row>
    <row r="91" spans="1:35" s="252" customFormat="1">
      <c r="A91" s="10" t="s">
        <v>348</v>
      </c>
      <c r="B91" s="37"/>
      <c r="C91" s="410">
        <f t="shared" ref="C91:AH91" si="80">C39/C$49</f>
        <v>0</v>
      </c>
      <c r="D91" s="336">
        <f t="shared" si="80"/>
        <v>0</v>
      </c>
      <c r="E91" s="336">
        <f t="shared" si="80"/>
        <v>8.7620333562494398E-7</v>
      </c>
      <c r="F91" s="336">
        <f t="shared" si="80"/>
        <v>8.6841247746434512E-7</v>
      </c>
      <c r="G91" s="336">
        <f t="shared" si="80"/>
        <v>8.662229446269692E-7</v>
      </c>
      <c r="H91" s="409">
        <f t="shared" si="80"/>
        <v>8.5375544210399312E-7</v>
      </c>
      <c r="I91" s="396">
        <f t="shared" si="80"/>
        <v>9.5211989629064276E-7</v>
      </c>
      <c r="J91" s="396">
        <f t="shared" si="80"/>
        <v>1.0618172982633622E-6</v>
      </c>
      <c r="K91" s="396">
        <f t="shared" si="80"/>
        <v>1.18415336060485E-6</v>
      </c>
      <c r="L91" s="396">
        <f t="shared" si="80"/>
        <v>1.3205842320756465E-6</v>
      </c>
      <c r="M91" s="396">
        <f t="shared" si="80"/>
        <v>1.4727338299458458E-6</v>
      </c>
      <c r="N91" s="397">
        <f t="shared" si="80"/>
        <v>1.6424131692515298E-6</v>
      </c>
      <c r="O91" s="396">
        <f t="shared" si="80"/>
        <v>1.7020511785996859E-6</v>
      </c>
      <c r="P91" s="396">
        <f t="shared" si="80"/>
        <v>1.7638547162239168E-6</v>
      </c>
      <c r="Q91" s="396">
        <f t="shared" si="80"/>
        <v>1.8279024150760211E-6</v>
      </c>
      <c r="R91" s="396">
        <f t="shared" si="80"/>
        <v>1.8942757633654169E-6</v>
      </c>
      <c r="S91" s="396">
        <f t="shared" si="80"/>
        <v>1.9630592082369991E-6</v>
      </c>
      <c r="T91" s="396">
        <f t="shared" si="80"/>
        <v>2.0343402632136681E-6</v>
      </c>
      <c r="U91" s="396">
        <f t="shared" si="80"/>
        <v>2.1082096195402235E-6</v>
      </c>
      <c r="V91" s="396">
        <f t="shared" si="80"/>
        <v>2.1847612615702923E-6</v>
      </c>
      <c r="W91" s="396">
        <f t="shared" si="80"/>
        <v>2.2640925863430941E-6</v>
      </c>
      <c r="X91" s="397">
        <f t="shared" si="80"/>
        <v>2.3463045275021854E-6</v>
      </c>
      <c r="Y91" s="396">
        <f t="shared" si="80"/>
        <v>2.4433940081784597E-6</v>
      </c>
      <c r="Z91" s="396">
        <f t="shared" si="80"/>
        <v>2.5445010267094744E-6</v>
      </c>
      <c r="AA91" s="396">
        <f t="shared" si="80"/>
        <v>2.6497918277831384E-6</v>
      </c>
      <c r="AB91" s="396">
        <f t="shared" si="80"/>
        <v>2.7594395352499867E-6</v>
      </c>
      <c r="AC91" s="396">
        <f t="shared" si="80"/>
        <v>2.8736244367811677E-6</v>
      </c>
      <c r="AD91" s="396">
        <f t="shared" si="80"/>
        <v>2.9925342803055074E-6</v>
      </c>
      <c r="AE91" s="396">
        <f t="shared" si="80"/>
        <v>3.116364582713062E-6</v>
      </c>
      <c r="AF91" s="396">
        <f t="shared" si="80"/>
        <v>3.2453189513327441E-6</v>
      </c>
      <c r="AG91" s="396">
        <f t="shared" si="80"/>
        <v>3.3796094187126116E-6</v>
      </c>
      <c r="AH91" s="397">
        <f t="shared" si="80"/>
        <v>3.5194567912532785E-6</v>
      </c>
      <c r="AI91" s="292"/>
    </row>
    <row r="92" spans="1:35">
      <c r="A92" s="9" t="s">
        <v>344</v>
      </c>
      <c r="B92" s="37"/>
      <c r="C92" s="410">
        <f t="shared" ref="C92:AH92" si="81">C40/C$49</f>
        <v>8.9443038201121628E-8</v>
      </c>
      <c r="D92" s="336">
        <f t="shared" si="81"/>
        <v>9.9748115275379763E-8</v>
      </c>
      <c r="E92" s="336">
        <f t="shared" si="81"/>
        <v>1.1124047998702351E-7</v>
      </c>
      <c r="F92" s="336">
        <f t="shared" si="81"/>
        <v>1.2405692431962862E-7</v>
      </c>
      <c r="G92" s="336">
        <f t="shared" si="81"/>
        <v>1.383500005882873E-7</v>
      </c>
      <c r="H92" s="409">
        <f t="shared" si="81"/>
        <v>8.5375544210399315E-8</v>
      </c>
      <c r="I92" s="116">
        <f t="shared" si="81"/>
        <v>9.521198962906427E-8</v>
      </c>
      <c r="J92" s="116">
        <f t="shared" si="81"/>
        <v>1.0618172982633621E-7</v>
      </c>
      <c r="K92" s="116">
        <f t="shared" si="81"/>
        <v>1.1841533606048499E-7</v>
      </c>
      <c r="L92" s="116">
        <f t="shared" si="81"/>
        <v>1.3205842320756463E-7</v>
      </c>
      <c r="M92" s="116">
        <f t="shared" si="81"/>
        <v>1.4727338299458456E-7</v>
      </c>
      <c r="N92" s="178">
        <f t="shared" si="81"/>
        <v>1.6424131692515297E-7</v>
      </c>
      <c r="O92" s="116">
        <f t="shared" si="81"/>
        <v>1.7020511785996855E-7</v>
      </c>
      <c r="P92" s="116">
        <f t="shared" si="81"/>
        <v>1.7638547162239165E-7</v>
      </c>
      <c r="Q92" s="116">
        <f t="shared" si="81"/>
        <v>1.8279024150760208E-7</v>
      </c>
      <c r="R92" s="116">
        <f t="shared" si="81"/>
        <v>1.8942757633654164E-7</v>
      </c>
      <c r="S92" s="116">
        <f t="shared" si="81"/>
        <v>1.9630592082369987E-7</v>
      </c>
      <c r="T92" s="116">
        <f t="shared" si="81"/>
        <v>2.0343402632136677E-7</v>
      </c>
      <c r="U92" s="116">
        <f t="shared" si="81"/>
        <v>2.1082096195402231E-7</v>
      </c>
      <c r="V92" s="116">
        <f t="shared" si="81"/>
        <v>2.1847612615702917E-7</v>
      </c>
      <c r="W92" s="116">
        <f t="shared" si="81"/>
        <v>2.2640925863430937E-7</v>
      </c>
      <c r="X92" s="178">
        <f t="shared" si="81"/>
        <v>2.3463045275021851E-7</v>
      </c>
      <c r="Y92" s="173">
        <f t="shared" si="81"/>
        <v>2.4433940081784596E-7</v>
      </c>
      <c r="Z92" s="173">
        <f t="shared" si="81"/>
        <v>2.5445010267094745E-7</v>
      </c>
      <c r="AA92" s="173">
        <f t="shared" si="81"/>
        <v>2.6497918277831388E-7</v>
      </c>
      <c r="AB92" s="173">
        <f t="shared" si="81"/>
        <v>2.7594395352499871E-7</v>
      </c>
      <c r="AC92" s="173">
        <f t="shared" si="81"/>
        <v>2.8736244367811681E-7</v>
      </c>
      <c r="AD92" s="173">
        <f t="shared" si="81"/>
        <v>2.9925342803055081E-7</v>
      </c>
      <c r="AE92" s="173">
        <f t="shared" si="81"/>
        <v>3.1163645827130626E-7</v>
      </c>
      <c r="AF92" s="173">
        <f t="shared" si="81"/>
        <v>3.2453189513327449E-7</v>
      </c>
      <c r="AG92" s="173">
        <f t="shared" si="81"/>
        <v>3.3796094187126123E-7</v>
      </c>
      <c r="AH92" s="178">
        <f t="shared" si="81"/>
        <v>3.5194567912532776E-7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8.5375544210399308E-6</v>
      </c>
      <c r="I93" s="116">
        <f t="shared" si="82"/>
        <v>1.662211321092639E-5</v>
      </c>
      <c r="J93" s="116">
        <f t="shared" si="82"/>
        <v>2.4088076479247035E-5</v>
      </c>
      <c r="K93" s="116">
        <f t="shared" si="82"/>
        <v>3.179470400467241E-5</v>
      </c>
      <c r="L93" s="116">
        <f t="shared" si="82"/>
        <v>3.9382513391568593E-5</v>
      </c>
      <c r="M93" s="116">
        <f t="shared" si="82"/>
        <v>4.6809641293378303E-5</v>
      </c>
      <c r="N93" s="178">
        <f t="shared" si="82"/>
        <v>5.4094302912581934E-5</v>
      </c>
      <c r="O93" s="116">
        <f t="shared" si="82"/>
        <v>6.1320931853962892E-5</v>
      </c>
      <c r="P93" s="116">
        <f t="shared" si="82"/>
        <v>6.8300881304936696E-5</v>
      </c>
      <c r="Q93" s="116">
        <f t="shared" si="82"/>
        <v>7.4822030426915852E-5</v>
      </c>
      <c r="R93" s="116">
        <f t="shared" si="82"/>
        <v>8.1275592964685352E-5</v>
      </c>
      <c r="S93" s="116">
        <f t="shared" si="82"/>
        <v>8.7908450031203505E-5</v>
      </c>
      <c r="T93" s="116">
        <f t="shared" si="82"/>
        <v>9.4551857789422754E-5</v>
      </c>
      <c r="U93" s="116">
        <f t="shared" si="82"/>
        <v>1.0106323734709316E-4</v>
      </c>
      <c r="V93" s="116">
        <f t="shared" si="82"/>
        <v>1.0730819536444189E-4</v>
      </c>
      <c r="W93" s="116">
        <f t="shared" si="82"/>
        <v>1.1386950177774834E-4</v>
      </c>
      <c r="X93" s="178">
        <f t="shared" si="82"/>
        <v>1.1982214146538668E-4</v>
      </c>
      <c r="Y93" s="173">
        <f t="shared" si="82"/>
        <v>1.2604361649969811E-4</v>
      </c>
      <c r="Z93" s="173">
        <f t="shared" si="82"/>
        <v>1.31957289025952E-4</v>
      </c>
      <c r="AA93" s="173">
        <f t="shared" si="82"/>
        <v>1.380768535134627E-4</v>
      </c>
      <c r="AB93" s="173">
        <f t="shared" si="82"/>
        <v>1.4376630769512253E-4</v>
      </c>
      <c r="AC93" s="173">
        <f t="shared" si="82"/>
        <v>1.4878960784023287E-4</v>
      </c>
      <c r="AD93" s="173">
        <f t="shared" si="82"/>
        <v>1.5401599318571181E-4</v>
      </c>
      <c r="AE93" s="173">
        <f t="shared" si="82"/>
        <v>1.5884620266397065E-4</v>
      </c>
      <c r="AF93" s="173">
        <f t="shared" si="82"/>
        <v>1.633999320280914E-4</v>
      </c>
      <c r="AG93" s="173">
        <f t="shared" si="82"/>
        <v>1.6814972885640389E-4</v>
      </c>
      <c r="AH93" s="178">
        <f t="shared" si="82"/>
        <v>1.7304697984077115E-4</v>
      </c>
      <c r="AI93" s="127"/>
    </row>
    <row r="94" spans="1:35">
      <c r="A94" s="9" t="s">
        <v>53</v>
      </c>
      <c r="B94" s="37"/>
      <c r="C94" s="410">
        <f t="shared" ref="C94:AH94" si="83">C42/C$49</f>
        <v>2.6832911460336487E-4</v>
      </c>
      <c r="D94" s="336">
        <f t="shared" si="83"/>
        <v>1.2103064316580303E-3</v>
      </c>
      <c r="E94" s="336">
        <f t="shared" si="83"/>
        <v>1.0247352484781791E-3</v>
      </c>
      <c r="F94" s="336">
        <f t="shared" si="83"/>
        <v>1.1360378287364843E-3</v>
      </c>
      <c r="G94" s="336">
        <f t="shared" si="83"/>
        <v>1.2156806165356166E-3</v>
      </c>
      <c r="H94" s="409">
        <f t="shared" si="83"/>
        <v>1.2048389662325924E-3</v>
      </c>
      <c r="I94" s="116">
        <f t="shared" si="83"/>
        <v>1.4803559445826873E-3</v>
      </c>
      <c r="J94" s="116">
        <f t="shared" si="83"/>
        <v>1.6891970764923592E-3</v>
      </c>
      <c r="K94" s="116">
        <f t="shared" si="83"/>
        <v>2.0001196625408519E-3</v>
      </c>
      <c r="L94" s="116">
        <f t="shared" si="83"/>
        <v>2.3682723112388874E-3</v>
      </c>
      <c r="M94" s="116">
        <f t="shared" si="83"/>
        <v>2.804189091894508E-3</v>
      </c>
      <c r="N94" s="178">
        <f t="shared" si="83"/>
        <v>3.3203430305641731E-3</v>
      </c>
      <c r="O94" s="116">
        <f t="shared" si="83"/>
        <v>3.4409087033212375E-3</v>
      </c>
      <c r="P94" s="116">
        <f t="shared" si="83"/>
        <v>3.5658522615297623E-3</v>
      </c>
      <c r="Q94" s="116">
        <f t="shared" si="83"/>
        <v>3.695332671507338E-3</v>
      </c>
      <c r="R94" s="116">
        <f t="shared" si="83"/>
        <v>3.8295146718308835E-3</v>
      </c>
      <c r="S94" s="116">
        <f t="shared" si="83"/>
        <v>3.968568982934362E-3</v>
      </c>
      <c r="T94" s="116">
        <f t="shared" si="83"/>
        <v>4.1126725243172541E-3</v>
      </c>
      <c r="U94" s="116">
        <f t="shared" si="83"/>
        <v>4.2620086396401198E-3</v>
      </c>
      <c r="V94" s="116">
        <f t="shared" si="83"/>
        <v>4.4167673299936646E-3</v>
      </c>
      <c r="W94" s="116">
        <f t="shared" si="83"/>
        <v>4.577145495638083E-3</v>
      </c>
      <c r="X94" s="178">
        <f t="shared" si="83"/>
        <v>4.7433471865202474E-3</v>
      </c>
      <c r="Y94" s="173">
        <f t="shared" si="83"/>
        <v>4.9396256787655763E-3</v>
      </c>
      <c r="Z94" s="173">
        <f t="shared" si="83"/>
        <v>5.1440261247712336E-3</v>
      </c>
      <c r="AA94" s="173">
        <f t="shared" si="83"/>
        <v>5.3568846089045398E-3</v>
      </c>
      <c r="AB94" s="173">
        <f t="shared" si="83"/>
        <v>5.5785511226178943E-3</v>
      </c>
      <c r="AC94" s="173">
        <f t="shared" si="83"/>
        <v>5.8093901399203975E-3</v>
      </c>
      <c r="AD94" s="173">
        <f t="shared" si="83"/>
        <v>6.049781216662338E-3</v>
      </c>
      <c r="AE94" s="173">
        <f t="shared" si="83"/>
        <v>6.3001196146179198E-3</v>
      </c>
      <c r="AF94" s="173">
        <f t="shared" si="83"/>
        <v>6.5608169513923743E-3</v>
      </c>
      <c r="AG94" s="173">
        <f t="shared" si="83"/>
        <v>6.8323018772220587E-3</v>
      </c>
      <c r="AH94" s="178">
        <f t="shared" si="83"/>
        <v>7.1150207797803702E-3</v>
      </c>
      <c r="AI94" s="127"/>
    </row>
    <row r="95" spans="1:35" s="378" customFormat="1">
      <c r="A95" s="373" t="s">
        <v>540</v>
      </c>
      <c r="B95" s="374"/>
      <c r="C95" s="375">
        <f>SUM(C86:C94)</f>
        <v>4.6547856497589513E-3</v>
      </c>
      <c r="D95" s="375">
        <f>SUM(D86:D94)</f>
        <v>7.863336112152345E-3</v>
      </c>
      <c r="E95" s="375">
        <f>SUM(E86:E94)</f>
        <v>1.0729621241134361E-2</v>
      </c>
      <c r="F95" s="375">
        <f>SUM(F86:F94)</f>
        <v>1.4146868108188677E-2</v>
      </c>
      <c r="G95" s="375">
        <f t="shared" ref="G95:AH95" si="84">SUM(G86:G94)</f>
        <v>1.5969693194096263E-2</v>
      </c>
      <c r="H95" s="375">
        <f t="shared" si="84"/>
        <v>1.5928577473357856E-2</v>
      </c>
      <c r="I95" s="375">
        <f t="shared" si="84"/>
        <v>2.0388617266755373E-2</v>
      </c>
      <c r="J95" s="375">
        <f t="shared" si="84"/>
        <v>2.5988823968968872E-2</v>
      </c>
      <c r="K95" s="375">
        <f t="shared" si="84"/>
        <v>3.3251336381813996E-2</v>
      </c>
      <c r="L95" s="375">
        <f t="shared" si="84"/>
        <v>4.2586920402806858E-2</v>
      </c>
      <c r="M95" s="375">
        <f t="shared" si="84"/>
        <v>5.4595944610291366E-2</v>
      </c>
      <c r="N95" s="376">
        <f t="shared" si="84"/>
        <v>7.0054094302912581E-2</v>
      </c>
      <c r="O95" s="375">
        <f t="shared" si="84"/>
        <v>7.2603105625575967E-2</v>
      </c>
      <c r="P95" s="375">
        <f t="shared" si="84"/>
        <v>7.5244165546309513E-2</v>
      </c>
      <c r="Q95" s="375">
        <f t="shared" si="84"/>
        <v>7.7980413297471823E-2</v>
      </c>
      <c r="R95" s="375">
        <f t="shared" si="84"/>
        <v>8.0815713137694409E-2</v>
      </c>
      <c r="S95" s="375">
        <f t="shared" si="84"/>
        <v>8.3753911103438786E-2</v>
      </c>
      <c r="T95" s="375">
        <f t="shared" si="84"/>
        <v>8.6798568295901782E-2</v>
      </c>
      <c r="U95" s="375">
        <f t="shared" si="84"/>
        <v>8.9953407416411099E-2</v>
      </c>
      <c r="V95" s="375">
        <f t="shared" si="84"/>
        <v>9.3222299704848244E-2</v>
      </c>
      <c r="W95" s="375">
        <f t="shared" si="84"/>
        <v>9.660997901375952E-2</v>
      </c>
      <c r="X95" s="376">
        <f t="shared" si="84"/>
        <v>0.10011982214146539</v>
      </c>
      <c r="Y95" s="375">
        <f t="shared" si="84"/>
        <v>0.10426401801574077</v>
      </c>
      <c r="Z95" s="375">
        <f t="shared" si="84"/>
        <v>0.10857913440879584</v>
      </c>
      <c r="AA95" s="375">
        <f t="shared" si="84"/>
        <v>0.11307277039919904</v>
      </c>
      <c r="AB95" s="375">
        <f t="shared" si="84"/>
        <v>0.11775166856016249</v>
      </c>
      <c r="AC95" s="375">
        <f t="shared" si="84"/>
        <v>0.12262327674699917</v>
      </c>
      <c r="AD95" s="375">
        <f t="shared" si="84"/>
        <v>0.12769646605576482</v>
      </c>
      <c r="AE95" s="375">
        <f t="shared" si="84"/>
        <v>0.13297897019699748</v>
      </c>
      <c r="AF95" s="375">
        <f t="shared" si="84"/>
        <v>0.13847958665428731</v>
      </c>
      <c r="AG95" s="375">
        <f t="shared" si="84"/>
        <v>0.14420782484768915</v>
      </c>
      <c r="AH95" s="376">
        <f t="shared" si="84"/>
        <v>0.1501730469798408</v>
      </c>
      <c r="AI95" s="377"/>
    </row>
    <row r="96" spans="1:35">
      <c r="A96" s="10" t="s">
        <v>543</v>
      </c>
      <c r="B96" s="37"/>
      <c r="C96" s="332"/>
      <c r="D96" s="332">
        <f>D95/C95-1</f>
        <v>0.68930144238962954</v>
      </c>
      <c r="E96" s="332">
        <f t="shared" ref="E96:O96" si="85">E95/D95-1</f>
        <v>0.36451260484113512</v>
      </c>
      <c r="F96" s="332">
        <f t="shared" si="85"/>
        <v>0.31848718517234786</v>
      </c>
      <c r="G96" s="332">
        <f t="shared" si="85"/>
        <v>0.1288500798881751</v>
      </c>
      <c r="H96" s="284"/>
      <c r="I96" s="164">
        <f t="shared" si="85"/>
        <v>0.28000239198116605</v>
      </c>
      <c r="J96" s="164">
        <f t="shared" si="85"/>
        <v>0.27467319774278698</v>
      </c>
      <c r="K96" s="164">
        <f t="shared" si="85"/>
        <v>0.27944752026935493</v>
      </c>
      <c r="L96" s="164">
        <f t="shared" si="85"/>
        <v>0.28075816002687737</v>
      </c>
      <c r="M96" s="164">
        <f t="shared" si="85"/>
        <v>0.28198855643699017</v>
      </c>
      <c r="N96" s="164">
        <f t="shared" si="85"/>
        <v>0.28313732463028662</v>
      </c>
      <c r="O96" s="172">
        <f t="shared" si="85"/>
        <v>3.6386328993727401E-2</v>
      </c>
      <c r="P96" s="172">
        <f t="shared" ref="P96:AH96" si="86">P95/O95-1</f>
        <v>3.6376679729843042E-2</v>
      </c>
      <c r="Q96" s="172">
        <f t="shared" si="86"/>
        <v>3.636491588810653E-2</v>
      </c>
      <c r="R96" s="172">
        <f t="shared" si="86"/>
        <v>3.6359128149356712E-2</v>
      </c>
      <c r="S96" s="172">
        <f t="shared" si="86"/>
        <v>3.6356765926673917E-2</v>
      </c>
      <c r="T96" s="172">
        <f t="shared" si="86"/>
        <v>3.6352418082335802E-2</v>
      </c>
      <c r="U96" s="172">
        <f t="shared" si="86"/>
        <v>3.6346672329366836E-2</v>
      </c>
      <c r="V96" s="172">
        <f t="shared" si="86"/>
        <v>3.6339838393278701E-2</v>
      </c>
      <c r="W96" s="172">
        <f t="shared" si="86"/>
        <v>3.6339795517135176E-2</v>
      </c>
      <c r="X96" s="185">
        <f t="shared" si="86"/>
        <v>3.6330026810232452E-2</v>
      </c>
      <c r="Y96" s="172">
        <f t="shared" si="86"/>
        <v>4.1392361528767019E-2</v>
      </c>
      <c r="Z96" s="172">
        <f t="shared" si="86"/>
        <v>4.138643872715142E-2</v>
      </c>
      <c r="AA96" s="172">
        <f t="shared" si="86"/>
        <v>4.1385815192492181E-2</v>
      </c>
      <c r="AB96" s="172">
        <f t="shared" si="86"/>
        <v>4.1379530584107815E-2</v>
      </c>
      <c r="AC96" s="172">
        <f t="shared" si="86"/>
        <v>4.137188242345502E-2</v>
      </c>
      <c r="AD96" s="172">
        <f t="shared" si="86"/>
        <v>4.1372155787622988E-2</v>
      </c>
      <c r="AE96" s="172">
        <f t="shared" si="86"/>
        <v>4.1367661176510584E-2</v>
      </c>
      <c r="AF96" s="172">
        <f t="shared" si="86"/>
        <v>4.1364558991102918E-2</v>
      </c>
      <c r="AG96" s="172">
        <f t="shared" si="86"/>
        <v>4.136521729879461E-2</v>
      </c>
      <c r="AH96" s="185">
        <f t="shared" si="86"/>
        <v>4.1365453909675498E-2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964.04849999999988</v>
      </c>
      <c r="D102" s="331">
        <f>D31*Inputs!$C$48</f>
        <v>973.94024738739222</v>
      </c>
      <c r="E102" s="331">
        <f>E31*Inputs!$C$48</f>
        <v>1008.9506755172451</v>
      </c>
      <c r="F102" s="331">
        <f>F31*Inputs!$C$48</f>
        <v>1030.5376882662881</v>
      </c>
      <c r="G102" s="331">
        <f>G31*Inputs!$C$48</f>
        <v>1045.7095742208069</v>
      </c>
      <c r="H102" s="402">
        <f>H31*Inputs!$C$48</f>
        <v>1209.3530340000002</v>
      </c>
      <c r="I102" s="14">
        <f>I31*Inputs!$C$48</f>
        <v>1232.1893325630647</v>
      </c>
      <c r="J102" s="14">
        <f>J31*Inputs!$C$48</f>
        <v>1264.9420035532639</v>
      </c>
      <c r="K102" s="14">
        <f>K31*Inputs!$C$48</f>
        <v>1267.1986113421788</v>
      </c>
      <c r="L102" s="14">
        <f>L31*Inputs!$C$48</f>
        <v>1268.1299744548978</v>
      </c>
      <c r="M102" s="14">
        <f>M31*Inputs!$C$48</f>
        <v>1269.5214254333234</v>
      </c>
      <c r="N102" s="182">
        <f>N31*Inputs!$C$48</f>
        <v>1270.7677440000004</v>
      </c>
      <c r="O102" s="14">
        <f>O31*Inputs!$C$48</f>
        <v>1270.6277850292984</v>
      </c>
      <c r="P102" s="14">
        <f>P31*Inputs!$C$48</f>
        <v>1272.7436685210921</v>
      </c>
      <c r="Q102" s="14">
        <f>Q31*Inputs!$C$48</f>
        <v>1280.1256258641295</v>
      </c>
      <c r="R102" s="14">
        <f>R31*Inputs!$C$48</f>
        <v>1285.4084342782032</v>
      </c>
      <c r="S102" s="14">
        <f>S31*Inputs!$C$48</f>
        <v>1285.4477209235608</v>
      </c>
      <c r="T102" s="14">
        <f>T31*Inputs!$C$48</f>
        <v>1283.6315806007517</v>
      </c>
      <c r="U102" s="14">
        <f>U31*Inputs!$C$48</f>
        <v>1282.1322358205509</v>
      </c>
      <c r="V102" s="14">
        <f>V31*Inputs!$C$48</f>
        <v>1282.49075164755</v>
      </c>
      <c r="W102" s="14">
        <f>W31*Inputs!$C$48</f>
        <v>1277.8290008008898</v>
      </c>
      <c r="X102" s="187">
        <f>X31*Inputs!$C$48</f>
        <v>1278.7985862009091</v>
      </c>
      <c r="Y102" s="158">
        <f>Y31*Inputs!$C$48</f>
        <v>1275.8596607765667</v>
      </c>
      <c r="Z102" s="158">
        <f>Z31*Inputs!$C$48</f>
        <v>1274.9647807011495</v>
      </c>
      <c r="AA102" s="158">
        <f>AA31*Inputs!$C$48</f>
        <v>1271.0977362182809</v>
      </c>
      <c r="AB102" s="158">
        <f>AB31*Inputs!$C$48</f>
        <v>1270.2475865087242</v>
      </c>
      <c r="AC102" s="158">
        <f>AC31*Inputs!$C$48</f>
        <v>1274.0794680104971</v>
      </c>
      <c r="AD102" s="158">
        <f>AD31*Inputs!$C$48</f>
        <v>1274.9462504394339</v>
      </c>
      <c r="AE102" s="158">
        <f>AE31*Inputs!$C$48</f>
        <v>1277.9392130146664</v>
      </c>
      <c r="AF102" s="158">
        <f>AF31*Inputs!$C$48</f>
        <v>1281.9516900127303</v>
      </c>
      <c r="AG102" s="158">
        <f>AG31*Inputs!$C$48</f>
        <v>1283.3038617026168</v>
      </c>
      <c r="AH102" s="187">
        <f>AH31*Inputs!$C$48</f>
        <v>1282.5703375457176</v>
      </c>
    </row>
    <row r="103" spans="1:36">
      <c r="A103" s="10" t="s">
        <v>59</v>
      </c>
      <c r="B103" s="35">
        <v>0</v>
      </c>
      <c r="C103" s="331">
        <f>C32*Inputs!$C$53</f>
        <v>4292.68</v>
      </c>
      <c r="D103" s="331">
        <f>D32*Inputs!$C$53</f>
        <v>4252.6024417902127</v>
      </c>
      <c r="E103" s="331">
        <f>E32*Inputs!$C$53</f>
        <v>4320.4706444009662</v>
      </c>
      <c r="F103" s="331">
        <f>F32*Inputs!$C$53</f>
        <v>4328.2018355949231</v>
      </c>
      <c r="G103" s="331">
        <f>G32*Inputs!$C$53</f>
        <v>4308.034312739981</v>
      </c>
      <c r="H103" s="402">
        <f>H32*Inputs!$C$53</f>
        <v>3940.0266602878796</v>
      </c>
      <c r="I103" s="14">
        <f>I32*Inputs!$C$53</f>
        <v>4083.3536523052298</v>
      </c>
      <c r="J103" s="14">
        <f>J32*Inputs!$C$53</f>
        <v>4263.8242226364946</v>
      </c>
      <c r="K103" s="14">
        <f>K32*Inputs!$C$53</f>
        <v>4344.6941305840019</v>
      </c>
      <c r="L103" s="14">
        <f>L32*Inputs!$C$53</f>
        <v>4422.4395906031878</v>
      </c>
      <c r="M103" s="14">
        <f>M32*Inputs!$C$53</f>
        <v>4503.1939089327007</v>
      </c>
      <c r="N103" s="182">
        <f>N32*Inputs!$C$53</f>
        <v>4584.892788572507</v>
      </c>
      <c r="O103" s="14">
        <f>O32*Inputs!$C$53</f>
        <v>4584.3878207068219</v>
      </c>
      <c r="P103" s="14">
        <f>P32*Inputs!$C$53</f>
        <v>4592.0218663526848</v>
      </c>
      <c r="Q103" s="14">
        <f>Q32*Inputs!$C$53</f>
        <v>4618.6557521649775</v>
      </c>
      <c r="R103" s="14">
        <f>R32*Inputs!$C$53</f>
        <v>4637.7159701438013</v>
      </c>
      <c r="S103" s="14">
        <f>S32*Inputs!$C$53</f>
        <v>4637.8577152092066</v>
      </c>
      <c r="T103" s="14">
        <f>T32*Inputs!$C$53</f>
        <v>4631.3051341349701</v>
      </c>
      <c r="U103" s="14">
        <f>U32*Inputs!$C$53</f>
        <v>4625.8955420967832</v>
      </c>
      <c r="V103" s="14">
        <f>V32*Inputs!$C$53</f>
        <v>4627.1890566965667</v>
      </c>
      <c r="W103" s="14">
        <f>W32*Inputs!$C$53</f>
        <v>4610.369596224823</v>
      </c>
      <c r="X103" s="187">
        <f>X32*Inputs!$C$53</f>
        <v>4613.8678319405499</v>
      </c>
      <c r="Y103" s="158">
        <f>Y32*Inputs!$C$53</f>
        <v>4603.2642751160702</v>
      </c>
      <c r="Z103" s="158">
        <f>Z32*Inputs!$C$53</f>
        <v>4600.0355740227433</v>
      </c>
      <c r="AA103" s="158">
        <f>AA32*Inputs!$C$53</f>
        <v>4586.0833908277355</v>
      </c>
      <c r="AB103" s="158">
        <f>AB32*Inputs!$C$53</f>
        <v>4583.0160755838951</v>
      </c>
      <c r="AC103" s="158">
        <f>AC32*Inputs!$C$53</f>
        <v>4596.841391773336</v>
      </c>
      <c r="AD103" s="158">
        <f>AD32*Inputs!$C$53</f>
        <v>4599.9687173813845</v>
      </c>
      <c r="AE103" s="158">
        <f>AE32*Inputs!$C$53</f>
        <v>4610.7672386630602</v>
      </c>
      <c r="AF103" s="158">
        <f>AF32*Inputs!$C$53</f>
        <v>4625.2441381119152</v>
      </c>
      <c r="AG103" s="158">
        <f>AG32*Inputs!$C$53</f>
        <v>4630.1227339522202</v>
      </c>
      <c r="AH103" s="187">
        <f>AH32*Inputs!$C$53</f>
        <v>4627.4762002853968</v>
      </c>
    </row>
    <row r="104" spans="1:36">
      <c r="A104" s="10" t="s">
        <v>121</v>
      </c>
      <c r="B104" s="35">
        <v>1</v>
      </c>
      <c r="C104" s="331">
        <f>C34*Inputs!$C$46</f>
        <v>28.77</v>
      </c>
      <c r="D104" s="331">
        <f>D34*Inputs!$C$46</f>
        <v>33.677933208658786</v>
      </c>
      <c r="E104" s="331">
        <f>E34*Inputs!$C$46</f>
        <v>40.431765057949946</v>
      </c>
      <c r="F104" s="331">
        <f>F34*Inputs!$C$46</f>
        <v>47.865450138249635</v>
      </c>
      <c r="G104" s="331">
        <f>G34*Inputs!$C$46</f>
        <v>56.303982989126922</v>
      </c>
      <c r="H104" s="402">
        <f>H34*Inputs!$C$46</f>
        <v>18.637833272172184</v>
      </c>
      <c r="I104" s="14">
        <f>I34*Inputs!$C$46</f>
        <v>22.464319450712505</v>
      </c>
      <c r="J104" s="14">
        <f>J34*Inputs!$C$46</f>
        <v>27.282818826518056</v>
      </c>
      <c r="K104" s="14">
        <f>K34*Inputs!$C$46</f>
        <v>32.336715817801554</v>
      </c>
      <c r="L104" s="14">
        <f>L34*Inputs!$C$46</f>
        <v>38.28933988037727</v>
      </c>
      <c r="M104" s="14">
        <f>M34*Inputs!$C$46</f>
        <v>45.357367495214852</v>
      </c>
      <c r="N104" s="182">
        <f>N34*Inputs!$C$46</f>
        <v>53.727794554695627</v>
      </c>
      <c r="O104" s="14">
        <f>O34*Inputs!$C$46</f>
        <v>56.133734923896299</v>
      </c>
      <c r="P104" s="14">
        <f>P34*Inputs!$C$46</f>
        <v>58.755577102356781</v>
      </c>
      <c r="Q104" s="14">
        <f>Q34*Inputs!$C$46</f>
        <v>61.758053735191844</v>
      </c>
      <c r="R104" s="14">
        <f>R34*Inputs!$C$46</f>
        <v>64.810567590235934</v>
      </c>
      <c r="S104" s="14">
        <f>S34*Inputs!$C$46</f>
        <v>67.741390289960421</v>
      </c>
      <c r="T104" s="14">
        <f>T34*Inputs!$C$46</f>
        <v>70.707741295345471</v>
      </c>
      <c r="U104" s="14">
        <f>U34*Inputs!$C$46</f>
        <v>73.827592130592407</v>
      </c>
      <c r="V104" s="14">
        <f>V34*Inputs!$C$46</f>
        <v>77.202690944407522</v>
      </c>
      <c r="W104" s="14">
        <f>W34*Inputs!$C$46</f>
        <v>80.422362821961343</v>
      </c>
      <c r="X104" s="187">
        <f>X34*Inputs!$C$46</f>
        <v>84.152361302201086</v>
      </c>
      <c r="Y104" s="158">
        <f>Y34*Inputs!$C$46</f>
        <v>88.209475095422732</v>
      </c>
      <c r="Z104" s="158">
        <f>Z34*Inputs!$C$46</f>
        <v>92.617473653751205</v>
      </c>
      <c r="AA104" s="158">
        <f>AA34*Inputs!$C$46</f>
        <v>97.026631464018863</v>
      </c>
      <c r="AB104" s="158">
        <f>AB34*Inputs!$C$46</f>
        <v>101.89506289422017</v>
      </c>
      <c r="AC104" s="158">
        <f>AC34*Inputs!$C$46</f>
        <v>107.41134964674617</v>
      </c>
      <c r="AD104" s="158">
        <f>AD34*Inputs!$C$46</f>
        <v>112.97210813557274</v>
      </c>
      <c r="AE104" s="158">
        <f>AE34*Inputs!$C$46</f>
        <v>119.02898994561495</v>
      </c>
      <c r="AF104" s="158">
        <f>AF34*Inputs!$C$46</f>
        <v>125.52077347639322</v>
      </c>
      <c r="AG104" s="158">
        <f>AG34*Inputs!$C$46</f>
        <v>132.10333210394595</v>
      </c>
      <c r="AH104" s="187">
        <f>AH34*Inputs!$C$46</f>
        <v>138.81789723502385</v>
      </c>
    </row>
    <row r="105" spans="1:36">
      <c r="A105" s="10" t="s">
        <v>50</v>
      </c>
      <c r="B105" s="35">
        <v>1</v>
      </c>
      <c r="C105" s="331">
        <f>C35*Inputs!$C$49</f>
        <v>0</v>
      </c>
      <c r="D105" s="331">
        <f>D35*Inputs!$C$49</f>
        <v>0</v>
      </c>
      <c r="E105" s="331">
        <f>E35*Inputs!$C$49</f>
        <v>1.00297075E-3</v>
      </c>
      <c r="F105" s="331">
        <f>F35*Inputs!$C$49</f>
        <v>9.3954974999999996E-4</v>
      </c>
      <c r="G105" s="331">
        <f>G35*Inputs!$C$49</f>
        <v>1.0272635E-3</v>
      </c>
      <c r="H105" s="402">
        <f>H35*Inputs!$C$49</f>
        <v>1.0272674999999998E-3</v>
      </c>
      <c r="I105" s="14">
        <f>I35*Inputs!$C$49</f>
        <v>1.2124740593901209E-3</v>
      </c>
      <c r="J105" s="14">
        <f>J35*Inputs!$C$49</f>
        <v>1.4419808467270616E-3</v>
      </c>
      <c r="K105" s="14">
        <f>K35*Inputs!$C$49</f>
        <v>1.673621422192376E-3</v>
      </c>
      <c r="L105" s="14">
        <f>L35*Inputs!$C$49</f>
        <v>1.9405742243924231E-3</v>
      </c>
      <c r="M105" s="14">
        <f>M35*Inputs!$C$49</f>
        <v>2.2510818347668236E-3</v>
      </c>
      <c r="N105" s="182">
        <f>N35*Inputs!$C$49</f>
        <v>2.6111602155367759E-3</v>
      </c>
      <c r="O105" s="14">
        <f>O35*Inputs!$C$49</f>
        <v>2.7280884428180041E-3</v>
      </c>
      <c r="P105" s="14">
        <f>P35*Inputs!$C$49</f>
        <v>2.855509455434536E-3</v>
      </c>
      <c r="Q105" s="14">
        <f>Q35*Inputs!$C$49</f>
        <v>3.0014292274392579E-3</v>
      </c>
      <c r="R105" s="14">
        <f>R35*Inputs!$C$49</f>
        <v>3.1497807985716208E-3</v>
      </c>
      <c r="S105" s="14">
        <f>S35*Inputs!$C$49</f>
        <v>3.292218203563593E-3</v>
      </c>
      <c r="T105" s="14">
        <f>T35*Inputs!$C$49</f>
        <v>3.436382277201379E-3</v>
      </c>
      <c r="U105" s="14">
        <f>U35*Inputs!$C$49</f>
        <v>3.5880064122868565E-3</v>
      </c>
      <c r="V105" s="14">
        <f>V35*Inputs!$C$49</f>
        <v>3.7520355487735166E-3</v>
      </c>
      <c r="W105" s="14">
        <f>W35*Inputs!$C$49</f>
        <v>3.9085109668216666E-3</v>
      </c>
      <c r="X105" s="187">
        <f>X35*Inputs!$C$49</f>
        <v>4.0897881570793031E-3</v>
      </c>
      <c r="Y105" s="158">
        <f>Y35*Inputs!$C$49</f>
        <v>4.2869630870121019E-3</v>
      </c>
      <c r="Z105" s="158">
        <f>Z35*Inputs!$C$49</f>
        <v>4.5011909473039197E-3</v>
      </c>
      <c r="AA105" s="158">
        <f>AA35*Inputs!$C$49</f>
        <v>4.7154751470112749E-3</v>
      </c>
      <c r="AB105" s="158">
        <f>AB35*Inputs!$C$49</f>
        <v>4.9520799540384696E-3</v>
      </c>
      <c r="AC105" s="158">
        <f>AC35*Inputs!$C$49</f>
        <v>5.220170401916897E-3</v>
      </c>
      <c r="AD105" s="158">
        <f>AD35*Inputs!$C$49</f>
        <v>5.490422167405814E-3</v>
      </c>
      <c r="AE105" s="158">
        <f>AE35*Inputs!$C$49</f>
        <v>5.7847854284268892E-3</v>
      </c>
      <c r="AF105" s="158">
        <f>AF35*Inputs!$C$49</f>
        <v>6.1002848272750715E-3</v>
      </c>
      <c r="AG105" s="158">
        <f>AG35*Inputs!$C$49</f>
        <v>6.4201958779177021E-3</v>
      </c>
      <c r="AH105" s="187">
        <f>AH35*Inputs!$C$49</f>
        <v>6.7465224185884222E-3</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2.6999999999999997</v>
      </c>
      <c r="D107" s="331">
        <f>D37*Inputs!$C$52</f>
        <v>3.5999999999999996</v>
      </c>
      <c r="E107" s="331">
        <f>E37*Inputs!$C$52</f>
        <v>8.8337972385543289</v>
      </c>
      <c r="F107" s="331">
        <f>F37*Inputs!$C$52</f>
        <v>9.1470010985279337</v>
      </c>
      <c r="G107" s="331">
        <f>G37*Inputs!$C$52</f>
        <v>7.4398761617429505</v>
      </c>
      <c r="H107" s="402">
        <f>H37*Inputs!$C$52</f>
        <v>8.0055386766791745</v>
      </c>
      <c r="I107" s="14">
        <f>I37*Inputs!$C$52</f>
        <v>9.2765365360588223</v>
      </c>
      <c r="J107" s="14">
        <f>J37*Inputs!$C$52</f>
        <v>10.831267644829675</v>
      </c>
      <c r="K107" s="14">
        <f>K37*Inputs!$C$52</f>
        <v>12.341939519879752</v>
      </c>
      <c r="L107" s="14">
        <f>L37*Inputs!$C$52</f>
        <v>14.04956372014313</v>
      </c>
      <c r="M107" s="14">
        <f>M37*Inputs!$C$52</f>
        <v>16.000378459602992</v>
      </c>
      <c r="N107" s="182">
        <f>N37*Inputs!$C$52</f>
        <v>18.221280087083894</v>
      </c>
      <c r="O107" s="14">
        <f>O37*Inputs!$C$52</f>
        <v>19.037232308897106</v>
      </c>
      <c r="P107" s="14">
        <f>P37*Inputs!$C$52</f>
        <v>19.926405614330758</v>
      </c>
      <c r="Q107" s="14">
        <f>Q37*Inputs!$C$52</f>
        <v>20.944667542542188</v>
      </c>
      <c r="R107" s="14">
        <f>R37*Inputs!$C$52</f>
        <v>21.979899127673416</v>
      </c>
      <c r="S107" s="14">
        <f>S37*Inputs!$C$52</f>
        <v>22.973860293209402</v>
      </c>
      <c r="T107" s="14">
        <f>T37*Inputs!$C$52</f>
        <v>23.979870552028043</v>
      </c>
      <c r="U107" s="14">
        <f>U37*Inputs!$C$52</f>
        <v>25.037938845545753</v>
      </c>
      <c r="V107" s="14">
        <f>V37*Inputs!$C$52</f>
        <v>26.182572108790968</v>
      </c>
      <c r="W107" s="14">
        <f>W37*Inputs!$C$52</f>
        <v>27.274493777187242</v>
      </c>
      <c r="X107" s="187">
        <f>X37*Inputs!$C$52</f>
        <v>28.539487950057225</v>
      </c>
      <c r="Y107" s="158">
        <f>Y37*Inputs!$C$52</f>
        <v>29.915420228390477</v>
      </c>
      <c r="Z107" s="158">
        <f>Z37*Inputs!$C$52</f>
        <v>31.410351800037233</v>
      </c>
      <c r="AA107" s="158">
        <f>AA37*Inputs!$C$52</f>
        <v>32.905676521159982</v>
      </c>
      <c r="AB107" s="158">
        <f>AB37*Inputs!$C$52</f>
        <v>34.556759604128402</v>
      </c>
      <c r="AC107" s="158">
        <f>AC37*Inputs!$C$52</f>
        <v>36.427556773294214</v>
      </c>
      <c r="AD107" s="158">
        <f>AD37*Inputs!$C$52</f>
        <v>38.313436116776082</v>
      </c>
      <c r="AE107" s="158">
        <f>AE37*Inputs!$C$52</f>
        <v>40.367571054378821</v>
      </c>
      <c r="AF107" s="158">
        <f>AF37*Inputs!$C$52</f>
        <v>42.569198851674862</v>
      </c>
      <c r="AG107" s="158">
        <f>AG37*Inputs!$C$52</f>
        <v>44.801612175847076</v>
      </c>
      <c r="AH107" s="187">
        <f>AH37*Inputs!$C$52</f>
        <v>47.078794273686306</v>
      </c>
    </row>
    <row r="108" spans="1:36">
      <c r="A108" s="9" t="s">
        <v>347</v>
      </c>
      <c r="B108" s="35">
        <v>1</v>
      </c>
      <c r="C108" s="331">
        <f>C38*Inputs!$C$54</f>
        <v>264.97310999999996</v>
      </c>
      <c r="D108" s="331">
        <f>D38*Inputs!$C$54</f>
        <v>440.59090000000003</v>
      </c>
      <c r="E108" s="331">
        <f>E38*Inputs!$C$54</f>
        <v>676.29190162905491</v>
      </c>
      <c r="F108" s="331">
        <f>F38*Inputs!$C$54</f>
        <v>955.27025015572735</v>
      </c>
      <c r="G108" s="331">
        <f>G38*Inputs!$C$54</f>
        <v>1094.4854757003723</v>
      </c>
      <c r="H108" s="402">
        <f>H38*Inputs!$C$54</f>
        <v>1249.2657663785776</v>
      </c>
      <c r="I108" s="14">
        <f>I38*Inputs!$C$54</f>
        <v>1662.2593089401371</v>
      </c>
      <c r="J108" s="14">
        <f>J38*Inputs!$C$54</f>
        <v>2228.6447010239963</v>
      </c>
      <c r="K108" s="14">
        <f>K38*Inputs!$C$54</f>
        <v>2916.0408169751054</v>
      </c>
      <c r="L108" s="14">
        <f>L38*Inputs!$C$54</f>
        <v>3811.7258583908388</v>
      </c>
      <c r="M108" s="14">
        <f>M38*Inputs!$C$54</f>
        <v>4984.6849032480986</v>
      </c>
      <c r="N108" s="182">
        <f>N38*Inputs!$C$54</f>
        <v>6518.3094512002963</v>
      </c>
      <c r="O108" s="14">
        <f>O38*Inputs!$C$54</f>
        <v>6810.2005287620213</v>
      </c>
      <c r="P108" s="14">
        <f>P38*Inputs!$C$54</f>
        <v>7128.285028471324</v>
      </c>
      <c r="Q108" s="14">
        <f>Q38*Inputs!$C$54</f>
        <v>7492.548478609654</v>
      </c>
      <c r="R108" s="14">
        <f>R38*Inputs!$C$54</f>
        <v>7862.882494293066</v>
      </c>
      <c r="S108" s="14">
        <f>S38*Inputs!$C$54</f>
        <v>8218.4528180285452</v>
      </c>
      <c r="T108" s="14">
        <f>T38*Inputs!$C$54</f>
        <v>8578.3334711287771</v>
      </c>
      <c r="U108" s="14">
        <f>U38*Inputs!$C$54</f>
        <v>8956.8368761963866</v>
      </c>
      <c r="V108" s="14">
        <f>V38*Inputs!$C$54</f>
        <v>9366.3072197897709</v>
      </c>
      <c r="W108" s="14">
        <f>W38*Inputs!$C$54</f>
        <v>9756.9210129514831</v>
      </c>
      <c r="X108" s="187">
        <f>X38*Inputs!$C$54</f>
        <v>10209.448136914449</v>
      </c>
      <c r="Y108" s="158">
        <f>Y38*Inputs!$C$54</f>
        <v>10701.6612158643</v>
      </c>
      <c r="Z108" s="158">
        <f>Z38*Inputs!$C$54</f>
        <v>11236.443983364268</v>
      </c>
      <c r="AA108" s="158">
        <f>AA38*Inputs!$C$54</f>
        <v>11771.367392462016</v>
      </c>
      <c r="AB108" s="158">
        <f>AB38*Inputs!$C$54</f>
        <v>12362.010333736971</v>
      </c>
      <c r="AC108" s="158">
        <f>AC38*Inputs!$C$54</f>
        <v>13031.251726809913</v>
      </c>
      <c r="AD108" s="158">
        <f>AD38*Inputs!$C$54</f>
        <v>13705.888475144347</v>
      </c>
      <c r="AE108" s="158">
        <f>AE38*Inputs!$C$54</f>
        <v>14440.715398051252</v>
      </c>
      <c r="AF108" s="158">
        <f>AF38*Inputs!$C$54</f>
        <v>15228.305030094323</v>
      </c>
      <c r="AG108" s="158">
        <f>AG38*Inputs!$C$54</f>
        <v>16026.907587126081</v>
      </c>
      <c r="AH108" s="187">
        <f>AH38*Inputs!$C$54</f>
        <v>16841.525304405524</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2.6348945331800343E-2</v>
      </c>
      <c r="J109" s="14">
        <f>J39*Inputs!$C$55</f>
        <v>3.0415626437957151E-2</v>
      </c>
      <c r="K109" s="14">
        <f>K39*Inputs!$C$55</f>
        <v>3.4264231288215971E-2</v>
      </c>
      <c r="L109" s="14">
        <f>L39*Inputs!$C$55</f>
        <v>3.856208596407476E-2</v>
      </c>
      <c r="M109" s="14">
        <f>M39*Inputs!$C$55</f>
        <v>4.3417822251348187E-2</v>
      </c>
      <c r="N109" s="182">
        <f>N39*Inputs!$C$55</f>
        <v>4.8882877865497401E-2</v>
      </c>
      <c r="O109" s="14">
        <f>O39*Inputs!$C$55</f>
        <v>5.1071861988037121E-2</v>
      </c>
      <c r="P109" s="14">
        <f>P39*Inputs!$C$55</f>
        <v>5.345727892268947E-2</v>
      </c>
      <c r="Q109" s="14">
        <f>Q39*Inputs!$C$55</f>
        <v>5.6189006509003714E-2</v>
      </c>
      <c r="R109" s="14">
        <f>R39*Inputs!$C$55</f>
        <v>5.8966259199079336E-2</v>
      </c>
      <c r="S109" s="14">
        <f>S39*Inputs!$C$55</f>
        <v>6.1632794262792244E-2</v>
      </c>
      <c r="T109" s="14">
        <f>T39*Inputs!$C$55</f>
        <v>6.4331653858728521E-2</v>
      </c>
      <c r="U109" s="14">
        <f>U39*Inputs!$C$55</f>
        <v>6.7170171400755874E-2</v>
      </c>
      <c r="V109" s="14">
        <f>V39*Inputs!$C$55</f>
        <v>7.0240919874001939E-2</v>
      </c>
      <c r="W109" s="14">
        <f>W39*Inputs!$C$55</f>
        <v>7.3170257072036712E-2</v>
      </c>
      <c r="X109" s="187">
        <f>X39*Inputs!$C$55</f>
        <v>7.6563902049636423E-2</v>
      </c>
      <c r="Y109" s="158">
        <f>Y39*Inputs!$C$55</f>
        <v>8.0255164638845897E-2</v>
      </c>
      <c r="Z109" s="158">
        <f>Z39*Inputs!$C$55</f>
        <v>8.426567087577512E-2</v>
      </c>
      <c r="AA109" s="158">
        <f>AA39*Inputs!$C$55</f>
        <v>8.827723182882341E-2</v>
      </c>
      <c r="AB109" s="158">
        <f>AB39*Inputs!$C$55</f>
        <v>9.2706651293581285E-2</v>
      </c>
      <c r="AC109" s="158">
        <f>AC39*Inputs!$C$55</f>
        <v>9.7725505572445831E-2</v>
      </c>
      <c r="AD109" s="158">
        <f>AD39*Inputs!$C$55</f>
        <v>0.10278482133818258</v>
      </c>
      <c r="AE109" s="158">
        <f>AE39*Inputs!$C$55</f>
        <v>0.10829552238630832</v>
      </c>
      <c r="AF109" s="158">
        <f>AF39*Inputs!$C$55</f>
        <v>0.11420190778876939</v>
      </c>
      <c r="AG109" s="158">
        <f>AG39*Inputs!$C$55</f>
        <v>0.12019088262200149</v>
      </c>
      <c r="AH109" s="187">
        <f>AH39*Inputs!$C$55</f>
        <v>0.12629996024081699</v>
      </c>
    </row>
    <row r="110" spans="1:36">
      <c r="A110" s="9" t="s">
        <v>344</v>
      </c>
      <c r="B110" s="35">
        <v>1</v>
      </c>
      <c r="C110" s="331">
        <f>C40*Inputs!$C$51</f>
        <v>2.7000000000000001E-3</v>
      </c>
      <c r="D110" s="331">
        <f>D40*Inputs!$C$51</f>
        <v>3.004048153992531E-3</v>
      </c>
      <c r="E110" s="331">
        <f>E40*Inputs!$C$51</f>
        <v>3.4278492645858525E-3</v>
      </c>
      <c r="F110" s="331">
        <f>F40*Inputs!$C$51</f>
        <v>3.8570806426114451E-3</v>
      </c>
      <c r="G110" s="331">
        <f>G40*Inputs!$C$51</f>
        <v>4.312342496875783E-3</v>
      </c>
      <c r="H110" s="402">
        <f>H40*Inputs!$C$51</f>
        <v>2.7000000000000001E-3</v>
      </c>
      <c r="I110" s="14">
        <f>I40*Inputs!$C$51</f>
        <v>3.0931370606896054E-3</v>
      </c>
      <c r="J110" s="14">
        <f>J40*Inputs!$C$51</f>
        <v>3.5705300601080133E-3</v>
      </c>
      <c r="K110" s="14">
        <f>K40*Inputs!$C$51</f>
        <v>4.0223228033992664E-3</v>
      </c>
      <c r="L110" s="14">
        <f>L40*Inputs!$C$51</f>
        <v>4.5268535696957324E-3</v>
      </c>
      <c r="M110" s="14">
        <f>M40*Inputs!$C$51</f>
        <v>5.09687478602783E-3</v>
      </c>
      <c r="N110" s="182">
        <f>N40*Inputs!$C$51</f>
        <v>5.7384247929062162E-3</v>
      </c>
      <c r="O110" s="14">
        <f>O40*Inputs!$C$51</f>
        <v>5.9953924942478349E-3</v>
      </c>
      <c r="P110" s="14">
        <f>P40*Inputs!$C$51</f>
        <v>6.2754196996200676E-3</v>
      </c>
      <c r="Q110" s="14">
        <f>Q40*Inputs!$C$51</f>
        <v>6.5961007641004345E-3</v>
      </c>
      <c r="R110" s="14">
        <f>R40*Inputs!$C$51</f>
        <v>6.9221260798919193E-3</v>
      </c>
      <c r="S110" s="14">
        <f>S40*Inputs!$C$51</f>
        <v>7.2351541091103923E-3</v>
      </c>
      <c r="T110" s="14">
        <f>T40*Inputs!$C$51</f>
        <v>7.5519767573289992E-3</v>
      </c>
      <c r="U110" s="14">
        <f>U40*Inputs!$C$51</f>
        <v>7.8851940340017752E-3</v>
      </c>
      <c r="V110" s="14">
        <f>V40*Inputs!$C$51</f>
        <v>8.245673202600225E-3</v>
      </c>
      <c r="W110" s="14">
        <f>W40*Inputs!$C$51</f>
        <v>8.5895519171521328E-3</v>
      </c>
      <c r="X110" s="187">
        <f>X40*Inputs!$C$51</f>
        <v>8.9879363275660144E-3</v>
      </c>
      <c r="Y110" s="158">
        <f>Y40*Inputs!$C$51</f>
        <v>9.4212584576036477E-3</v>
      </c>
      <c r="Z110" s="158">
        <f>Z40*Inputs!$C$51</f>
        <v>9.8920570158518625E-3</v>
      </c>
      <c r="AA110" s="158">
        <f>AA40*Inputs!$C$51</f>
        <v>1.0362979388601012E-2</v>
      </c>
      <c r="AB110" s="158">
        <f>AB40*Inputs!$C$51</f>
        <v>1.0882954717072587E-2</v>
      </c>
      <c r="AC110" s="158">
        <f>AC40*Inputs!$C$51</f>
        <v>1.1472124567200166E-2</v>
      </c>
      <c r="AD110" s="158">
        <f>AD40*Inputs!$C$51</f>
        <v>1.2066044244047523E-2</v>
      </c>
      <c r="AE110" s="158">
        <f>AE40*Inputs!$C$51</f>
        <v>1.2712952627957935E-2</v>
      </c>
      <c r="AF110" s="158">
        <f>AF40*Inputs!$C$51</f>
        <v>1.3406310914333803E-2</v>
      </c>
      <c r="AG110" s="158">
        <f>AG40*Inputs!$C$51</f>
        <v>1.4109364481713222E-2</v>
      </c>
      <c r="AH110" s="187">
        <f>AH40*Inputs!$C$51</f>
        <v>1.4826517071748081E-2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5.1000000000000005</v>
      </c>
      <c r="D112" s="331">
        <f>D42*Inputs!$C$57</f>
        <v>22.950000000000003</v>
      </c>
      <c r="E112" s="331">
        <f>E42*Inputs!$C$57</f>
        <v>19.881799710000003</v>
      </c>
      <c r="F112" s="331">
        <f>F42*Inputs!$C$57</f>
        <v>22.239020730000007</v>
      </c>
      <c r="G112" s="331">
        <f>G42*Inputs!$C$57</f>
        <v>23.858257980000001</v>
      </c>
      <c r="H112" s="402">
        <f>H42*Inputs!$C$57</f>
        <v>23.990784030000004</v>
      </c>
      <c r="I112" s="14">
        <f>I42*Inputs!$C$57</f>
        <v>30.280206540000002</v>
      </c>
      <c r="J112" s="14">
        <f>J42*Inputs!$C$57</f>
        <v>35.764188550020428</v>
      </c>
      <c r="K112" s="14">
        <f>K42*Inputs!$C$57</f>
        <v>42.776978528496691</v>
      </c>
      <c r="L112" s="14">
        <f>L42*Inputs!$C$57</f>
        <v>51.114855076365558</v>
      </c>
      <c r="M112" s="14">
        <f>M42*Inputs!$C$57</f>
        <v>61.104353605397378</v>
      </c>
      <c r="N112" s="182">
        <f>N42*Inputs!$C$57</f>
        <v>73.042963743458174</v>
      </c>
      <c r="O112" s="14">
        <f>O42*Inputs!$C$57</f>
        <v>76.31384088652689</v>
      </c>
      <c r="P112" s="14">
        <f>P42*Inputs!$C$57</f>
        <v>79.878236647968436</v>
      </c>
      <c r="Q112" s="14">
        <f>Q42*Inputs!$C$57</f>
        <v>83.960105141742005</v>
      </c>
      <c r="R112" s="14">
        <f>R42*Inputs!$C$57</f>
        <v>88.109999264297301</v>
      </c>
      <c r="S112" s="14">
        <f>S42*Inputs!$C$57</f>
        <v>92.094454199936749</v>
      </c>
      <c r="T112" s="14">
        <f>T42*Inputs!$C$57</f>
        <v>96.127209885006565</v>
      </c>
      <c r="U112" s="14">
        <f>U42*Inputs!$C$57</f>
        <v>100.36864866604475</v>
      </c>
      <c r="V112" s="14">
        <f>V42*Inputs!$C$57</f>
        <v>104.95709720243717</v>
      </c>
      <c r="W112" s="14">
        <f>W42*Inputs!$C$57</f>
        <v>109.3342427407411</v>
      </c>
      <c r="X112" s="187">
        <f>X42*Inputs!$C$57</f>
        <v>114.40517755229287</v>
      </c>
      <c r="Y112" s="158">
        <f>Y42*Inputs!$C$57</f>
        <v>119.92082579651202</v>
      </c>
      <c r="Z112" s="158">
        <f>Z42*Inputs!$C$57</f>
        <v>125.91350205552781</v>
      </c>
      <c r="AA112" s="158">
        <f>AA42*Inputs!$C$57</f>
        <v>131.9077543181385</v>
      </c>
      <c r="AB112" s="158">
        <f>AB42*Inputs!$C$57</f>
        <v>138.52638929824545</v>
      </c>
      <c r="AC112" s="158">
        <f>AC42*Inputs!$C$57</f>
        <v>146.02578391518048</v>
      </c>
      <c r="AD112" s="158">
        <f>AD42*Inputs!$C$57</f>
        <v>153.58563788000299</v>
      </c>
      <c r="AE112" s="158">
        <f>AE42*Inputs!$C$57</f>
        <v>161.81997174976459</v>
      </c>
      <c r="AF112" s="158">
        <f>AF42*Inputs!$C$57</f>
        <v>170.64555472779463</v>
      </c>
      <c r="AG112" s="158">
        <f>AG42*Inputs!$C$57</f>
        <v>179.59454649558535</v>
      </c>
      <c r="AH112" s="187">
        <f>AH42*Inputs!$C$57</f>
        <v>188.72300117137002</v>
      </c>
      <c r="AI112" s="31" t="s">
        <v>0</v>
      </c>
    </row>
    <row r="113" spans="1:35" s="20" customFormat="1">
      <c r="A113" s="10" t="s">
        <v>383</v>
      </c>
      <c r="B113" s="37"/>
      <c r="C113" s="334">
        <f>SUM(C100:C112)</f>
        <v>5558.2743100000007</v>
      </c>
      <c r="D113" s="334">
        <f t="shared" ref="D113:AH113" si="87">SUM(D100:D112)</f>
        <v>5727.3645264344186</v>
      </c>
      <c r="E113" s="334">
        <f t="shared" si="87"/>
        <v>6074.8880143737861</v>
      </c>
      <c r="F113" s="334">
        <f t="shared" si="87"/>
        <v>6393.2890426141093</v>
      </c>
      <c r="G113" s="334">
        <f t="shared" si="87"/>
        <v>6535.859819398027</v>
      </c>
      <c r="H113" s="404">
        <f t="shared" si="87"/>
        <v>6449.3063439128091</v>
      </c>
      <c r="I113" s="19">
        <f t="shared" si="87"/>
        <v>7039.8540108916559</v>
      </c>
      <c r="J113" s="19">
        <f t="shared" si="87"/>
        <v>7831.3246303724682</v>
      </c>
      <c r="K113" s="19">
        <f t="shared" si="87"/>
        <v>8615.4291529429775</v>
      </c>
      <c r="L113" s="19">
        <f t="shared" si="87"/>
        <v>9605.7942116395679</v>
      </c>
      <c r="M113" s="19">
        <f t="shared" si="87"/>
        <v>10879.913102953207</v>
      </c>
      <c r="N113" s="182">
        <f t="shared" si="87"/>
        <v>12519.019254620916</v>
      </c>
      <c r="O113" s="19">
        <f t="shared" si="87"/>
        <v>12816.760737960387</v>
      </c>
      <c r="P113" s="19">
        <f t="shared" si="87"/>
        <v>13151.673370917833</v>
      </c>
      <c r="Q113" s="19">
        <f t="shared" si="87"/>
        <v>13558.058469594738</v>
      </c>
      <c r="R113" s="19">
        <f t="shared" si="87"/>
        <v>13960.976402863354</v>
      </c>
      <c r="S113" s="19">
        <f t="shared" si="87"/>
        <v>14324.640119110994</v>
      </c>
      <c r="T113" s="19">
        <f t="shared" si="87"/>
        <v>14684.160327609772</v>
      </c>
      <c r="U113" s="19">
        <f t="shared" si="87"/>
        <v>15064.177477127751</v>
      </c>
      <c r="V113" s="19">
        <f t="shared" si="87"/>
        <v>15484.411627018151</v>
      </c>
      <c r="W113" s="19">
        <f t="shared" si="87"/>
        <v>15862.23637763704</v>
      </c>
      <c r="X113" s="182">
        <f t="shared" si="87"/>
        <v>16329.301223486995</v>
      </c>
      <c r="Y113" s="206">
        <f t="shared" si="87"/>
        <v>16818.924836263446</v>
      </c>
      <c r="Z113" s="206">
        <f t="shared" si="87"/>
        <v>17361.484324516321</v>
      </c>
      <c r="AA113" s="206">
        <f t="shared" si="87"/>
        <v>17890.491937497714</v>
      </c>
      <c r="AB113" s="206">
        <f t="shared" si="87"/>
        <v>18490.360749312145</v>
      </c>
      <c r="AC113" s="206">
        <f t="shared" si="87"/>
        <v>19192.151694729509</v>
      </c>
      <c r="AD113" s="206">
        <f t="shared" si="87"/>
        <v>19885.794966385267</v>
      </c>
      <c r="AE113" s="206">
        <f t="shared" si="87"/>
        <v>20650.76517573918</v>
      </c>
      <c r="AF113" s="206">
        <f t="shared" si="87"/>
        <v>21474.370093778361</v>
      </c>
      <c r="AG113" s="206">
        <f t="shared" si="87"/>
        <v>22296.974393999277</v>
      </c>
      <c r="AH113" s="182">
        <f t="shared" si="87"/>
        <v>23126.33940791645</v>
      </c>
      <c r="AI113" s="31" t="s">
        <v>0</v>
      </c>
    </row>
    <row r="114" spans="1:35" s="20" customFormat="1">
      <c r="A114" s="10" t="s">
        <v>384</v>
      </c>
      <c r="B114" s="37"/>
      <c r="C114" s="334">
        <f>SUM(C101:C103)</f>
        <v>5256.7285000000002</v>
      </c>
      <c r="D114" s="334">
        <f t="shared" ref="D114:AH114" si="88">SUM(D101:D103)</f>
        <v>5226.5426891776051</v>
      </c>
      <c r="E114" s="334">
        <f t="shared" si="88"/>
        <v>5329.4213199182113</v>
      </c>
      <c r="F114" s="334">
        <f t="shared" si="88"/>
        <v>5358.7395238612116</v>
      </c>
      <c r="G114" s="334">
        <f t="shared" si="88"/>
        <v>5353.7438869607877</v>
      </c>
      <c r="H114" s="404">
        <f t="shared" si="88"/>
        <v>5149.3796942878798</v>
      </c>
      <c r="I114" s="19">
        <f t="shared" si="88"/>
        <v>5315.5429848682943</v>
      </c>
      <c r="J114" s="19">
        <f t="shared" si="88"/>
        <v>5528.7662261897585</v>
      </c>
      <c r="K114" s="19">
        <f t="shared" si="88"/>
        <v>5611.8927419261809</v>
      </c>
      <c r="L114" s="19">
        <f t="shared" si="88"/>
        <v>5690.5695650580856</v>
      </c>
      <c r="M114" s="19">
        <f t="shared" si="88"/>
        <v>5772.7153343660239</v>
      </c>
      <c r="N114" s="182">
        <f t="shared" si="88"/>
        <v>5855.6605325725077</v>
      </c>
      <c r="O114" s="19">
        <f t="shared" si="88"/>
        <v>5855.0156057361201</v>
      </c>
      <c r="P114" s="19">
        <f t="shared" si="88"/>
        <v>5864.7655348737771</v>
      </c>
      <c r="Q114" s="19">
        <f t="shared" si="88"/>
        <v>5898.7813780291071</v>
      </c>
      <c r="R114" s="19">
        <f t="shared" si="88"/>
        <v>5923.1244044220048</v>
      </c>
      <c r="S114" s="19">
        <f t="shared" si="88"/>
        <v>5923.3054361327677</v>
      </c>
      <c r="T114" s="19">
        <f t="shared" si="88"/>
        <v>5914.9367147357216</v>
      </c>
      <c r="U114" s="19">
        <f t="shared" si="88"/>
        <v>5908.0277779173339</v>
      </c>
      <c r="V114" s="19">
        <f t="shared" si="88"/>
        <v>5909.6798083441172</v>
      </c>
      <c r="W114" s="19">
        <f t="shared" si="88"/>
        <v>5888.1985970257128</v>
      </c>
      <c r="X114" s="182">
        <f t="shared" si="88"/>
        <v>5892.666418141459</v>
      </c>
      <c r="Y114" s="206">
        <f t="shared" si="88"/>
        <v>5879.1239358926368</v>
      </c>
      <c r="Z114" s="206">
        <f t="shared" si="88"/>
        <v>5875.000354723893</v>
      </c>
      <c r="AA114" s="206">
        <f t="shared" si="88"/>
        <v>5857.1811270460166</v>
      </c>
      <c r="AB114" s="206">
        <f t="shared" si="88"/>
        <v>5853.2636620926196</v>
      </c>
      <c r="AC114" s="206">
        <f t="shared" si="88"/>
        <v>5870.9208597838333</v>
      </c>
      <c r="AD114" s="206">
        <f t="shared" si="88"/>
        <v>5874.9149678208187</v>
      </c>
      <c r="AE114" s="206">
        <f t="shared" si="88"/>
        <v>5888.7064516777264</v>
      </c>
      <c r="AF114" s="206">
        <f t="shared" si="88"/>
        <v>5907.1958281246452</v>
      </c>
      <c r="AG114" s="206">
        <f t="shared" si="88"/>
        <v>5913.426595654837</v>
      </c>
      <c r="AH114" s="182">
        <f t="shared" si="88"/>
        <v>5910.0465378311146</v>
      </c>
      <c r="AI114" s="31"/>
    </row>
    <row r="115" spans="1:35" s="20" customFormat="1">
      <c r="A115" s="10" t="s">
        <v>385</v>
      </c>
      <c r="B115" s="37"/>
      <c r="C115" s="334">
        <f>SUMPRODUCT($B104:$B112,C104:C112)</f>
        <v>301.54580999999996</v>
      </c>
      <c r="D115" s="334">
        <f t="shared" ref="D115:AH115" si="89">SUMPRODUCT($B104:$B112,D104:D112)</f>
        <v>500.82183725681278</v>
      </c>
      <c r="E115" s="334">
        <f t="shared" si="89"/>
        <v>745.4666944555737</v>
      </c>
      <c r="F115" s="334">
        <f t="shared" si="89"/>
        <v>1034.5495187528977</v>
      </c>
      <c r="G115" s="334">
        <f t="shared" si="89"/>
        <v>1182.1159324372388</v>
      </c>
      <c r="H115" s="404">
        <f t="shared" si="89"/>
        <v>1299.9266496249288</v>
      </c>
      <c r="I115" s="19">
        <f t="shared" si="89"/>
        <v>1724.3110260233605</v>
      </c>
      <c r="J115" s="19">
        <f t="shared" si="89"/>
        <v>2302.5584041827092</v>
      </c>
      <c r="K115" s="19">
        <f t="shared" si="89"/>
        <v>3003.536411016797</v>
      </c>
      <c r="L115" s="19">
        <f t="shared" si="89"/>
        <v>3915.2246465814828</v>
      </c>
      <c r="M115" s="19">
        <f t="shared" si="89"/>
        <v>5107.1977685871861</v>
      </c>
      <c r="N115" s="182">
        <f t="shared" si="89"/>
        <v>6663.3587220484078</v>
      </c>
      <c r="O115" s="19">
        <f t="shared" si="89"/>
        <v>6961.7451322242678</v>
      </c>
      <c r="P115" s="19">
        <f t="shared" si="89"/>
        <v>7286.9078360440581</v>
      </c>
      <c r="Q115" s="19">
        <f t="shared" si="89"/>
        <v>7659.2770915656311</v>
      </c>
      <c r="R115" s="19">
        <f t="shared" si="89"/>
        <v>8037.8519984413506</v>
      </c>
      <c r="S115" s="19">
        <f t="shared" si="89"/>
        <v>8401.3346829782258</v>
      </c>
      <c r="T115" s="19">
        <f t="shared" si="89"/>
        <v>8769.2236128740496</v>
      </c>
      <c r="U115" s="19">
        <f t="shared" si="89"/>
        <v>9156.1496992104167</v>
      </c>
      <c r="V115" s="19">
        <f t="shared" si="89"/>
        <v>9574.731818674034</v>
      </c>
      <c r="W115" s="19">
        <f t="shared" si="89"/>
        <v>9974.0377806113283</v>
      </c>
      <c r="X115" s="182">
        <f t="shared" si="89"/>
        <v>10436.634805345535</v>
      </c>
      <c r="Y115" s="206">
        <f t="shared" si="89"/>
        <v>10939.80090037081</v>
      </c>
      <c r="Z115" s="206">
        <f t="shared" si="89"/>
        <v>11486.483969792424</v>
      </c>
      <c r="AA115" s="206">
        <f t="shared" si="89"/>
        <v>12033.3108104517</v>
      </c>
      <c r="AB115" s="206">
        <f t="shared" si="89"/>
        <v>12637.09708721953</v>
      </c>
      <c r="AC115" s="206">
        <f t="shared" si="89"/>
        <v>13321.230834945674</v>
      </c>
      <c r="AD115" s="206">
        <f t="shared" si="89"/>
        <v>14010.879998564449</v>
      </c>
      <c r="AE115" s="206">
        <f t="shared" si="89"/>
        <v>14762.058724061453</v>
      </c>
      <c r="AF115" s="206">
        <f t="shared" si="89"/>
        <v>15567.174265653717</v>
      </c>
      <c r="AG115" s="206">
        <f t="shared" si="89"/>
        <v>16383.547798344442</v>
      </c>
      <c r="AH115" s="182">
        <f t="shared" si="89"/>
        <v>17216.292870085334</v>
      </c>
    </row>
    <row r="116" spans="1:35" s="20" customFormat="1">
      <c r="A116" s="10" t="s">
        <v>142</v>
      </c>
      <c r="B116" s="37"/>
      <c r="C116" s="334">
        <f>C47*Inputs!$C$60</f>
        <v>5707.9015069999987</v>
      </c>
      <c r="D116" s="334">
        <f>D47*Inputs!$C$60</f>
        <v>4826.7195561968665</v>
      </c>
      <c r="E116" s="334">
        <f>E47*Inputs!$C$60</f>
        <v>4403.9877720479535</v>
      </c>
      <c r="F116" s="334">
        <f>F47*Inputs!$C$60</f>
        <v>3760.8810342638008</v>
      </c>
      <c r="G116" s="334">
        <f>G47*Inputs!$C$60</f>
        <v>4142.5125303952673</v>
      </c>
      <c r="H116" s="404">
        <f>H47*Inputs!$C$60</f>
        <v>4486.1501336243446</v>
      </c>
      <c r="I116" s="19">
        <f>I47*Inputs!$C$60</f>
        <v>4280.4707392572636</v>
      </c>
      <c r="J116" s="19">
        <f>J47*Inputs!$C$60</f>
        <v>4096.1369706218338</v>
      </c>
      <c r="K116" s="19">
        <f>K47*Inputs!$C$60</f>
        <v>4301.5042742196392</v>
      </c>
      <c r="L116" s="19">
        <f>L47*Inputs!$C$60</f>
        <v>4335.5882734499301</v>
      </c>
      <c r="M116" s="19">
        <f>M47*Inputs!$C$60</f>
        <v>4268.5410505305372</v>
      </c>
      <c r="N116" s="182">
        <f>N47*Inputs!$C$60</f>
        <v>4122.0152912759359</v>
      </c>
      <c r="O116" s="19">
        <f>O47*Inputs!$C$60</f>
        <v>4141.4665052556375</v>
      </c>
      <c r="P116" s="19">
        <f>P47*Inputs!$C$60</f>
        <v>4154.0029530344545</v>
      </c>
      <c r="Q116" s="19">
        <f>Q47*Inputs!$C$60</f>
        <v>4129.4151538095457</v>
      </c>
      <c r="R116" s="19">
        <f>R47*Inputs!$C$60</f>
        <v>4158.4775982892907</v>
      </c>
      <c r="S116" s="19">
        <f>S47*Inputs!$C$60</f>
        <v>4186.983762106569</v>
      </c>
      <c r="T116" s="19">
        <f>T47*Inputs!$C$60</f>
        <v>4175.8737843444596</v>
      </c>
      <c r="U116" s="19">
        <f>U47*Inputs!$C$60</f>
        <v>4168.6172566510168</v>
      </c>
      <c r="V116" s="19">
        <f>V47*Inputs!$C$60</f>
        <v>4160.5666780560086</v>
      </c>
      <c r="W116" s="19">
        <f>W47*Inputs!$C$60</f>
        <v>4149.3663333363002</v>
      </c>
      <c r="X116" s="182">
        <f>X47*Inputs!$C$60</f>
        <v>4149.4011418721502</v>
      </c>
      <c r="Y116" s="206">
        <f>Y47*Inputs!$C$60</f>
        <v>4149.4342247010618</v>
      </c>
      <c r="Z116" s="206">
        <f>Z47*Inputs!$C$60</f>
        <v>4145.2467082438798</v>
      </c>
      <c r="AA116" s="206">
        <f>AA47*Inputs!$C$60</f>
        <v>4136.0711674922013</v>
      </c>
      <c r="AB116" s="206">
        <f>AB47*Inputs!$C$60</f>
        <v>4129.2184701381902</v>
      </c>
      <c r="AC116" s="206">
        <f>AC47*Inputs!$C$60</f>
        <v>4122.0505112278252</v>
      </c>
      <c r="AD116" s="206">
        <f>AD47*Inputs!$C$60</f>
        <v>4108.6748948336199</v>
      </c>
      <c r="AE116" s="206">
        <f>AE47*Inputs!$C$60</f>
        <v>4081.3943206633926</v>
      </c>
      <c r="AF116" s="206">
        <f>AF47*Inputs!$C$60</f>
        <v>4051.1890655029151</v>
      </c>
      <c r="AG116" s="206">
        <f>AG47*Inputs!$C$60</f>
        <v>4027.2257139718217</v>
      </c>
      <c r="AH116" s="182">
        <f>AH47*Inputs!$C$60</f>
        <v>4005.7499757202449</v>
      </c>
      <c r="AI116" s="31"/>
    </row>
    <row r="117" spans="1:35" s="20" customFormat="1">
      <c r="A117" s="10" t="s">
        <v>222</v>
      </c>
      <c r="B117" s="37"/>
      <c r="C117" s="334">
        <f>C48*Inputs!$C$61</f>
        <v>2446.2435029999992</v>
      </c>
      <c r="D117" s="334">
        <f>D48*Inputs!$C$61</f>
        <v>3281.9569597126342</v>
      </c>
      <c r="E117" s="334">
        <f>E48*Inputs!$C$61</f>
        <v>3874.0878111686652</v>
      </c>
      <c r="F117" s="334">
        <f>F48*Inputs!$C$61</f>
        <v>4565.8119589979997</v>
      </c>
      <c r="G117" s="334">
        <f>G48*Inputs!$C$61</f>
        <v>4198.667200207492</v>
      </c>
      <c r="H117" s="404">
        <f>H48*Inputs!$C$61</f>
        <v>4207.1349924356618</v>
      </c>
      <c r="I117" s="19">
        <f>I48*Inputs!$C$61</f>
        <v>4570.0655376699042</v>
      </c>
      <c r="J117" s="19">
        <f>J48*Inputs!$C$61</f>
        <v>4966.8871536980978</v>
      </c>
      <c r="K117" s="19">
        <f>K48*Inputs!$C$61</f>
        <v>4732.543154070243</v>
      </c>
      <c r="L117" s="19">
        <f>L48*Inputs!$C$61</f>
        <v>4628.8700357821399</v>
      </c>
      <c r="M117" s="19">
        <f>M48*Inputs!$C$61</f>
        <v>4590.4665691721284</v>
      </c>
      <c r="N117" s="182">
        <f>N48*Inputs!$C$61</f>
        <v>4579.2365575850581</v>
      </c>
      <c r="O117" s="19">
        <f>O48*Inputs!$C$61</f>
        <v>4631.8631264845471</v>
      </c>
      <c r="P117" s="19">
        <f>P48*Inputs!$C$61</f>
        <v>4706.9901649012563</v>
      </c>
      <c r="Q117" s="19">
        <f>Q48*Inputs!$C$61</f>
        <v>4856.299964065227</v>
      </c>
      <c r="R117" s="19">
        <f>R48*Inputs!$C$61</f>
        <v>4937.7070409521639</v>
      </c>
      <c r="S117" s="19">
        <f>S48*Inputs!$C$61</f>
        <v>4982.5708150889768</v>
      </c>
      <c r="T117" s="19">
        <f>T48*Inputs!$C$61</f>
        <v>5053.4133930846556</v>
      </c>
      <c r="U117" s="19">
        <f>U48*Inputs!$C$61</f>
        <v>5122.064159128121</v>
      </c>
      <c r="V117" s="19">
        <f>V48*Inputs!$C$61</f>
        <v>5204.4193498730137</v>
      </c>
      <c r="W117" s="19">
        <f>W48*Inputs!$C$61</f>
        <v>5252.4523870586609</v>
      </c>
      <c r="X117" s="182">
        <f>X48*Inputs!$C$61</f>
        <v>5329.8456246487667</v>
      </c>
      <c r="Y117" s="206">
        <f>Y48*Inputs!$C$61</f>
        <v>5367.3314774939854</v>
      </c>
      <c r="Z117" s="206">
        <f>Z48*Inputs!$C$61</f>
        <v>5422.4641287471513</v>
      </c>
      <c r="AA117" s="206">
        <f>AA48*Inputs!$C$61</f>
        <v>5458.2573920704335</v>
      </c>
      <c r="AB117" s="206">
        <f>AB48*Inputs!$C$61</f>
        <v>5512.3343841726301</v>
      </c>
      <c r="AC117" s="206">
        <f>AC48*Inputs!$C$61</f>
        <v>5600.2533148649882</v>
      </c>
      <c r="AD117" s="206">
        <f>AD48*Inputs!$C$61</f>
        <v>5669.5893850389639</v>
      </c>
      <c r="AE117" s="206">
        <f>AE48*Inputs!$C$61</f>
        <v>5766.7380900125863</v>
      </c>
      <c r="AF117" s="206">
        <f>AF48*Inputs!$C$61</f>
        <v>5872.1473882809305</v>
      </c>
      <c r="AG117" s="206">
        <f>AG48*Inputs!$C$61</f>
        <v>5947.8776659979148</v>
      </c>
      <c r="AH117" s="182">
        <f>AH48*Inputs!$C$61</f>
        <v>6001.6542461853378</v>
      </c>
      <c r="AI117" s="31"/>
    </row>
    <row r="118" spans="1:35" s="20" customFormat="1">
      <c r="A118" s="10" t="s">
        <v>58</v>
      </c>
      <c r="B118" s="37"/>
      <c r="C118" s="334">
        <f>SUM(C113,C116,C117)</f>
        <v>13712.419319999999</v>
      </c>
      <c r="D118" s="334">
        <f>SUM(D113,D116,D117)</f>
        <v>13836.041042343919</v>
      </c>
      <c r="E118" s="334">
        <f t="shared" ref="E118:AH118" si="90">SUM(E113,E116,E117)</f>
        <v>14352.963597590406</v>
      </c>
      <c r="F118" s="334">
        <f t="shared" si="90"/>
        <v>14719.98203587591</v>
      </c>
      <c r="G118" s="334">
        <f t="shared" si="90"/>
        <v>14877.039550000787</v>
      </c>
      <c r="H118" s="404">
        <f t="shared" si="90"/>
        <v>15142.591469972816</v>
      </c>
      <c r="I118" s="19">
        <f t="shared" si="90"/>
        <v>15890.390287818824</v>
      </c>
      <c r="J118" s="19">
        <f t="shared" si="90"/>
        <v>16894.348754692401</v>
      </c>
      <c r="K118" s="19">
        <f t="shared" si="90"/>
        <v>17649.476581232862</v>
      </c>
      <c r="L118" s="19">
        <f t="shared" si="90"/>
        <v>18570.25252087164</v>
      </c>
      <c r="M118" s="19">
        <f t="shared" si="90"/>
        <v>19738.920722655872</v>
      </c>
      <c r="N118" s="182">
        <f t="shared" si="90"/>
        <v>21220.271103481908</v>
      </c>
      <c r="O118" s="19">
        <f t="shared" si="90"/>
        <v>21590.090369700571</v>
      </c>
      <c r="P118" s="19">
        <f t="shared" si="90"/>
        <v>22012.666488853545</v>
      </c>
      <c r="Q118" s="19">
        <f t="shared" si="90"/>
        <v>22543.77358746951</v>
      </c>
      <c r="R118" s="19">
        <f t="shared" si="90"/>
        <v>23057.16104210481</v>
      </c>
      <c r="S118" s="19">
        <f t="shared" si="90"/>
        <v>23494.194696306542</v>
      </c>
      <c r="T118" s="19">
        <f t="shared" si="90"/>
        <v>23913.447505038886</v>
      </c>
      <c r="U118" s="19">
        <f t="shared" si="90"/>
        <v>24354.858892906886</v>
      </c>
      <c r="V118" s="19">
        <f t="shared" si="90"/>
        <v>24849.397654947174</v>
      </c>
      <c r="W118" s="19">
        <f t="shared" si="90"/>
        <v>25264.055098032</v>
      </c>
      <c r="X118" s="182">
        <f t="shared" si="90"/>
        <v>25808.547990007912</v>
      </c>
      <c r="Y118" s="206">
        <f t="shared" si="90"/>
        <v>26335.690538458493</v>
      </c>
      <c r="Z118" s="206">
        <f t="shared" si="90"/>
        <v>26929.195161507356</v>
      </c>
      <c r="AA118" s="206">
        <f t="shared" si="90"/>
        <v>27484.820497060351</v>
      </c>
      <c r="AB118" s="206">
        <f t="shared" si="90"/>
        <v>28131.913603622968</v>
      </c>
      <c r="AC118" s="206">
        <f t="shared" si="90"/>
        <v>28914.455520822325</v>
      </c>
      <c r="AD118" s="206">
        <f t="shared" si="90"/>
        <v>29664.05924625785</v>
      </c>
      <c r="AE118" s="206">
        <f t="shared" si="90"/>
        <v>30498.897586415158</v>
      </c>
      <c r="AF118" s="206">
        <f t="shared" si="90"/>
        <v>31397.706547562208</v>
      </c>
      <c r="AG118" s="206">
        <f t="shared" si="90"/>
        <v>32272.077773969013</v>
      </c>
      <c r="AH118" s="182">
        <f t="shared" si="90"/>
        <v>33133.743629822035</v>
      </c>
      <c r="AI118" s="31"/>
    </row>
    <row r="119" spans="1:35" s="1" customFormat="1">
      <c r="A119" s="1" t="s">
        <v>335</v>
      </c>
      <c r="B119" s="13"/>
      <c r="C119" s="341">
        <f>C118-'Output - Jobs vs Yr (BAU)'!C55</f>
        <v>-34.914990000002945</v>
      </c>
      <c r="D119" s="341">
        <f>D118-'Output - Jobs vs Yr (BAU)'!D55</f>
        <v>-87.001057656081684</v>
      </c>
      <c r="E119" s="341">
        <f>E118-'Output - Jobs vs Yr (BAU)'!E55</f>
        <v>41.918883957934668</v>
      </c>
      <c r="F119" s="341">
        <f>F118-'Output - Jobs vs Yr (BAU)'!F55</f>
        <v>254.20776163831397</v>
      </c>
      <c r="G119" s="341">
        <f>G118-'Output - Jobs vs Yr (BAU)'!G55</f>
        <v>318.64618636907471</v>
      </c>
      <c r="H119" s="405">
        <f>H118-'Output - Jobs vs Yr (BAU)'!H55</f>
        <v>459.93010631648576</v>
      </c>
      <c r="I119" s="15">
        <f>I118-'Output - Jobs vs Yr (BAU)'!I55</f>
        <v>758.10508332224344</v>
      </c>
      <c r="J119" s="15">
        <f>J118-'Output - Jobs vs Yr (BAU)'!J55</f>
        <v>981.13994162352174</v>
      </c>
      <c r="K119" s="15">
        <f>K118-'Output - Jobs vs Yr (BAU)'!K55</f>
        <v>1241.533790966525</v>
      </c>
      <c r="L119" s="15">
        <f>L118-'Output - Jobs vs Yr (BAU)'!L55</f>
        <v>1691.2860976189149</v>
      </c>
      <c r="M119" s="15">
        <f>M118-'Output - Jobs vs Yr (BAU)'!M55</f>
        <v>2398.4812926325758</v>
      </c>
      <c r="N119" s="182">
        <f>N118-'Output - Jobs vs Yr (BAU)'!N55</f>
        <v>3419.8706240133688</v>
      </c>
      <c r="O119" s="15">
        <f>O118-'Output - Jobs vs Yr (BAU)'!O55</f>
        <v>3348.2809915405596</v>
      </c>
      <c r="P119" s="15">
        <f>P118-'Output - Jobs vs Yr (BAU)'!P55</f>
        <v>3291.6188593063489</v>
      </c>
      <c r="Q119" s="15">
        <f>Q118-'Output - Jobs vs Yr (BAU)'!Q55</f>
        <v>3256.0633434873889</v>
      </c>
      <c r="R119" s="15">
        <f>R118-'Output - Jobs vs Yr (BAU)'!R55</f>
        <v>3226.9221982417075</v>
      </c>
      <c r="S119" s="15">
        <f>S118-'Output - Jobs vs Yr (BAU)'!S55</f>
        <v>3193.663998421529</v>
      </c>
      <c r="T119" s="15">
        <f>T118-'Output - Jobs vs Yr (BAU)'!T55</f>
        <v>3450.2018982109839</v>
      </c>
      <c r="U119" s="15">
        <f>U118-'Output - Jobs vs Yr (BAU)'!U55</f>
        <v>3493.641866322243</v>
      </c>
      <c r="V119" s="15">
        <f>V118-'Output - Jobs vs Yr (BAU)'!V55</f>
        <v>3557.7824158057592</v>
      </c>
      <c r="W119" s="15">
        <f>W118-'Output - Jobs vs Yr (BAU)'!W55</f>
        <v>3621.5228630163256</v>
      </c>
      <c r="X119" s="190">
        <f>X118-'Output - Jobs vs Yr (BAU)'!X55</f>
        <v>3727.2778709926097</v>
      </c>
      <c r="Y119" s="130">
        <f>Y118-'Output - Jobs vs Yr (BAU)'!Y55</f>
        <v>3894.1714535671235</v>
      </c>
      <c r="Z119" s="130">
        <f>Z118-'Output - Jobs vs Yr (BAU)'!Z55</f>
        <v>4081.0592222088926</v>
      </c>
      <c r="AA119" s="130">
        <f>AA118-'Output - Jobs vs Yr (BAU)'!AA55</f>
        <v>4266.6520184973524</v>
      </c>
      <c r="AB119" s="130">
        <f>AB118-'Output - Jobs vs Yr (BAU)'!AB55</f>
        <v>4503.5192873763153</v>
      </c>
      <c r="AC119" s="130">
        <f>AC118-'Output - Jobs vs Yr (BAU)'!AC55</f>
        <v>4800.1736791298936</v>
      </c>
      <c r="AD119" s="130">
        <f>AD118-'Output - Jobs vs Yr (BAU)'!AD55</f>
        <v>5086.0038306133029</v>
      </c>
      <c r="AE119" s="130">
        <f>AE118-'Output - Jobs vs Yr (BAU)'!AE55</f>
        <v>5387.5822054157397</v>
      </c>
      <c r="AF119" s="130">
        <f>AF118-'Output - Jobs vs Yr (BAU)'!AF55</f>
        <v>5718.7027631939491</v>
      </c>
      <c r="AG119" s="130">
        <f>AG118-'Output - Jobs vs Yr (BAU)'!AG55</f>
        <v>6069.1692379973938</v>
      </c>
      <c r="AH119" s="190">
        <f>AH118-'Output - Jobs vs Yr (BAU)'!AH55</f>
        <v>6440.8297490405712</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28.975119879150043</v>
      </c>
    </row>
    <row r="123" spans="1:35" hidden="1">
      <c r="W123" s="2" t="s">
        <v>134</v>
      </c>
      <c r="X123" s="187">
        <f>X115-'Output - Jobs vs Yr (BAU)'!X51</f>
        <v>4129.6349834344019</v>
      </c>
    </row>
    <row r="124" spans="1:35" hidden="1">
      <c r="W124" s="2" t="s">
        <v>137</v>
      </c>
      <c r="X124" s="187">
        <f>SUM(X101,X106,X111)</f>
        <v>0</v>
      </c>
    </row>
    <row r="125" spans="1:35" hidden="1">
      <c r="W125" s="2" t="s">
        <v>132</v>
      </c>
      <c r="X125" s="187">
        <f>SUM(X121:X124)</f>
        <v>4158.6101033135519</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867.64364999999987</v>
      </c>
      <c r="D129" s="331">
        <f>D102*Inputs!$H48</f>
        <v>876.54622264865304</v>
      </c>
      <c r="E129" s="331">
        <f>E102*Inputs!$H48</f>
        <v>908.05560796552061</v>
      </c>
      <c r="F129" s="331">
        <f>F102*Inputs!$H48</f>
        <v>927.4839194396593</v>
      </c>
      <c r="G129" s="331">
        <f>G102*Inputs!$H48</f>
        <v>941.13861679872616</v>
      </c>
      <c r="H129" s="402">
        <f>H102*Inputs!$H48</f>
        <v>1088.4177306000001</v>
      </c>
      <c r="I129" s="14">
        <f>I102*Inputs!$H48</f>
        <v>1108.9703993067583</v>
      </c>
      <c r="J129" s="14">
        <f>J102*Inputs!$H48</f>
        <v>1138.4478031979377</v>
      </c>
      <c r="K129" s="14">
        <f>K102*Inputs!$H48</f>
        <v>1140.478750207961</v>
      </c>
      <c r="L129" s="14">
        <f>L102*Inputs!$H48</f>
        <v>1141.316977009408</v>
      </c>
      <c r="M129" s="14">
        <f>M102*Inputs!$H48</f>
        <v>1142.5692828899912</v>
      </c>
      <c r="N129" s="182">
        <f>N102*Inputs!$H48</f>
        <v>1143.6909696000005</v>
      </c>
      <c r="O129" s="14">
        <f>O102*Inputs!$H48</f>
        <v>1143.5650065263685</v>
      </c>
      <c r="P129" s="14">
        <f>P102*Inputs!$H48</f>
        <v>1145.469301668983</v>
      </c>
      <c r="Q129" s="14">
        <f>Q102*Inputs!$H48</f>
        <v>1152.1130632777165</v>
      </c>
      <c r="R129" s="14">
        <f>R102*Inputs!$H48</f>
        <v>1156.8675908503828</v>
      </c>
      <c r="S129" s="14">
        <f>S102*Inputs!$H48</f>
        <v>1156.9029488312049</v>
      </c>
      <c r="T129" s="14">
        <f>T102*Inputs!$H48</f>
        <v>1155.2684225406765</v>
      </c>
      <c r="U129" s="14">
        <f>U102*Inputs!$H48</f>
        <v>1153.919012238496</v>
      </c>
      <c r="V129" s="14">
        <f>V102*Inputs!$H48</f>
        <v>1154.2416764827951</v>
      </c>
      <c r="W129" s="14">
        <f>W102*Inputs!$H48</f>
        <v>1150.046100720801</v>
      </c>
      <c r="X129" s="187">
        <f>X102*Inputs!$H48</f>
        <v>1150.9187275808183</v>
      </c>
      <c r="Y129" s="158">
        <f>Y102*Inputs!$H48</f>
        <v>1148.27369469891</v>
      </c>
      <c r="Z129" s="158">
        <f>Z102*Inputs!$H48</f>
        <v>1147.4683026310345</v>
      </c>
      <c r="AA129" s="158">
        <f>AA102*Inputs!$H48</f>
        <v>1143.9879625964529</v>
      </c>
      <c r="AB129" s="158">
        <f>AB102*Inputs!$H48</f>
        <v>1143.2228278578518</v>
      </c>
      <c r="AC129" s="158">
        <f>AC102*Inputs!$H48</f>
        <v>1146.6715212094473</v>
      </c>
      <c r="AD129" s="158">
        <f>AD102*Inputs!$H48</f>
        <v>1147.4516253954905</v>
      </c>
      <c r="AE129" s="158">
        <f>AE102*Inputs!$H48</f>
        <v>1150.1452917131999</v>
      </c>
      <c r="AF129" s="158">
        <f>AF102*Inputs!$H48</f>
        <v>1153.7565210114574</v>
      </c>
      <c r="AG129" s="158">
        <f>AG102*Inputs!$H48</f>
        <v>1154.9734755323552</v>
      </c>
      <c r="AH129" s="187">
        <f>AH102*Inputs!$H48</f>
        <v>1154.3133037911459</v>
      </c>
    </row>
    <row r="130" spans="1:35">
      <c r="A130" s="10" t="s">
        <v>59</v>
      </c>
      <c r="B130" s="35">
        <v>0</v>
      </c>
      <c r="C130" s="331">
        <f>C103*Inputs!$H53</f>
        <v>3863.4120000000003</v>
      </c>
      <c r="D130" s="331">
        <f>D103*Inputs!$H53</f>
        <v>3827.3421976111913</v>
      </c>
      <c r="E130" s="331">
        <f>E103*Inputs!$H53</f>
        <v>3888.4235799608696</v>
      </c>
      <c r="F130" s="331">
        <f>F103*Inputs!$H53</f>
        <v>3895.3816520354308</v>
      </c>
      <c r="G130" s="331">
        <f>G103*Inputs!$H53</f>
        <v>3877.2308814659832</v>
      </c>
      <c r="H130" s="402">
        <f>H103*Inputs!$H53</f>
        <v>3546.0239942590915</v>
      </c>
      <c r="I130" s="14">
        <f>I103*Inputs!$H53</f>
        <v>3675.0182870747071</v>
      </c>
      <c r="J130" s="14">
        <f>J103*Inputs!$H53</f>
        <v>3837.4418003728451</v>
      </c>
      <c r="K130" s="14">
        <f>K103*Inputs!$H53</f>
        <v>3910.2247175256016</v>
      </c>
      <c r="L130" s="14">
        <f>L103*Inputs!$H53</f>
        <v>3980.1956315428693</v>
      </c>
      <c r="M130" s="14">
        <f>M103*Inputs!$H53</f>
        <v>4052.8745180394308</v>
      </c>
      <c r="N130" s="182">
        <f>N103*Inputs!$H53</f>
        <v>4126.4035097152564</v>
      </c>
      <c r="O130" s="14">
        <f>O103*Inputs!$H53</f>
        <v>4125.9490386361394</v>
      </c>
      <c r="P130" s="14">
        <f>P103*Inputs!$H53</f>
        <v>4132.8196797174169</v>
      </c>
      <c r="Q130" s="14">
        <f>Q103*Inputs!$H53</f>
        <v>4156.7901769484797</v>
      </c>
      <c r="R130" s="14">
        <f>R103*Inputs!$H53</f>
        <v>4173.9443731294214</v>
      </c>
      <c r="S130" s="14">
        <f>S103*Inputs!$H53</f>
        <v>4174.0719436882864</v>
      </c>
      <c r="T130" s="14">
        <f>T103*Inputs!$H53</f>
        <v>4168.1746207214728</v>
      </c>
      <c r="U130" s="14">
        <f>U103*Inputs!$H53</f>
        <v>4163.3059878871054</v>
      </c>
      <c r="V130" s="14">
        <f>V103*Inputs!$H53</f>
        <v>4164.4701510269106</v>
      </c>
      <c r="W130" s="14">
        <f>W103*Inputs!$H53</f>
        <v>4149.3326366023412</v>
      </c>
      <c r="X130" s="187">
        <f>X103*Inputs!$H53</f>
        <v>4152.4810487464947</v>
      </c>
      <c r="Y130" s="158">
        <f>Y103*Inputs!$H53</f>
        <v>4142.9378476044631</v>
      </c>
      <c r="Z130" s="158">
        <f>Z103*Inputs!$H53</f>
        <v>4140.0320166204692</v>
      </c>
      <c r="AA130" s="158">
        <f>AA103*Inputs!$H53</f>
        <v>4127.475051744962</v>
      </c>
      <c r="AB130" s="158">
        <f>AB103*Inputs!$H53</f>
        <v>4124.714468025506</v>
      </c>
      <c r="AC130" s="158">
        <f>AC103*Inputs!$H53</f>
        <v>4137.1572525960028</v>
      </c>
      <c r="AD130" s="158">
        <f>AD103*Inputs!$H53</f>
        <v>4139.9718456432465</v>
      </c>
      <c r="AE130" s="158">
        <f>AE103*Inputs!$H53</f>
        <v>4149.6905147967545</v>
      </c>
      <c r="AF130" s="158">
        <f>AF103*Inputs!$H53</f>
        <v>4162.719724300724</v>
      </c>
      <c r="AG130" s="158">
        <f>AG103*Inputs!$H53</f>
        <v>4167.1104605569981</v>
      </c>
      <c r="AH130" s="187">
        <f>AH103*Inputs!$H53</f>
        <v>4164.7285802568576</v>
      </c>
    </row>
    <row r="131" spans="1:35">
      <c r="A131" s="10" t="s">
        <v>121</v>
      </c>
      <c r="B131" s="35">
        <v>1</v>
      </c>
      <c r="C131" s="330">
        <f>Inputs!$H46*'Output -Jobs vs Yr'!C104</f>
        <v>25.893000000000001</v>
      </c>
      <c r="D131" s="330">
        <f>Inputs!$H46*'Output -Jobs vs Yr'!D104</f>
        <v>30.310139887792907</v>
      </c>
      <c r="E131" s="330">
        <f>Inputs!$H46*'Output -Jobs vs Yr'!E104</f>
        <v>36.38858855215495</v>
      </c>
      <c r="F131" s="330">
        <f>Inputs!$H46*'Output -Jobs vs Yr'!F104</f>
        <v>43.078905124424672</v>
      </c>
      <c r="G131" s="330">
        <f>Inputs!$H46*'Output -Jobs vs Yr'!G104</f>
        <v>50.673584690214234</v>
      </c>
      <c r="H131" s="286">
        <f>Inputs!$H46*'Output -Jobs vs Yr'!H104</f>
        <v>16.774049944954967</v>
      </c>
      <c r="I131" s="40">
        <f>Inputs!$H46*'Output -Jobs vs Yr'!I104</f>
        <v>20.217887505641254</v>
      </c>
      <c r="J131" s="40">
        <f>Inputs!$H46*'Output -Jobs vs Yr'!J104</f>
        <v>24.55453694386625</v>
      </c>
      <c r="K131" s="40">
        <f>Inputs!$H46*'Output -Jobs vs Yr'!K104</f>
        <v>29.1030442360214</v>
      </c>
      <c r="L131" s="40">
        <f>Inputs!$H46*'Output -Jobs vs Yr'!L104</f>
        <v>34.460405892339544</v>
      </c>
      <c r="M131" s="40">
        <f>Inputs!$H46*'Output -Jobs vs Yr'!M104</f>
        <v>40.821630745693369</v>
      </c>
      <c r="N131" s="177">
        <f>Inputs!$H46*'Output -Jobs vs Yr'!N104</f>
        <v>48.355015099226065</v>
      </c>
      <c r="O131" s="40">
        <f>Inputs!$H46*'Output -Jobs vs Yr'!O104</f>
        <v>50.520361431506672</v>
      </c>
      <c r="P131" s="40">
        <f>Inputs!$H46*'Output -Jobs vs Yr'!P104</f>
        <v>52.880019392121106</v>
      </c>
      <c r="Q131" s="40">
        <f>Inputs!$H46*'Output -Jobs vs Yr'!Q104</f>
        <v>55.582248361672661</v>
      </c>
      <c r="R131" s="40">
        <f>Inputs!$H46*'Output -Jobs vs Yr'!R104</f>
        <v>58.329510831212339</v>
      </c>
      <c r="S131" s="40">
        <f>Inputs!$H46*'Output -Jobs vs Yr'!S104</f>
        <v>60.967251260964382</v>
      </c>
      <c r="T131" s="40">
        <f>Inputs!$H46*'Output -Jobs vs Yr'!T104</f>
        <v>63.636967165810923</v>
      </c>
      <c r="U131" s="40">
        <f>Inputs!$H46*'Output -Jobs vs Yr'!U104</f>
        <v>66.444832917533162</v>
      </c>
      <c r="V131" s="40">
        <f>Inputs!$H46*'Output -Jobs vs Yr'!V104</f>
        <v>69.482421849966769</v>
      </c>
      <c r="W131" s="40">
        <f>Inputs!$H46*'Output -Jobs vs Yr'!W104</f>
        <v>72.380126539765214</v>
      </c>
      <c r="X131" s="184">
        <f>Inputs!$H46*'Output -Jobs vs Yr'!X104</f>
        <v>75.737125171980978</v>
      </c>
      <c r="Y131" s="271">
        <f>Inputs!$H46*'Output -Jobs vs Yr'!Y104</f>
        <v>79.388527585880468</v>
      </c>
      <c r="Z131" s="271">
        <f>Inputs!$H46*'Output -Jobs vs Yr'!Z104</f>
        <v>83.35572628837609</v>
      </c>
      <c r="AA131" s="271">
        <f>Inputs!$H46*'Output -Jobs vs Yr'!AA104</f>
        <v>87.323968317616973</v>
      </c>
      <c r="AB131" s="271">
        <f>Inputs!$H46*'Output -Jobs vs Yr'!AB104</f>
        <v>91.705556604798161</v>
      </c>
      <c r="AC131" s="271">
        <f>Inputs!$H46*'Output -Jobs vs Yr'!AC104</f>
        <v>96.67021468207156</v>
      </c>
      <c r="AD131" s="271">
        <f>Inputs!$H46*'Output -Jobs vs Yr'!AD104</f>
        <v>101.67489732201547</v>
      </c>
      <c r="AE131" s="271">
        <f>Inputs!$H46*'Output -Jobs vs Yr'!AE104</f>
        <v>107.12609095105346</v>
      </c>
      <c r="AF131" s="271">
        <f>Inputs!$H46*'Output -Jobs vs Yr'!AF104</f>
        <v>112.96869612875389</v>
      </c>
      <c r="AG131" s="271">
        <f>Inputs!$H46*'Output -Jobs vs Yr'!AG104</f>
        <v>118.89299889355135</v>
      </c>
      <c r="AH131" s="184">
        <f>Inputs!$H46*'Output -Jobs vs Yr'!AH104</f>
        <v>124.93610751152147</v>
      </c>
    </row>
    <row r="132" spans="1:35">
      <c r="A132" s="10" t="s">
        <v>50</v>
      </c>
      <c r="B132" s="35">
        <v>1</v>
      </c>
      <c r="C132" s="331">
        <f>C105*Inputs!$H49</f>
        <v>0</v>
      </c>
      <c r="D132" s="331">
        <f>D105*Inputs!$H49</f>
        <v>0</v>
      </c>
      <c r="E132" s="331">
        <f>E105*Inputs!$H49</f>
        <v>9.0267367500000001E-4</v>
      </c>
      <c r="F132" s="331">
        <f>F105*Inputs!$H49</f>
        <v>8.4559477500000002E-4</v>
      </c>
      <c r="G132" s="331">
        <f>G105*Inputs!$H49</f>
        <v>9.2453715000000007E-4</v>
      </c>
      <c r="H132" s="402">
        <f>H105*Inputs!$H49</f>
        <v>9.2454074999999988E-4</v>
      </c>
      <c r="I132" s="14">
        <f>I105*Inputs!$H49</f>
        <v>1.0912266534511088E-3</v>
      </c>
      <c r="J132" s="14">
        <f>J105*Inputs!$H49</f>
        <v>1.2977827620543555E-3</v>
      </c>
      <c r="K132" s="14">
        <f>K105*Inputs!$H49</f>
        <v>1.5062592799731384E-3</v>
      </c>
      <c r="L132" s="14">
        <f>L105*Inputs!$H49</f>
        <v>1.7465168019531808E-3</v>
      </c>
      <c r="M132" s="14">
        <f>M105*Inputs!$H49</f>
        <v>2.0259736512901415E-3</v>
      </c>
      <c r="N132" s="182">
        <f>N105*Inputs!$H49</f>
        <v>2.3500441939830982E-3</v>
      </c>
      <c r="O132" s="14">
        <f>O105*Inputs!$H49</f>
        <v>2.4552795985362036E-3</v>
      </c>
      <c r="P132" s="14">
        <f>P105*Inputs!$H49</f>
        <v>2.5699585098910823E-3</v>
      </c>
      <c r="Q132" s="14">
        <f>Q105*Inputs!$H49</f>
        <v>2.7012863046953321E-3</v>
      </c>
      <c r="R132" s="14">
        <f>R105*Inputs!$H49</f>
        <v>2.8348027187144586E-3</v>
      </c>
      <c r="S132" s="14">
        <f>S105*Inputs!$H49</f>
        <v>2.9629963832072336E-3</v>
      </c>
      <c r="T132" s="14">
        <f>T105*Inputs!$H49</f>
        <v>3.0927440494812413E-3</v>
      </c>
      <c r="U132" s="14">
        <f>U105*Inputs!$H49</f>
        <v>3.2292057710581711E-3</v>
      </c>
      <c r="V132" s="14">
        <f>V105*Inputs!$H49</f>
        <v>3.3768319938961649E-3</v>
      </c>
      <c r="W132" s="14">
        <f>W105*Inputs!$H49</f>
        <v>3.5176598701395002E-3</v>
      </c>
      <c r="X132" s="187">
        <f>X105*Inputs!$H49</f>
        <v>3.6808093413713727E-3</v>
      </c>
      <c r="Y132" s="158">
        <f>Y105*Inputs!$H49</f>
        <v>3.8582667783108918E-3</v>
      </c>
      <c r="Z132" s="158">
        <f>Z105*Inputs!$H49</f>
        <v>4.0510718525735281E-3</v>
      </c>
      <c r="AA132" s="158">
        <f>AA105*Inputs!$H49</f>
        <v>4.2439276323101476E-3</v>
      </c>
      <c r="AB132" s="158">
        <f>AB105*Inputs!$H49</f>
        <v>4.4568719586346225E-3</v>
      </c>
      <c r="AC132" s="158">
        <f>AC105*Inputs!$H49</f>
        <v>4.6981533617252071E-3</v>
      </c>
      <c r="AD132" s="158">
        <f>AD105*Inputs!$H49</f>
        <v>4.9413799506652324E-3</v>
      </c>
      <c r="AE132" s="158">
        <f>AE105*Inputs!$H49</f>
        <v>5.2063068855842005E-3</v>
      </c>
      <c r="AF132" s="158">
        <f>AF105*Inputs!$H49</f>
        <v>5.4902563445475647E-3</v>
      </c>
      <c r="AG132" s="158">
        <f>AG105*Inputs!$H49</f>
        <v>5.7781762901259323E-3</v>
      </c>
      <c r="AH132" s="187">
        <f>AH105*Inputs!$H49</f>
        <v>6.0718701767295798E-3</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2.4299999999999997</v>
      </c>
      <c r="D134" s="331">
        <f>D107*Inputs!$H52</f>
        <v>3.2399999999999998</v>
      </c>
      <c r="E134" s="331">
        <f>E107*Inputs!$H52</f>
        <v>7.9504175146988958</v>
      </c>
      <c r="F134" s="331">
        <f>F107*Inputs!$H52</f>
        <v>8.2323009886751404</v>
      </c>
      <c r="G134" s="331">
        <f>G107*Inputs!$H52</f>
        <v>6.6958885455686552</v>
      </c>
      <c r="H134" s="402">
        <f>H107*Inputs!$H52</f>
        <v>7.2049848090112576</v>
      </c>
      <c r="I134" s="14">
        <f>I107*Inputs!$H52</f>
        <v>8.3488828824529406</v>
      </c>
      <c r="J134" s="14">
        <f>J107*Inputs!$H52</f>
        <v>9.7481408803467069</v>
      </c>
      <c r="K134" s="14">
        <f>K107*Inputs!$H52</f>
        <v>11.107745567891778</v>
      </c>
      <c r="L134" s="14">
        <f>L107*Inputs!$H52</f>
        <v>12.644607348128817</v>
      </c>
      <c r="M134" s="14">
        <f>M107*Inputs!$H52</f>
        <v>14.400340613642692</v>
      </c>
      <c r="N134" s="182">
        <f>N107*Inputs!$H52</f>
        <v>16.399152078375504</v>
      </c>
      <c r="O134" s="14">
        <f>O107*Inputs!$H52</f>
        <v>17.133509078007396</v>
      </c>
      <c r="P134" s="14">
        <f>P107*Inputs!$H52</f>
        <v>17.933765052897684</v>
      </c>
      <c r="Q134" s="14">
        <f>Q107*Inputs!$H52</f>
        <v>18.850200788287971</v>
      </c>
      <c r="R134" s="14">
        <f>R107*Inputs!$H52</f>
        <v>19.781909214906076</v>
      </c>
      <c r="S134" s="14">
        <f>S107*Inputs!$H52</f>
        <v>20.676474263888462</v>
      </c>
      <c r="T134" s="14">
        <f>T107*Inputs!$H52</f>
        <v>21.581883496825238</v>
      </c>
      <c r="U134" s="14">
        <f>U107*Inputs!$H52</f>
        <v>22.534144960991178</v>
      </c>
      <c r="V134" s="14">
        <f>V107*Inputs!$H52</f>
        <v>23.564314897911871</v>
      </c>
      <c r="W134" s="14">
        <f>W107*Inputs!$H52</f>
        <v>24.547044399468518</v>
      </c>
      <c r="X134" s="187">
        <f>X107*Inputs!$H52</f>
        <v>25.685539155051504</v>
      </c>
      <c r="Y134" s="158">
        <f>Y107*Inputs!$H52</f>
        <v>26.923878205551429</v>
      </c>
      <c r="Z134" s="158">
        <f>Z107*Inputs!$H52</f>
        <v>28.269316620033511</v>
      </c>
      <c r="AA134" s="158">
        <f>AA107*Inputs!$H52</f>
        <v>29.615108869043986</v>
      </c>
      <c r="AB134" s="158">
        <f>AB107*Inputs!$H52</f>
        <v>31.101083643715562</v>
      </c>
      <c r="AC134" s="158">
        <f>AC107*Inputs!$H52</f>
        <v>32.784801095964795</v>
      </c>
      <c r="AD134" s="158">
        <f>AD107*Inputs!$H52</f>
        <v>34.482092505098471</v>
      </c>
      <c r="AE134" s="158">
        <f>AE107*Inputs!$H52</f>
        <v>36.330813948940943</v>
      </c>
      <c r="AF134" s="158">
        <f>AF107*Inputs!$H52</f>
        <v>38.312278966507378</v>
      </c>
      <c r="AG134" s="158">
        <f>AG107*Inputs!$H52</f>
        <v>40.321450958262368</v>
      </c>
      <c r="AH134" s="187">
        <f>AH107*Inputs!$H52</f>
        <v>42.370914846317675</v>
      </c>
    </row>
    <row r="135" spans="1:35">
      <c r="A135" s="9" t="s">
        <v>347</v>
      </c>
      <c r="B135" s="35">
        <v>1</v>
      </c>
      <c r="C135" s="331">
        <f>C108*Inputs!$H54</f>
        <v>238.47579899999997</v>
      </c>
      <c r="D135" s="331">
        <f>D108*Inputs!$H54</f>
        <v>396.53181000000006</v>
      </c>
      <c r="E135" s="331">
        <f>E108*Inputs!$H54</f>
        <v>608.6627114661494</v>
      </c>
      <c r="F135" s="331">
        <f>F108*Inputs!$H54</f>
        <v>859.74322514015466</v>
      </c>
      <c r="G135" s="331">
        <f>G108*Inputs!$H54</f>
        <v>985.03692813033501</v>
      </c>
      <c r="H135" s="402">
        <f>H108*Inputs!$H54</f>
        <v>1124.3391897407198</v>
      </c>
      <c r="I135" s="14">
        <f>I108*Inputs!$H54</f>
        <v>1496.0333780461235</v>
      </c>
      <c r="J135" s="14">
        <f>J108*Inputs!$H54</f>
        <v>2005.7802309215967</v>
      </c>
      <c r="K135" s="14">
        <f>K108*Inputs!$H54</f>
        <v>2624.4367352775948</v>
      </c>
      <c r="L135" s="14">
        <f>L108*Inputs!$H54</f>
        <v>3430.5532725517551</v>
      </c>
      <c r="M135" s="14">
        <f>M108*Inputs!$H54</f>
        <v>4486.2164129232888</v>
      </c>
      <c r="N135" s="182">
        <f>N108*Inputs!$H54</f>
        <v>5866.4785060802669</v>
      </c>
      <c r="O135" s="14">
        <f>O108*Inputs!$H54</f>
        <v>6129.1804758858198</v>
      </c>
      <c r="P135" s="14">
        <f>P108*Inputs!$H54</f>
        <v>6415.4565256241922</v>
      </c>
      <c r="Q135" s="14">
        <f>Q108*Inputs!$H54</f>
        <v>6743.2936307486889</v>
      </c>
      <c r="R135" s="14">
        <f>R108*Inputs!$H54</f>
        <v>7076.5942448637597</v>
      </c>
      <c r="S135" s="14">
        <f>S108*Inputs!$H54</f>
        <v>7396.6075362256906</v>
      </c>
      <c r="T135" s="14">
        <f>T108*Inputs!$H54</f>
        <v>7720.5001240158999</v>
      </c>
      <c r="U135" s="14">
        <f>U108*Inputs!$H54</f>
        <v>8061.1531885767481</v>
      </c>
      <c r="V135" s="14">
        <f>V108*Inputs!$H54</f>
        <v>8429.6764978107949</v>
      </c>
      <c r="W135" s="14">
        <f>W108*Inputs!$H54</f>
        <v>8781.2289116563352</v>
      </c>
      <c r="X135" s="187">
        <f>X108*Inputs!$H54</f>
        <v>9188.5033232230035</v>
      </c>
      <c r="Y135" s="158">
        <f>Y108*Inputs!$H54</f>
        <v>9631.4950942778705</v>
      </c>
      <c r="Z135" s="158">
        <f>Z108*Inputs!$H54</f>
        <v>10112.799585027842</v>
      </c>
      <c r="AA135" s="158">
        <f>AA108*Inputs!$H54</f>
        <v>10594.230653215815</v>
      </c>
      <c r="AB135" s="158">
        <f>AB108*Inputs!$H54</f>
        <v>11125.809300363275</v>
      </c>
      <c r="AC135" s="158">
        <f>AC108*Inputs!$H54</f>
        <v>11728.126554128921</v>
      </c>
      <c r="AD135" s="158">
        <f>AD108*Inputs!$H54</f>
        <v>12335.299627629913</v>
      </c>
      <c r="AE135" s="158">
        <f>AE108*Inputs!$H54</f>
        <v>12996.643858246127</v>
      </c>
      <c r="AF135" s="158">
        <f>AF108*Inputs!$H54</f>
        <v>13705.474527084891</v>
      </c>
      <c r="AG135" s="158">
        <f>AG108*Inputs!$H54</f>
        <v>14424.216828413473</v>
      </c>
      <c r="AH135" s="187">
        <f>AH108*Inputs!$H54</f>
        <v>15157.372773964973</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2.3714050798620309E-2</v>
      </c>
      <c r="J136" s="14">
        <f>J109*Inputs!$H55</f>
        <v>2.7374063794161435E-2</v>
      </c>
      <c r="K136" s="14">
        <f>K109*Inputs!$H55</f>
        <v>3.0837808159394374E-2</v>
      </c>
      <c r="L136" s="14">
        <f>L109*Inputs!$H55</f>
        <v>3.4705877367667289E-2</v>
      </c>
      <c r="M136" s="14">
        <f>M109*Inputs!$H55</f>
        <v>3.9076040026213371E-2</v>
      </c>
      <c r="N136" s="187">
        <f>N109*Inputs!$H55</f>
        <v>4.3994590078947661E-2</v>
      </c>
      <c r="O136" s="14">
        <f>O109*Inputs!$H55</f>
        <v>4.5964675789233411E-2</v>
      </c>
      <c r="P136" s="14">
        <f>P109*Inputs!$H55</f>
        <v>4.8111551030420523E-2</v>
      </c>
      <c r="Q136" s="14">
        <f>Q109*Inputs!$H55</f>
        <v>5.0570105858103342E-2</v>
      </c>
      <c r="R136" s="14">
        <f>R109*Inputs!$H55</f>
        <v>5.3069633279171406E-2</v>
      </c>
      <c r="S136" s="14">
        <f>S109*Inputs!$H55</f>
        <v>5.5469514836513023E-2</v>
      </c>
      <c r="T136" s="14">
        <f>T109*Inputs!$H55</f>
        <v>5.7898488472855669E-2</v>
      </c>
      <c r="U136" s="14">
        <f>U109*Inputs!$H55</f>
        <v>6.0453154260680285E-2</v>
      </c>
      <c r="V136" s="14">
        <f>V109*Inputs!$H55</f>
        <v>6.3216827886601754E-2</v>
      </c>
      <c r="W136" s="14">
        <f>W109*Inputs!$H55</f>
        <v>6.5853231364833037E-2</v>
      </c>
      <c r="X136" s="187">
        <f>X109*Inputs!$H55</f>
        <v>6.8907511844672781E-2</v>
      </c>
      <c r="Y136" s="158">
        <f>Y109*Inputs!$H55</f>
        <v>7.2229648174961303E-2</v>
      </c>
      <c r="Z136" s="158">
        <f>Z109*Inputs!$H55</f>
        <v>7.5839103788197609E-2</v>
      </c>
      <c r="AA136" s="158">
        <f>AA109*Inputs!$H55</f>
        <v>7.9449508645941067E-2</v>
      </c>
      <c r="AB136" s="158">
        <f>AB109*Inputs!$H55</f>
        <v>8.3435986164223153E-2</v>
      </c>
      <c r="AC136" s="158">
        <f>AC109*Inputs!$H55</f>
        <v>8.7952955015201256E-2</v>
      </c>
      <c r="AD136" s="158">
        <f>AD109*Inputs!$H55</f>
        <v>9.2506339204364324E-2</v>
      </c>
      <c r="AE136" s="158">
        <f>AE109*Inputs!$H55</f>
        <v>9.7465970147677494E-2</v>
      </c>
      <c r="AF136" s="158">
        <f>AF109*Inputs!$H55</f>
        <v>0.10278171700989246</v>
      </c>
      <c r="AG136" s="158">
        <f>AG109*Inputs!$H55</f>
        <v>0.10817179435980134</v>
      </c>
      <c r="AH136" s="187">
        <f>AH109*Inputs!$H55</f>
        <v>0.11366996421673529</v>
      </c>
    </row>
    <row r="137" spans="1:35">
      <c r="A137" s="9" t="s">
        <v>344</v>
      </c>
      <c r="B137" s="35">
        <v>1</v>
      </c>
      <c r="C137" s="331">
        <f>C110*Inputs!$H56</f>
        <v>2.16E-3</v>
      </c>
      <c r="D137" s="331">
        <f>D110*Inputs!$H56</f>
        <v>2.4032385231940248E-3</v>
      </c>
      <c r="E137" s="331">
        <f>E110*Inputs!$H56</f>
        <v>2.742279411668682E-3</v>
      </c>
      <c r="F137" s="331">
        <f>F110*Inputs!$H56</f>
        <v>3.0856645140891563E-3</v>
      </c>
      <c r="G137" s="331">
        <f>G110*Inputs!$H56</f>
        <v>3.4498739975006264E-3</v>
      </c>
      <c r="H137" s="402">
        <f>H110*Inputs!$H56</f>
        <v>2.16E-3</v>
      </c>
      <c r="I137" s="14">
        <f>I110*Inputs!$H56</f>
        <v>2.4745096485516843E-3</v>
      </c>
      <c r="J137" s="14">
        <f>J110*Inputs!$H56</f>
        <v>2.8564240480864109E-3</v>
      </c>
      <c r="K137" s="14">
        <f>K110*Inputs!$H56</f>
        <v>3.2178582427194132E-3</v>
      </c>
      <c r="L137" s="14">
        <f>L110*Inputs!$H56</f>
        <v>3.6214828557565859E-3</v>
      </c>
      <c r="M137" s="14">
        <f>M110*Inputs!$H56</f>
        <v>4.0774998288222643E-3</v>
      </c>
      <c r="N137" s="187">
        <f>N110*Inputs!$H56</f>
        <v>4.5907398343249728E-3</v>
      </c>
      <c r="O137" s="14">
        <f>O110*Inputs!$H56</f>
        <v>4.7963139953982681E-3</v>
      </c>
      <c r="P137" s="14">
        <f>P110*Inputs!$H56</f>
        <v>5.0203357596960542E-3</v>
      </c>
      <c r="Q137" s="14">
        <f>Q110*Inputs!$H56</f>
        <v>5.2768806112803478E-3</v>
      </c>
      <c r="R137" s="14">
        <f>R110*Inputs!$H56</f>
        <v>5.5377008639135358E-3</v>
      </c>
      <c r="S137" s="14">
        <f>S110*Inputs!$H56</f>
        <v>5.7881232872883139E-3</v>
      </c>
      <c r="T137" s="14">
        <f>T110*Inputs!$H56</f>
        <v>6.0415814058631997E-3</v>
      </c>
      <c r="U137" s="14">
        <f>U110*Inputs!$H56</f>
        <v>6.3081552272014202E-3</v>
      </c>
      <c r="V137" s="14">
        <f>V110*Inputs!$H56</f>
        <v>6.59653856208018E-3</v>
      </c>
      <c r="W137" s="14">
        <f>W110*Inputs!$H56</f>
        <v>6.871641533721707E-3</v>
      </c>
      <c r="X137" s="187">
        <f>X110*Inputs!$H56</f>
        <v>7.1903490620528121E-3</v>
      </c>
      <c r="Y137" s="158">
        <f>Y110*Inputs!$H56</f>
        <v>7.5370067660829182E-3</v>
      </c>
      <c r="Z137" s="158">
        <f>Z110*Inputs!$H56</f>
        <v>7.913645612681491E-3</v>
      </c>
      <c r="AA137" s="158">
        <f>AA110*Inputs!$H56</f>
        <v>8.29038351088081E-3</v>
      </c>
      <c r="AB137" s="158">
        <f>AB110*Inputs!$H56</f>
        <v>8.7063637736580698E-3</v>
      </c>
      <c r="AC137" s="158">
        <f>AC110*Inputs!$H56</f>
        <v>9.1776996537601321E-3</v>
      </c>
      <c r="AD137" s="158">
        <f>AD110*Inputs!$H56</f>
        <v>9.6528353952380196E-3</v>
      </c>
      <c r="AE137" s="158">
        <f>AE110*Inputs!$H56</f>
        <v>1.0170362102366349E-2</v>
      </c>
      <c r="AF137" s="158">
        <f>AF110*Inputs!$H56</f>
        <v>1.0725048731467042E-2</v>
      </c>
      <c r="AG137" s="158">
        <f>AG110*Inputs!$H56</f>
        <v>1.1287491585370579E-2</v>
      </c>
      <c r="AH137" s="187">
        <f>AH110*Inputs!$H56</f>
        <v>1.1861213657398464E-2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4.5900000000000007</v>
      </c>
      <c r="D139" s="331">
        <f>D112*Inputs!$H57</f>
        <v>20.655000000000005</v>
      </c>
      <c r="E139" s="331">
        <f>E112*Inputs!$H57</f>
        <v>17.893619739000002</v>
      </c>
      <c r="F139" s="331">
        <f>F112*Inputs!$H57</f>
        <v>20.015118657000006</v>
      </c>
      <c r="G139" s="331">
        <f>G112*Inputs!$H57</f>
        <v>21.472432182000002</v>
      </c>
      <c r="H139" s="402">
        <f>H112*Inputs!$H57</f>
        <v>21.591705627000003</v>
      </c>
      <c r="I139" s="14">
        <f>I112*Inputs!$H57</f>
        <v>27.252185886000003</v>
      </c>
      <c r="J139" s="14">
        <f>J112*Inputs!$H57</f>
        <v>32.187769695018389</v>
      </c>
      <c r="K139" s="14">
        <f>K112*Inputs!$H57</f>
        <v>38.499280675647022</v>
      </c>
      <c r="L139" s="14">
        <f>L112*Inputs!$H57</f>
        <v>46.003369568729006</v>
      </c>
      <c r="M139" s="14">
        <f>M112*Inputs!$H57</f>
        <v>54.993918244857639</v>
      </c>
      <c r="N139" s="182">
        <f>N112*Inputs!$H57</f>
        <v>65.738667369112363</v>
      </c>
      <c r="O139" s="14">
        <f>O112*Inputs!$H57</f>
        <v>68.68245679787421</v>
      </c>
      <c r="P139" s="14">
        <f>P112*Inputs!$H57</f>
        <v>71.890412983171601</v>
      </c>
      <c r="Q139" s="14">
        <f>Q112*Inputs!$H57</f>
        <v>75.564094627567812</v>
      </c>
      <c r="R139" s="14">
        <f>R112*Inputs!$H57</f>
        <v>79.298999337867571</v>
      </c>
      <c r="S139" s="14">
        <f>S112*Inputs!$H57</f>
        <v>82.885008779943078</v>
      </c>
      <c r="T139" s="14">
        <f>T112*Inputs!$H57</f>
        <v>86.51448889650591</v>
      </c>
      <c r="U139" s="14">
        <f>U112*Inputs!$H57</f>
        <v>90.331783799440274</v>
      </c>
      <c r="V139" s="14">
        <f>V112*Inputs!$H57</f>
        <v>94.461387482193459</v>
      </c>
      <c r="W139" s="14">
        <f>W112*Inputs!$H57</f>
        <v>98.400818466666991</v>
      </c>
      <c r="X139" s="187">
        <f>X112*Inputs!$H57</f>
        <v>102.96465979706359</v>
      </c>
      <c r="Y139" s="158">
        <f>Y112*Inputs!$H57</f>
        <v>107.92874321686082</v>
      </c>
      <c r="Z139" s="158">
        <f>Z112*Inputs!$H57</f>
        <v>113.32215184997503</v>
      </c>
      <c r="AA139" s="158">
        <f>AA112*Inputs!$H57</f>
        <v>118.71697888632465</v>
      </c>
      <c r="AB139" s="158">
        <f>AB112*Inputs!$H57</f>
        <v>124.67375036842091</v>
      </c>
      <c r="AC139" s="158">
        <f>AC112*Inputs!$H57</f>
        <v>131.42320552366243</v>
      </c>
      <c r="AD139" s="158">
        <f>AD112*Inputs!$H57</f>
        <v>138.22707409200271</v>
      </c>
      <c r="AE139" s="158">
        <f>AE112*Inputs!$H57</f>
        <v>145.63797457478813</v>
      </c>
      <c r="AF139" s="158">
        <f>AF112*Inputs!$H57</f>
        <v>153.58099925501517</v>
      </c>
      <c r="AG139" s="158">
        <f>AG112*Inputs!$H57</f>
        <v>161.63509184602682</v>
      </c>
      <c r="AH139" s="187">
        <f>AH112*Inputs!$H57</f>
        <v>169.85070105423301</v>
      </c>
      <c r="AI139" s="31">
        <f>SUM(C139:X139)</f>
        <v>1221.8871786126588</v>
      </c>
    </row>
    <row r="140" spans="1:35">
      <c r="A140" s="10" t="s">
        <v>383</v>
      </c>
      <c r="C140" s="331">
        <f t="shared" ref="C140:AH140" si="91">SUM(C127:C139)</f>
        <v>5002.4466090000005</v>
      </c>
      <c r="D140" s="331">
        <f t="shared" si="91"/>
        <v>5154.6277733861607</v>
      </c>
      <c r="E140" s="331">
        <f t="shared" si="91"/>
        <v>5467.3988701514809</v>
      </c>
      <c r="F140" s="331">
        <f t="shared" si="91"/>
        <v>5753.9597526446341</v>
      </c>
      <c r="G140" s="331">
        <f t="shared" si="91"/>
        <v>5882.2734062239751</v>
      </c>
      <c r="H140" s="402">
        <f t="shared" si="91"/>
        <v>5804.3754395215274</v>
      </c>
      <c r="I140" s="14">
        <f t="shared" si="91"/>
        <v>6335.8683004887844</v>
      </c>
      <c r="J140" s="14">
        <f t="shared" si="91"/>
        <v>7048.1918102822156</v>
      </c>
      <c r="K140" s="14">
        <f t="shared" si="91"/>
        <v>7753.8858354163985</v>
      </c>
      <c r="L140" s="14">
        <f t="shared" si="91"/>
        <v>8645.2143377902557</v>
      </c>
      <c r="M140" s="14">
        <f t="shared" si="91"/>
        <v>9791.9212829704102</v>
      </c>
      <c r="N140" s="182">
        <f t="shared" si="91"/>
        <v>11267.116755316345</v>
      </c>
      <c r="O140" s="14">
        <f t="shared" si="91"/>
        <v>11535.084064625102</v>
      </c>
      <c r="P140" s="14">
        <f t="shared" si="91"/>
        <v>11836.505406284085</v>
      </c>
      <c r="Q140" s="14">
        <f t="shared" si="91"/>
        <v>12202.251963025186</v>
      </c>
      <c r="R140" s="14">
        <f t="shared" si="91"/>
        <v>12564.878070364412</v>
      </c>
      <c r="S140" s="14">
        <f t="shared" si="91"/>
        <v>12892.175383684485</v>
      </c>
      <c r="T140" s="14">
        <f t="shared" si="91"/>
        <v>13215.743539651119</v>
      </c>
      <c r="U140" s="14">
        <f t="shared" si="91"/>
        <v>13557.758940895574</v>
      </c>
      <c r="V140" s="14">
        <f t="shared" si="91"/>
        <v>13935.969639749013</v>
      </c>
      <c r="W140" s="14">
        <f t="shared" si="91"/>
        <v>14276.011880918148</v>
      </c>
      <c r="X140" s="187">
        <f t="shared" si="91"/>
        <v>14696.37020234466</v>
      </c>
      <c r="Y140" s="158">
        <f t="shared" si="91"/>
        <v>15137.031410511256</v>
      </c>
      <c r="Z140" s="158">
        <f t="shared" si="91"/>
        <v>15625.334902858986</v>
      </c>
      <c r="AA140" s="158">
        <f t="shared" si="91"/>
        <v>16101.441707450003</v>
      </c>
      <c r="AB140" s="158">
        <f t="shared" si="91"/>
        <v>16641.323586085462</v>
      </c>
      <c r="AC140" s="158">
        <f t="shared" si="91"/>
        <v>17272.935378044098</v>
      </c>
      <c r="AD140" s="158">
        <f t="shared" si="91"/>
        <v>17897.214263142319</v>
      </c>
      <c r="AE140" s="158">
        <f t="shared" si="91"/>
        <v>18585.687386869999</v>
      </c>
      <c r="AF140" s="158">
        <f t="shared" si="91"/>
        <v>19326.931743769437</v>
      </c>
      <c r="AG140" s="158">
        <f t="shared" si="91"/>
        <v>20067.275543662905</v>
      </c>
      <c r="AH140" s="187">
        <f t="shared" si="91"/>
        <v>20813.703984473101</v>
      </c>
      <c r="AI140" s="48" t="s">
        <v>0</v>
      </c>
    </row>
    <row r="141" spans="1:35">
      <c r="A141" s="10" t="s">
        <v>386</v>
      </c>
      <c r="C141" s="331">
        <f>SUM(C128:C130)</f>
        <v>4731.0556500000002</v>
      </c>
      <c r="D141" s="331">
        <f t="shared" ref="D141:AH141" si="92">SUM(D128:D130)</f>
        <v>4703.8884202598447</v>
      </c>
      <c r="E141" s="331">
        <f t="shared" si="92"/>
        <v>4796.4791879263903</v>
      </c>
      <c r="F141" s="331">
        <f t="shared" si="92"/>
        <v>4822.8655714750903</v>
      </c>
      <c r="G141" s="331">
        <f t="shared" si="92"/>
        <v>4818.3694982647094</v>
      </c>
      <c r="H141" s="402">
        <f t="shared" si="92"/>
        <v>4634.4417248590917</v>
      </c>
      <c r="I141" s="14">
        <f t="shared" si="92"/>
        <v>4783.9886863814654</v>
      </c>
      <c r="J141" s="14">
        <f t="shared" si="92"/>
        <v>4975.889603570783</v>
      </c>
      <c r="K141" s="14">
        <f t="shared" si="92"/>
        <v>5050.7034677335623</v>
      </c>
      <c r="L141" s="14">
        <f t="shared" si="92"/>
        <v>5121.512608552277</v>
      </c>
      <c r="M141" s="14">
        <f t="shared" si="92"/>
        <v>5195.4438009294217</v>
      </c>
      <c r="N141" s="187">
        <f t="shared" si="92"/>
        <v>5270.0944793152566</v>
      </c>
      <c r="O141" s="14">
        <f t="shared" si="92"/>
        <v>5269.5140451625084</v>
      </c>
      <c r="P141" s="14">
        <f t="shared" si="92"/>
        <v>5278.2889813864003</v>
      </c>
      <c r="Q141" s="14">
        <f t="shared" si="92"/>
        <v>5308.9032402261964</v>
      </c>
      <c r="R141" s="14">
        <f t="shared" si="92"/>
        <v>5330.8119639798042</v>
      </c>
      <c r="S141" s="14">
        <f t="shared" si="92"/>
        <v>5330.9748925194908</v>
      </c>
      <c r="T141" s="14">
        <f t="shared" si="92"/>
        <v>5323.4430432621493</v>
      </c>
      <c r="U141" s="14">
        <f t="shared" si="92"/>
        <v>5317.2250001256016</v>
      </c>
      <c r="V141" s="14">
        <f t="shared" si="92"/>
        <v>5318.7118275097055</v>
      </c>
      <c r="W141" s="14">
        <f t="shared" si="92"/>
        <v>5299.3787373231426</v>
      </c>
      <c r="X141" s="187">
        <f t="shared" si="92"/>
        <v>5303.3997763273128</v>
      </c>
      <c r="Y141" s="158">
        <f t="shared" si="92"/>
        <v>5291.2115423033729</v>
      </c>
      <c r="Z141" s="158">
        <f t="shared" si="92"/>
        <v>5287.5003192515032</v>
      </c>
      <c r="AA141" s="158">
        <f t="shared" si="92"/>
        <v>5271.4630143414151</v>
      </c>
      <c r="AB141" s="158">
        <f t="shared" si="92"/>
        <v>5267.9372958833574</v>
      </c>
      <c r="AC141" s="158">
        <f t="shared" si="92"/>
        <v>5283.8287738054496</v>
      </c>
      <c r="AD141" s="158">
        <f t="shared" si="92"/>
        <v>5287.4234710387373</v>
      </c>
      <c r="AE141" s="158">
        <f t="shared" si="92"/>
        <v>5299.8358065099546</v>
      </c>
      <c r="AF141" s="158">
        <f t="shared" si="92"/>
        <v>5316.4762453121812</v>
      </c>
      <c r="AG141" s="158">
        <f t="shared" si="92"/>
        <v>5322.0839360893533</v>
      </c>
      <c r="AH141" s="187">
        <f t="shared" si="92"/>
        <v>5319.0418840480033</v>
      </c>
      <c r="AI141" s="48"/>
    </row>
    <row r="142" spans="1:35">
      <c r="A142" s="10" t="s">
        <v>385</v>
      </c>
      <c r="C142" s="330">
        <f t="shared" ref="C142:AH142" si="93">SUMPRODUCT($B131:$B139,C131:C139)</f>
        <v>271.39095899999995</v>
      </c>
      <c r="D142" s="330">
        <f t="shared" si="93"/>
        <v>450.73935312631619</v>
      </c>
      <c r="E142" s="330">
        <f t="shared" si="93"/>
        <v>670.9196822250899</v>
      </c>
      <c r="F142" s="330">
        <f t="shared" si="93"/>
        <v>931.09418116954362</v>
      </c>
      <c r="G142" s="330">
        <f t="shared" si="93"/>
        <v>1063.9039079592653</v>
      </c>
      <c r="H142" s="286">
        <f t="shared" si="93"/>
        <v>1169.9337146624362</v>
      </c>
      <c r="I142" s="40">
        <f t="shared" si="93"/>
        <v>1551.8796141073185</v>
      </c>
      <c r="J142" s="40">
        <f t="shared" si="93"/>
        <v>2072.3022067114325</v>
      </c>
      <c r="K142" s="40">
        <f t="shared" si="93"/>
        <v>2703.1823676828376</v>
      </c>
      <c r="L142" s="40">
        <f t="shared" si="93"/>
        <v>3523.7017292379774</v>
      </c>
      <c r="M142" s="40">
        <f t="shared" si="93"/>
        <v>4596.4774820409884</v>
      </c>
      <c r="N142" s="177">
        <f t="shared" si="93"/>
        <v>5997.0222760010884</v>
      </c>
      <c r="O142" s="40">
        <f t="shared" si="93"/>
        <v>6265.5700194625906</v>
      </c>
      <c r="P142" s="40">
        <f t="shared" si="93"/>
        <v>6558.2164248976824</v>
      </c>
      <c r="Q142" s="40">
        <f t="shared" si="93"/>
        <v>6893.3487227989917</v>
      </c>
      <c r="R142" s="40">
        <f t="shared" si="93"/>
        <v>7234.0661063846073</v>
      </c>
      <c r="S142" s="40">
        <f t="shared" si="93"/>
        <v>7561.2004911649929</v>
      </c>
      <c r="T142" s="40">
        <f t="shared" si="93"/>
        <v>7892.3004963889707</v>
      </c>
      <c r="U142" s="40">
        <f t="shared" si="93"/>
        <v>8240.5339407699721</v>
      </c>
      <c r="V142" s="40">
        <f t="shared" si="93"/>
        <v>8617.2578122393097</v>
      </c>
      <c r="W142" s="40">
        <f t="shared" si="93"/>
        <v>8976.6331435950051</v>
      </c>
      <c r="X142" s="184">
        <f t="shared" si="93"/>
        <v>9392.9704260173476</v>
      </c>
      <c r="Y142" s="271">
        <f t="shared" si="93"/>
        <v>9845.8198682078819</v>
      </c>
      <c r="Z142" s="271">
        <f t="shared" si="93"/>
        <v>10337.834583607482</v>
      </c>
      <c r="AA142" s="271">
        <f t="shared" si="93"/>
        <v>10829.978693108589</v>
      </c>
      <c r="AB142" s="271">
        <f t="shared" si="93"/>
        <v>11373.386290202106</v>
      </c>
      <c r="AC142" s="271">
        <f t="shared" si="93"/>
        <v>11989.10660423865</v>
      </c>
      <c r="AD142" s="271">
        <f t="shared" si="93"/>
        <v>12609.79079210358</v>
      </c>
      <c r="AE142" s="271">
        <f t="shared" si="93"/>
        <v>13285.851580360046</v>
      </c>
      <c r="AF142" s="271">
        <f t="shared" si="93"/>
        <v>14010.455498457253</v>
      </c>
      <c r="AG142" s="271">
        <f t="shared" si="93"/>
        <v>14745.191607573548</v>
      </c>
      <c r="AH142" s="184">
        <f t="shared" si="93"/>
        <v>15494.662100425096</v>
      </c>
    </row>
    <row r="143" spans="1:35">
      <c r="A143" s="10" t="s">
        <v>142</v>
      </c>
      <c r="C143" s="331">
        <f>C116*Inputs!$H$60</f>
        <v>5137.111356299999</v>
      </c>
      <c r="D143" s="331">
        <f>D116*Inputs!$H$60</f>
        <v>4344.0476005771798</v>
      </c>
      <c r="E143" s="331">
        <f>E116*Inputs!$H$60</f>
        <v>3963.5889948431582</v>
      </c>
      <c r="F143" s="331">
        <f>F116*Inputs!$H$60</f>
        <v>3384.792930837421</v>
      </c>
      <c r="G143" s="331">
        <f>G116*Inputs!$H$60</f>
        <v>3728.2612773557407</v>
      </c>
      <c r="H143" s="402">
        <f>H116*Inputs!$H$60</f>
        <v>4037.5351202619104</v>
      </c>
      <c r="I143" s="14">
        <f>I116*Inputs!$H$60</f>
        <v>3852.4236653315374</v>
      </c>
      <c r="J143" s="14">
        <f>J116*Inputs!$H$60</f>
        <v>3686.5232735596505</v>
      </c>
      <c r="K143" s="14">
        <f>K116*Inputs!$H$60</f>
        <v>3871.3538467976755</v>
      </c>
      <c r="L143" s="14">
        <f>L116*Inputs!$H$60</f>
        <v>3902.0294461049371</v>
      </c>
      <c r="M143" s="14">
        <f>M116*Inputs!$H$60</f>
        <v>3841.6869454774837</v>
      </c>
      <c r="N143" s="182">
        <f>N116*Inputs!$H$60</f>
        <v>3709.8137621483424</v>
      </c>
      <c r="O143" s="14">
        <f>O116*Inputs!$H$60</f>
        <v>3727.319854730074</v>
      </c>
      <c r="P143" s="14">
        <f>P116*Inputs!$H$60</f>
        <v>3738.602657731009</v>
      </c>
      <c r="Q143" s="14">
        <f>Q116*Inputs!$H$60</f>
        <v>3716.4736384285911</v>
      </c>
      <c r="R143" s="14">
        <f>R116*Inputs!$H$60</f>
        <v>3742.6298384603615</v>
      </c>
      <c r="S143" s="14">
        <f>S116*Inputs!$H$60</f>
        <v>3768.285385895912</v>
      </c>
      <c r="T143" s="14">
        <f>T116*Inputs!$H$60</f>
        <v>3758.2864059100139</v>
      </c>
      <c r="U143" s="14">
        <f>U116*Inputs!$H$60</f>
        <v>3751.7555309859154</v>
      </c>
      <c r="V143" s="14">
        <f>V116*Inputs!$H$60</f>
        <v>3744.510010250408</v>
      </c>
      <c r="W143" s="14">
        <f>W116*Inputs!$H$60</f>
        <v>3734.4297000026704</v>
      </c>
      <c r="X143" s="187">
        <f>X116*Inputs!$H$60</f>
        <v>3734.4610276849353</v>
      </c>
      <c r="Y143" s="158">
        <f>Y116*Inputs!$H$60</f>
        <v>3734.4908022309555</v>
      </c>
      <c r="Z143" s="158">
        <f>Z116*Inputs!$H$60</f>
        <v>3730.7220374194917</v>
      </c>
      <c r="AA143" s="158">
        <f>AA116*Inputs!$H$60</f>
        <v>3722.4640507429813</v>
      </c>
      <c r="AB143" s="158">
        <f>AB116*Inputs!$H$60</f>
        <v>3716.2966231243713</v>
      </c>
      <c r="AC143" s="158">
        <f>AC116*Inputs!$H$60</f>
        <v>3709.8454601050425</v>
      </c>
      <c r="AD143" s="158">
        <f>AD116*Inputs!$H$60</f>
        <v>3697.8074053502578</v>
      </c>
      <c r="AE143" s="158">
        <f>AE116*Inputs!$H$60</f>
        <v>3673.2548885970532</v>
      </c>
      <c r="AF143" s="158">
        <f>AF116*Inputs!$H$60</f>
        <v>3646.0701589526238</v>
      </c>
      <c r="AG143" s="158">
        <f>AG116*Inputs!$H$60</f>
        <v>3624.5031425746397</v>
      </c>
      <c r="AH143" s="187">
        <f>AH116*Inputs!$H$60</f>
        <v>3605.1749781482204</v>
      </c>
      <c r="AI143" s="48"/>
    </row>
    <row r="144" spans="1:35">
      <c r="A144" s="10" t="s">
        <v>222</v>
      </c>
      <c r="C144" s="331">
        <f>C117*Inputs!$H$61</f>
        <v>2201.6191526999992</v>
      </c>
      <c r="D144" s="331">
        <f>D117*Inputs!$H$61</f>
        <v>2953.7612637413708</v>
      </c>
      <c r="E144" s="331">
        <f>E117*Inputs!$H$61</f>
        <v>3486.6790300517987</v>
      </c>
      <c r="F144" s="331">
        <f>F117*Inputs!$H$61</f>
        <v>4109.2307630981995</v>
      </c>
      <c r="G144" s="331">
        <f>G117*Inputs!$H$61</f>
        <v>3778.8004801867428</v>
      </c>
      <c r="H144" s="402">
        <f>H117*Inputs!$H$61</f>
        <v>3786.4214931920956</v>
      </c>
      <c r="I144" s="14">
        <f>I117*Inputs!$H$61</f>
        <v>4113.0589839029135</v>
      </c>
      <c r="J144" s="14">
        <f>J117*Inputs!$H$61</f>
        <v>4470.1984383282879</v>
      </c>
      <c r="K144" s="14">
        <f>K117*Inputs!$H$61</f>
        <v>4259.2888386632185</v>
      </c>
      <c r="L144" s="14">
        <f>L117*Inputs!$H$61</f>
        <v>4165.9830322039261</v>
      </c>
      <c r="M144" s="14">
        <f>M117*Inputs!$H$61</f>
        <v>4131.4199122549153</v>
      </c>
      <c r="N144" s="182">
        <f>N117*Inputs!$H$61</f>
        <v>4121.3129018265527</v>
      </c>
      <c r="O144" s="14">
        <f>O117*Inputs!$H$61</f>
        <v>4168.6768138360922</v>
      </c>
      <c r="P144" s="14">
        <f>P117*Inputs!$H$61</f>
        <v>4236.291148411131</v>
      </c>
      <c r="Q144" s="14">
        <f>Q117*Inputs!$H$61</f>
        <v>4370.6699676587041</v>
      </c>
      <c r="R144" s="14">
        <f>R117*Inputs!$H$61</f>
        <v>4443.9363368569475</v>
      </c>
      <c r="S144" s="14">
        <f>S117*Inputs!$H$61</f>
        <v>4484.3137335800793</v>
      </c>
      <c r="T144" s="14">
        <f>T117*Inputs!$H$61</f>
        <v>4548.0720537761899</v>
      </c>
      <c r="U144" s="14">
        <f>U117*Inputs!$H$61</f>
        <v>4609.8577432153088</v>
      </c>
      <c r="V144" s="14">
        <f>V117*Inputs!$H$61</f>
        <v>4683.9774148857123</v>
      </c>
      <c r="W144" s="14">
        <f>W117*Inputs!$H$61</f>
        <v>4727.2071483527952</v>
      </c>
      <c r="X144" s="187">
        <f>X117*Inputs!$H$61</f>
        <v>4796.8610621838898</v>
      </c>
      <c r="Y144" s="158">
        <f>Y117*Inputs!$H$61</f>
        <v>4830.5983297445873</v>
      </c>
      <c r="Z144" s="158">
        <f>Z117*Inputs!$H$61</f>
        <v>4880.2177158724362</v>
      </c>
      <c r="AA144" s="158">
        <f>AA117*Inputs!$H$61</f>
        <v>4912.4316528633899</v>
      </c>
      <c r="AB144" s="158">
        <f>AB117*Inputs!$H$61</f>
        <v>4961.1009457553673</v>
      </c>
      <c r="AC144" s="158">
        <f>AC117*Inputs!$H$61</f>
        <v>5040.2279833784896</v>
      </c>
      <c r="AD144" s="158">
        <f>AD117*Inputs!$H$61</f>
        <v>5102.6304465350677</v>
      </c>
      <c r="AE144" s="158">
        <f>AE117*Inputs!$H$61</f>
        <v>5190.0642810113277</v>
      </c>
      <c r="AF144" s="158">
        <f>AF117*Inputs!$H$61</f>
        <v>5284.9326494528377</v>
      </c>
      <c r="AG144" s="158">
        <f>AG117*Inputs!$H$61</f>
        <v>5353.0898993981236</v>
      </c>
      <c r="AH144" s="187">
        <f>AH117*Inputs!$H$61</f>
        <v>5401.4888215668043</v>
      </c>
      <c r="AI144" s="48"/>
    </row>
    <row r="145" spans="1:35">
      <c r="A145" s="10" t="s">
        <v>58</v>
      </c>
      <c r="C145" s="331">
        <f>SUM(C140,C143,C144)</f>
        <v>12341.177117999998</v>
      </c>
      <c r="D145" s="331">
        <f>SUM(D140,D143,D144)</f>
        <v>12452.436637704712</v>
      </c>
      <c r="E145" s="331">
        <f t="shared" ref="E145:AH145" si="94">SUM(E140,E143,E144)</f>
        <v>12917.666895046437</v>
      </c>
      <c r="F145" s="331">
        <f t="shared" si="94"/>
        <v>13247.983446580254</v>
      </c>
      <c r="G145" s="331">
        <f t="shared" si="94"/>
        <v>13389.335163766458</v>
      </c>
      <c r="H145" s="402">
        <f t="shared" si="94"/>
        <v>13628.332052975535</v>
      </c>
      <c r="I145" s="14">
        <f t="shared" si="94"/>
        <v>14301.350949723233</v>
      </c>
      <c r="J145" s="14">
        <f t="shared" si="94"/>
        <v>15204.913522170154</v>
      </c>
      <c r="K145" s="14">
        <f t="shared" si="94"/>
        <v>15884.528520877293</v>
      </c>
      <c r="L145" s="14">
        <f t="shared" si="94"/>
        <v>16713.226816099119</v>
      </c>
      <c r="M145" s="14">
        <f t="shared" si="94"/>
        <v>17765.028140702809</v>
      </c>
      <c r="N145" s="187">
        <f t="shared" si="94"/>
        <v>19098.243419291241</v>
      </c>
      <c r="O145" s="14">
        <f t="shared" si="94"/>
        <v>19431.080733191269</v>
      </c>
      <c r="P145" s="14">
        <f t="shared" si="94"/>
        <v>19811.399212426226</v>
      </c>
      <c r="Q145" s="14">
        <f t="shared" si="94"/>
        <v>20289.395569112483</v>
      </c>
      <c r="R145" s="14">
        <f t="shared" si="94"/>
        <v>20751.44424568172</v>
      </c>
      <c r="S145" s="14">
        <f t="shared" si="94"/>
        <v>21144.774503160475</v>
      </c>
      <c r="T145" s="14">
        <f t="shared" si="94"/>
        <v>21522.101999337319</v>
      </c>
      <c r="U145" s="14">
        <f t="shared" si="94"/>
        <v>21919.372215096795</v>
      </c>
      <c r="V145" s="14">
        <f t="shared" si="94"/>
        <v>22364.457064885137</v>
      </c>
      <c r="W145" s="14">
        <f t="shared" si="94"/>
        <v>22737.648729273613</v>
      </c>
      <c r="X145" s="187">
        <f t="shared" si="94"/>
        <v>23227.692292213484</v>
      </c>
      <c r="Y145" s="158">
        <f t="shared" si="94"/>
        <v>23702.120542486795</v>
      </c>
      <c r="Z145" s="158">
        <f t="shared" si="94"/>
        <v>24236.274656150916</v>
      </c>
      <c r="AA145" s="158">
        <f t="shared" si="94"/>
        <v>24736.337411056375</v>
      </c>
      <c r="AB145" s="158">
        <f t="shared" si="94"/>
        <v>25318.721154965198</v>
      </c>
      <c r="AC145" s="158">
        <f t="shared" si="94"/>
        <v>26023.00882152763</v>
      </c>
      <c r="AD145" s="158">
        <f t="shared" si="94"/>
        <v>26697.652115027646</v>
      </c>
      <c r="AE145" s="158">
        <f t="shared" si="94"/>
        <v>27449.00655647838</v>
      </c>
      <c r="AF145" s="158">
        <f t="shared" si="94"/>
        <v>28257.934552174898</v>
      </c>
      <c r="AG145" s="158">
        <f t="shared" si="94"/>
        <v>29044.868585635668</v>
      </c>
      <c r="AH145" s="187">
        <f t="shared" si="94"/>
        <v>29820.367784188125</v>
      </c>
      <c r="AI145" s="48"/>
    </row>
    <row r="146" spans="1:35" s="1" customFormat="1">
      <c r="A146" s="1" t="s">
        <v>335</v>
      </c>
      <c r="B146" s="13"/>
      <c r="C146" s="341">
        <f>C145-'Output - Jobs vs Yr (BAU)'!C73</f>
        <v>-31.423761000003651</v>
      </c>
      <c r="D146" s="341">
        <f>D145-'Output - Jobs vs Yr (BAU)'!D73</f>
        <v>-78.301252295288577</v>
      </c>
      <c r="E146" s="341">
        <f>E145-'Output - Jobs vs Yr (BAU)'!E73</f>
        <v>37.726652777215349</v>
      </c>
      <c r="F146" s="341">
        <f>F145-'Output - Jobs vs Yr (BAU)'!F73</f>
        <v>228.78659976641939</v>
      </c>
      <c r="G146" s="341">
        <f>G145-'Output - Jobs vs Yr (BAU)'!G73</f>
        <v>286.78113649791703</v>
      </c>
      <c r="H146" s="405">
        <f>H145-'Output - Jobs vs Yr (BAU)'!H73</f>
        <v>413.93682568483746</v>
      </c>
      <c r="I146" s="15">
        <f>I145-'Output - Jobs vs Yr (BAU)'!I73</f>
        <v>682.29426567631344</v>
      </c>
      <c r="J146" s="15">
        <f>J145-'Output - Jobs vs Yr (BAU)'!J73</f>
        <v>883.02559040816413</v>
      </c>
      <c r="K146" s="15">
        <f>K145-'Output - Jobs vs Yr (BAU)'!K73</f>
        <v>1117.3800096375853</v>
      </c>
      <c r="L146" s="15">
        <f>L145-'Output - Jobs vs Yr (BAU)'!L73</f>
        <v>1522.1570351716673</v>
      </c>
      <c r="M146" s="15">
        <f>M145-'Output - Jobs vs Yr (BAU)'!M73</f>
        <v>2158.6326536818415</v>
      </c>
      <c r="N146" s="182">
        <f>N145-'Output - Jobs vs Yr (BAU)'!N73</f>
        <v>3077.8829877695553</v>
      </c>
      <c r="O146" s="15">
        <f>O145-'Output - Jobs vs Yr (BAU)'!O73</f>
        <v>3013.4522928472579</v>
      </c>
      <c r="P146" s="15">
        <f>P145-'Output - Jobs vs Yr (BAU)'!P73</f>
        <v>2962.456345833747</v>
      </c>
      <c r="Q146" s="15">
        <f>Q145-'Output - Jobs vs Yr (BAU)'!Q73</f>
        <v>2930.4563495285729</v>
      </c>
      <c r="R146" s="15">
        <f>R145-'Output - Jobs vs Yr (BAU)'!R73</f>
        <v>2904.2292862049289</v>
      </c>
      <c r="S146" s="15">
        <f>S145-'Output - Jobs vs Yr (BAU)'!S73</f>
        <v>2874.2968750639593</v>
      </c>
      <c r="T146" s="15">
        <f>T145-'Output - Jobs vs Yr (BAU)'!T73</f>
        <v>3105.1809531922045</v>
      </c>
      <c r="U146" s="15">
        <f>U145-'Output - Jobs vs Yr (BAU)'!U73</f>
        <v>3144.2768911706153</v>
      </c>
      <c r="V146" s="15">
        <f>V145-'Output - Jobs vs Yr (BAU)'!V73</f>
        <v>3202.0033496578617</v>
      </c>
      <c r="W146" s="15">
        <f>W145-'Output - Jobs vs Yr (BAU)'!W73</f>
        <v>3259.3697177595022</v>
      </c>
      <c r="X146" s="190">
        <f>X145-'Output - Jobs vs Yr (BAU)'!X73</f>
        <v>3354.5491850997132</v>
      </c>
      <c r="Y146" s="130">
        <f>Y145-'Output - Jobs vs Yr (BAU)'!Y73</f>
        <v>3504.7533660845584</v>
      </c>
      <c r="Z146" s="130">
        <f>Z145-'Output - Jobs vs Yr (BAU)'!Z73</f>
        <v>3672.952310782297</v>
      </c>
      <c r="AA146" s="130">
        <f>AA145-'Output - Jobs vs Yr (BAU)'!AA73</f>
        <v>3839.9857803496743</v>
      </c>
      <c r="AB146" s="130">
        <f>AB145-'Output - Jobs vs Yr (BAU)'!AB73</f>
        <v>4053.1662703432085</v>
      </c>
      <c r="AC146" s="130">
        <f>AC145-'Output - Jobs vs Yr (BAU)'!AC73</f>
        <v>4320.1551640044454</v>
      </c>
      <c r="AD146" s="130">
        <f>AD145-'Output - Jobs vs Yr (BAU)'!AD73</f>
        <v>4577.402240947551</v>
      </c>
      <c r="AE146" s="130">
        <f>AE145-'Output - Jobs vs Yr (BAU)'!AE73</f>
        <v>4848.8227135788984</v>
      </c>
      <c r="AF146" s="130">
        <f>AF145-'Output - Jobs vs Yr (BAU)'!AF73</f>
        <v>5146.8311462434613</v>
      </c>
      <c r="AG146" s="130">
        <f>AG145-'Output - Jobs vs Yr (BAU)'!AG73</f>
        <v>5462.2509032612106</v>
      </c>
      <c r="AH146" s="190">
        <f>AH145-'Output - Jobs vs Yr (BAU)'!AH73</f>
        <v>5796.7452914848072</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26119.935189000003</v>
      </c>
      <c r="D176" s="334">
        <f>'Output - Jobs vs Yr (BAU)'!D55+'Output - Jobs vs Yr (BAU)'!D73</f>
        <v>26453.779990000003</v>
      </c>
      <c r="E176" s="334">
        <f>'Output - Jobs vs Yr (BAU)'!E55+'Output - Jobs vs Yr (BAU)'!E73</f>
        <v>27190.984955901695</v>
      </c>
      <c r="F176" s="334">
        <f>'Output - Jobs vs Yr (BAU)'!F55+'Output - Jobs vs Yr (BAU)'!F73</f>
        <v>27484.971121051429</v>
      </c>
      <c r="G176" s="334">
        <f>'Output - Jobs vs Yr (BAU)'!G55+'Output - Jobs vs Yr (BAU)'!G73</f>
        <v>27660.947390900255</v>
      </c>
      <c r="H176" s="404">
        <f>'Output - Jobs vs Yr (BAU)'!H55+'Output - Jobs vs Yr (BAU)'!H73</f>
        <v>27897.056590947028</v>
      </c>
      <c r="I176" s="19">
        <f>'Output - Jobs vs Yr (BAU)'!I55+'Output - Jobs vs Yr (BAU)'!I73</f>
        <v>28751.341888543502</v>
      </c>
      <c r="J176" s="19">
        <f>'Output - Jobs vs Yr (BAU)'!J55+'Output - Jobs vs Yr (BAU)'!J73</f>
        <v>30235.096744830869</v>
      </c>
      <c r="K176" s="19">
        <f>'Output - Jobs vs Yr (BAU)'!K55+'Output - Jobs vs Yr (BAU)'!K73</f>
        <v>31175.091301506043</v>
      </c>
      <c r="L176" s="19">
        <f>'Output - Jobs vs Yr (BAU)'!L55+'Output - Jobs vs Yr (BAU)'!L73</f>
        <v>32070.036204180178</v>
      </c>
      <c r="M176" s="19">
        <f>'Output - Jobs vs Yr (BAU)'!M55+'Output - Jobs vs Yr (BAU)'!M73</f>
        <v>32946.834917044267</v>
      </c>
      <c r="N176" s="182">
        <f>'Output - Jobs vs Yr (BAU)'!N55+'Output - Jobs vs Yr (BAU)'!N73</f>
        <v>33820.760910990226</v>
      </c>
      <c r="O176" s="19">
        <f>'Output - Jobs vs Yr (BAU)'!O55+'Output - Jobs vs Yr (BAU)'!O73</f>
        <v>34659.437818504026</v>
      </c>
      <c r="P176" s="19">
        <f>'Output - Jobs vs Yr (BAU)'!P55+'Output - Jobs vs Yr (BAU)'!P73</f>
        <v>35569.990496139675</v>
      </c>
      <c r="Q176" s="19">
        <f>'Output - Jobs vs Yr (BAU)'!Q55+'Output - Jobs vs Yr (BAU)'!Q73</f>
        <v>36646.649463566035</v>
      </c>
      <c r="R176" s="19">
        <f>'Output - Jobs vs Yr (BAU)'!R55+'Output - Jobs vs Yr (BAU)'!R73</f>
        <v>37677.453803339893</v>
      </c>
      <c r="S176" s="19">
        <f>'Output - Jobs vs Yr (BAU)'!S55+'Output - Jobs vs Yr (BAU)'!S73</f>
        <v>38571.008325981529</v>
      </c>
      <c r="T176" s="19">
        <f>'Output - Jobs vs Yr (BAU)'!T55+'Output - Jobs vs Yr (BAU)'!T73</f>
        <v>38880.166652973014</v>
      </c>
      <c r="U176" s="19">
        <f>'Output - Jobs vs Yr (BAU)'!U55+'Output - Jobs vs Yr (BAU)'!U73</f>
        <v>39636.312350510823</v>
      </c>
      <c r="V176" s="19">
        <f>'Output - Jobs vs Yr (BAU)'!V55+'Output - Jobs vs Yr (BAU)'!V73</f>
        <v>40454.068954368689</v>
      </c>
      <c r="W176" s="19">
        <f>'Output - Jobs vs Yr (BAU)'!W55+'Output - Jobs vs Yr (BAU)'!W73</f>
        <v>41120.811246529789</v>
      </c>
      <c r="X176" s="182">
        <f>'Output - Jobs vs Yr (BAU)'!X55+'Output - Jobs vs Yr (BAU)'!X73</f>
        <v>41954.413226129072</v>
      </c>
      <c r="Y176" s="206">
        <f>'Output - Jobs vs Yr (BAU)'!Y55+'Output - Jobs vs Yr (BAU)'!Y73</f>
        <v>42638.886261293606</v>
      </c>
      <c r="Z176" s="206">
        <f>'Output - Jobs vs Yr (BAU)'!Z55+'Output - Jobs vs Yr (BAU)'!Z73</f>
        <v>43411.458284667082</v>
      </c>
      <c r="AA176" s="206">
        <f>'Output - Jobs vs Yr (BAU)'!AA55+'Output - Jobs vs Yr (BAU)'!AA73</f>
        <v>44114.520109269695</v>
      </c>
      <c r="AB176" s="206">
        <f>'Output - Jobs vs Yr (BAU)'!AB55+'Output - Jobs vs Yr (BAU)'!AB73</f>
        <v>44893.949200868643</v>
      </c>
      <c r="AC176" s="206">
        <f>'Output - Jobs vs Yr (BAU)'!AC55+'Output - Jobs vs Yr (BAU)'!AC73</f>
        <v>45817.135499215612</v>
      </c>
      <c r="AD176" s="206">
        <f>'Output - Jobs vs Yr (BAU)'!AD55+'Output - Jobs vs Yr (BAU)'!AD73</f>
        <v>46698.305289724638</v>
      </c>
      <c r="AE176" s="206">
        <f>'Output - Jobs vs Yr (BAU)'!AE55+'Output - Jobs vs Yr (BAU)'!AE73</f>
        <v>47711.4992238989</v>
      </c>
      <c r="AF176" s="206">
        <f>'Output - Jobs vs Yr (BAU)'!AF55+'Output - Jobs vs Yr (BAU)'!AF73</f>
        <v>48790.107190299692</v>
      </c>
      <c r="AG176" s="206">
        <f>'Output - Jobs vs Yr (BAU)'!AG55+'Output - Jobs vs Yr (BAU)'!AG73</f>
        <v>49785.526218346073</v>
      </c>
      <c r="AH176" s="182">
        <f>'Output - Jobs vs Yr (BAU)'!AH55+'Output - Jobs vs Yr (BAU)'!AH73</f>
        <v>50716.536373484778</v>
      </c>
      <c r="AI176" s="1"/>
    </row>
    <row r="177" spans="1:35">
      <c r="A177" s="76" t="s">
        <v>300</v>
      </c>
      <c r="C177" s="334">
        <f>'Output - Jobs vs Yr (BAU)'!C55</f>
        <v>13747.334310000002</v>
      </c>
      <c r="D177" s="334">
        <f>'Output - Jobs vs Yr (BAU)'!D55</f>
        <v>13923.042100000001</v>
      </c>
      <c r="E177" s="334">
        <f>'Output - Jobs vs Yr (BAU)'!E55</f>
        <v>14311.044713632471</v>
      </c>
      <c r="F177" s="334">
        <f>'Output - Jobs vs Yr (BAU)'!F55</f>
        <v>14465.774274237596</v>
      </c>
      <c r="G177" s="334">
        <f>'Output - Jobs vs Yr (BAU)'!G55</f>
        <v>14558.393363631712</v>
      </c>
      <c r="H177" s="404">
        <f>'Output - Jobs vs Yr (BAU)'!H55</f>
        <v>14682.661363656331</v>
      </c>
      <c r="I177" s="19">
        <f>'Output - Jobs vs Yr (BAU)'!I55</f>
        <v>15132.28520449658</v>
      </c>
      <c r="J177" s="19">
        <f>'Output - Jobs vs Yr (BAU)'!J55</f>
        <v>15913.208813068879</v>
      </c>
      <c r="K177" s="19">
        <f>'Output - Jobs vs Yr (BAU)'!K55</f>
        <v>16407.942790266337</v>
      </c>
      <c r="L177" s="19">
        <f>'Output - Jobs vs Yr (BAU)'!L55</f>
        <v>16878.966423252725</v>
      </c>
      <c r="M177" s="19">
        <f>'Output - Jobs vs Yr (BAU)'!M55</f>
        <v>17340.439430023296</v>
      </c>
      <c r="N177" s="182">
        <f>'Output - Jobs vs Yr (BAU)'!N55</f>
        <v>17800.400479468539</v>
      </c>
      <c r="O177" s="19">
        <f>'Output - Jobs vs Yr (BAU)'!O55</f>
        <v>18241.809378160011</v>
      </c>
      <c r="P177" s="19">
        <f>'Output - Jobs vs Yr (BAU)'!P55</f>
        <v>18721.047629547196</v>
      </c>
      <c r="Q177" s="19">
        <f>'Output - Jobs vs Yr (BAU)'!Q55</f>
        <v>19287.710243982121</v>
      </c>
      <c r="R177" s="19">
        <f>'Output - Jobs vs Yr (BAU)'!R55</f>
        <v>19830.238843863102</v>
      </c>
      <c r="S177" s="19">
        <f>'Output - Jobs vs Yr (BAU)'!S55</f>
        <v>20300.530697885013</v>
      </c>
      <c r="T177" s="19">
        <f>'Output - Jobs vs Yr (BAU)'!T55</f>
        <v>20463.245606827903</v>
      </c>
      <c r="U177" s="19">
        <f>'Output - Jobs vs Yr (BAU)'!U55</f>
        <v>20861.217026584643</v>
      </c>
      <c r="V177" s="19">
        <f>'Output - Jobs vs Yr (BAU)'!V55</f>
        <v>21291.615239141414</v>
      </c>
      <c r="W177" s="19">
        <f>'Output - Jobs vs Yr (BAU)'!W55</f>
        <v>21642.532235015675</v>
      </c>
      <c r="X177" s="182">
        <f>'Output - Jobs vs Yr (BAU)'!X55</f>
        <v>22081.270119015302</v>
      </c>
      <c r="Y177" s="206">
        <f>'Output - Jobs vs Yr (BAU)'!Y55</f>
        <v>22441.51908489137</v>
      </c>
      <c r="Z177" s="206">
        <f>'Output - Jobs vs Yr (BAU)'!Z55</f>
        <v>22848.135939298463</v>
      </c>
      <c r="AA177" s="206">
        <f>'Output - Jobs vs Yr (BAU)'!AA55</f>
        <v>23218.168478562999</v>
      </c>
      <c r="AB177" s="206">
        <f>'Output - Jobs vs Yr (BAU)'!AB55</f>
        <v>23628.394316246653</v>
      </c>
      <c r="AC177" s="206">
        <f>'Output - Jobs vs Yr (BAU)'!AC55</f>
        <v>24114.281841692431</v>
      </c>
      <c r="AD177" s="206">
        <f>'Output - Jobs vs Yr (BAU)'!AD55</f>
        <v>24578.055415644547</v>
      </c>
      <c r="AE177" s="206">
        <f>'Output - Jobs vs Yr (BAU)'!AE55</f>
        <v>25111.315380999418</v>
      </c>
      <c r="AF177" s="206">
        <f>'Output - Jobs vs Yr (BAU)'!AF55</f>
        <v>25679.003784368258</v>
      </c>
      <c r="AG177" s="206">
        <f>'Output - Jobs vs Yr (BAU)'!AG55</f>
        <v>26202.908535971619</v>
      </c>
      <c r="AH177" s="182">
        <f>'Output - Jobs vs Yr (BAU)'!AH55</f>
        <v>26692.913880781463</v>
      </c>
      <c r="AI177" s="1"/>
    </row>
    <row r="178" spans="1:35">
      <c r="A178" s="76" t="s">
        <v>301</v>
      </c>
      <c r="C178" s="334">
        <f>'Output - Jobs vs Yr (BAU)'!C73</f>
        <v>12372.600879000001</v>
      </c>
      <c r="D178" s="334">
        <f>'Output - Jobs vs Yr (BAU)'!D73</f>
        <v>12530.73789</v>
      </c>
      <c r="E178" s="334">
        <f>'Output - Jobs vs Yr (BAU)'!E73</f>
        <v>12879.940242269222</v>
      </c>
      <c r="F178" s="334">
        <f>'Output - Jobs vs Yr (BAU)'!F73</f>
        <v>13019.196846813835</v>
      </c>
      <c r="G178" s="334">
        <f>'Output - Jobs vs Yr (BAU)'!G73</f>
        <v>13102.554027268541</v>
      </c>
      <c r="H178" s="404">
        <f>'Output - Jobs vs Yr (BAU)'!H73</f>
        <v>13214.395227290697</v>
      </c>
      <c r="I178" s="19">
        <f>'Output - Jobs vs Yr (BAU)'!I73</f>
        <v>13619.05668404692</v>
      </c>
      <c r="J178" s="19">
        <f>'Output - Jobs vs Yr (BAU)'!J73</f>
        <v>14321.88793176199</v>
      </c>
      <c r="K178" s="19">
        <f>'Output - Jobs vs Yr (BAU)'!K73</f>
        <v>14767.148511239708</v>
      </c>
      <c r="L178" s="19">
        <f>'Output - Jobs vs Yr (BAU)'!L73</f>
        <v>15191.069780927452</v>
      </c>
      <c r="M178" s="19">
        <f>'Output - Jobs vs Yr (BAU)'!M73</f>
        <v>15606.395487020967</v>
      </c>
      <c r="N178" s="182">
        <f>'Output - Jobs vs Yr (BAU)'!N73</f>
        <v>16020.360431521685</v>
      </c>
      <c r="O178" s="19">
        <f>'Output - Jobs vs Yr (BAU)'!O73</f>
        <v>16417.628440344011</v>
      </c>
      <c r="P178" s="19">
        <f>'Output - Jobs vs Yr (BAU)'!P73</f>
        <v>16848.942866592479</v>
      </c>
      <c r="Q178" s="19">
        <f>'Output - Jobs vs Yr (BAU)'!Q73</f>
        <v>17358.93921958391</v>
      </c>
      <c r="R178" s="19">
        <f>'Output - Jobs vs Yr (BAU)'!R73</f>
        <v>17847.214959476791</v>
      </c>
      <c r="S178" s="19">
        <f>'Output - Jobs vs Yr (BAU)'!S73</f>
        <v>18270.477628096516</v>
      </c>
      <c r="T178" s="19">
        <f>'Output - Jobs vs Yr (BAU)'!T73</f>
        <v>18416.921046145115</v>
      </c>
      <c r="U178" s="19">
        <f>'Output - Jobs vs Yr (BAU)'!U73</f>
        <v>18775.09532392618</v>
      </c>
      <c r="V178" s="19">
        <f>'Output - Jobs vs Yr (BAU)'!V73</f>
        <v>19162.453715227275</v>
      </c>
      <c r="W178" s="19">
        <f>'Output - Jobs vs Yr (BAU)'!W73</f>
        <v>19478.279011514111</v>
      </c>
      <c r="X178" s="182">
        <f>'Output - Jobs vs Yr (BAU)'!X73</f>
        <v>19873.14310711377</v>
      </c>
      <c r="Y178" s="206">
        <f>'Output - Jobs vs Yr (BAU)'!Y73</f>
        <v>20197.367176402237</v>
      </c>
      <c r="Z178" s="206">
        <f>'Output - Jobs vs Yr (BAU)'!Z73</f>
        <v>20563.322345368619</v>
      </c>
      <c r="AA178" s="206">
        <f>'Output - Jobs vs Yr (BAU)'!AA73</f>
        <v>20896.3516307067</v>
      </c>
      <c r="AB178" s="206">
        <f>'Output - Jobs vs Yr (BAU)'!AB73</f>
        <v>21265.55488462199</v>
      </c>
      <c r="AC178" s="206">
        <f>'Output - Jobs vs Yr (BAU)'!AC73</f>
        <v>21702.853657523185</v>
      </c>
      <c r="AD178" s="206">
        <f>'Output - Jobs vs Yr (BAU)'!AD73</f>
        <v>22120.249874080095</v>
      </c>
      <c r="AE178" s="206">
        <f>'Output - Jobs vs Yr (BAU)'!AE73</f>
        <v>22600.183842899482</v>
      </c>
      <c r="AF178" s="206">
        <f>'Output - Jobs vs Yr (BAU)'!AF73</f>
        <v>23111.103405931437</v>
      </c>
      <c r="AG178" s="206">
        <f>'Output - Jobs vs Yr (BAU)'!AG73</f>
        <v>23582.617682374457</v>
      </c>
      <c r="AH178" s="182">
        <f>'Output - Jobs vs Yr (BAU)'!AH73</f>
        <v>24023.622492703318</v>
      </c>
      <c r="AI178" s="80" t="s">
        <v>0</v>
      </c>
    </row>
    <row r="179" spans="1:35">
      <c r="A179" s="75" t="s">
        <v>298</v>
      </c>
      <c r="C179" s="331">
        <f>SUM(C118,C145)</f>
        <v>26053.596437999997</v>
      </c>
      <c r="D179" s="331">
        <f t="shared" ref="D179:AH179" si="99">SUM(D118,D145)+D249+D252</f>
        <v>26288.477680048629</v>
      </c>
      <c r="E179" s="331">
        <f t="shared" si="99"/>
        <v>27270.630492636843</v>
      </c>
      <c r="F179" s="331">
        <f t="shared" si="99"/>
        <v>27967.965482456166</v>
      </c>
      <c r="G179" s="331">
        <f t="shared" si="99"/>
        <v>28266.374713767247</v>
      </c>
      <c r="H179" s="402">
        <f>SUM(H118,H145)+H249+H252</f>
        <v>28770.923522948353</v>
      </c>
      <c r="I179" s="14">
        <f t="shared" si="99"/>
        <v>30191.741237542057</v>
      </c>
      <c r="J179" s="14">
        <f t="shared" si="99"/>
        <v>32099.262276862555</v>
      </c>
      <c r="K179" s="14">
        <f t="shared" si="99"/>
        <v>33534.005102110154</v>
      </c>
      <c r="L179" s="14">
        <f t="shared" si="99"/>
        <v>35283.479336970762</v>
      </c>
      <c r="M179" s="14">
        <f t="shared" si="99"/>
        <v>37503.948863358681</v>
      </c>
      <c r="N179" s="187">
        <f t="shared" si="99"/>
        <v>40318.514522773148</v>
      </c>
      <c r="O179" s="14">
        <f t="shared" si="99"/>
        <v>41021.171102891836</v>
      </c>
      <c r="P179" s="14">
        <f t="shared" si="99"/>
        <v>41824.065701279775</v>
      </c>
      <c r="Q179" s="14">
        <f t="shared" si="99"/>
        <v>42833.169156581993</v>
      </c>
      <c r="R179" s="14">
        <f t="shared" si="99"/>
        <v>43808.60528778653</v>
      </c>
      <c r="S179" s="14">
        <f t="shared" si="99"/>
        <v>44638.969199467014</v>
      </c>
      <c r="T179" s="14">
        <f t="shared" si="99"/>
        <v>45435.549504376206</v>
      </c>
      <c r="U179" s="14">
        <f t="shared" si="99"/>
        <v>46274.231108003682</v>
      </c>
      <c r="V179" s="14">
        <f t="shared" si="99"/>
        <v>47213.854719832307</v>
      </c>
      <c r="W179" s="14">
        <f t="shared" si="99"/>
        <v>48001.70382730561</v>
      </c>
      <c r="X179" s="187">
        <f t="shared" si="99"/>
        <v>49036.240282221392</v>
      </c>
      <c r="Y179" s="158">
        <f t="shared" si="99"/>
        <v>50037.811080945292</v>
      </c>
      <c r="Z179" s="158">
        <f t="shared" si="99"/>
        <v>51165.469817658275</v>
      </c>
      <c r="AA179" s="158">
        <f t="shared" si="99"/>
        <v>52221.157908116729</v>
      </c>
      <c r="AB179" s="158">
        <f t="shared" si="99"/>
        <v>53450.634758588167</v>
      </c>
      <c r="AC179" s="158">
        <f t="shared" si="99"/>
        <v>54937.464342349951</v>
      </c>
      <c r="AD179" s="158">
        <f t="shared" si="99"/>
        <v>56361.711361285496</v>
      </c>
      <c r="AE179" s="158">
        <f t="shared" si="99"/>
        <v>57947.904142893538</v>
      </c>
      <c r="AF179" s="158">
        <f t="shared" si="99"/>
        <v>59655.641099737106</v>
      </c>
      <c r="AG179" s="158">
        <f t="shared" si="99"/>
        <v>61316.946359604684</v>
      </c>
      <c r="AH179" s="187">
        <f t="shared" si="99"/>
        <v>62954.111414010156</v>
      </c>
    </row>
    <row r="180" spans="1:35">
      <c r="A180" s="76" t="s">
        <v>302</v>
      </c>
      <c r="C180" s="331">
        <f>C118</f>
        <v>13712.419319999999</v>
      </c>
      <c r="D180" s="331">
        <f t="shared" ref="D180:AH180" si="100">D118+D250+D253</f>
        <v>13836.041042343919</v>
      </c>
      <c r="E180" s="331">
        <f t="shared" si="100"/>
        <v>14352.963597590406</v>
      </c>
      <c r="F180" s="331">
        <f t="shared" si="100"/>
        <v>14719.98203587591</v>
      </c>
      <c r="G180" s="331">
        <f t="shared" si="100"/>
        <v>14877.039550000787</v>
      </c>
      <c r="H180" s="402">
        <f t="shared" si="100"/>
        <v>15142.591469972816</v>
      </c>
      <c r="I180" s="14">
        <f t="shared" si="100"/>
        <v>15890.390287818824</v>
      </c>
      <c r="J180" s="14">
        <f t="shared" si="100"/>
        <v>16894.348754692401</v>
      </c>
      <c r="K180" s="14">
        <f t="shared" si="100"/>
        <v>17649.476581232862</v>
      </c>
      <c r="L180" s="14">
        <f t="shared" si="100"/>
        <v>18570.25252087164</v>
      </c>
      <c r="M180" s="14">
        <f t="shared" si="100"/>
        <v>19738.920722655872</v>
      </c>
      <c r="N180" s="187">
        <f t="shared" si="100"/>
        <v>21220.271103481908</v>
      </c>
      <c r="O180" s="14">
        <f t="shared" si="100"/>
        <v>21590.090369700571</v>
      </c>
      <c r="P180" s="14">
        <f t="shared" si="100"/>
        <v>22012.666488853545</v>
      </c>
      <c r="Q180" s="14">
        <f t="shared" si="100"/>
        <v>22543.77358746951</v>
      </c>
      <c r="R180" s="14">
        <f t="shared" si="100"/>
        <v>23057.16104210481</v>
      </c>
      <c r="S180" s="14">
        <f t="shared" si="100"/>
        <v>23494.194696306542</v>
      </c>
      <c r="T180" s="14">
        <f t="shared" si="100"/>
        <v>23913.447505038886</v>
      </c>
      <c r="U180" s="14">
        <f t="shared" si="100"/>
        <v>24354.858892906886</v>
      </c>
      <c r="V180" s="14">
        <f t="shared" si="100"/>
        <v>24849.397654947174</v>
      </c>
      <c r="W180" s="14">
        <f t="shared" si="100"/>
        <v>25264.055098032</v>
      </c>
      <c r="X180" s="187">
        <f t="shared" si="100"/>
        <v>25808.547990007912</v>
      </c>
      <c r="Y180" s="158">
        <f t="shared" si="100"/>
        <v>26335.690538458493</v>
      </c>
      <c r="Z180" s="158">
        <f t="shared" si="100"/>
        <v>26929.195161507356</v>
      </c>
      <c r="AA180" s="158">
        <f t="shared" si="100"/>
        <v>27484.820497060351</v>
      </c>
      <c r="AB180" s="158">
        <f t="shared" si="100"/>
        <v>28131.913603622968</v>
      </c>
      <c r="AC180" s="158">
        <f t="shared" si="100"/>
        <v>28914.455520822325</v>
      </c>
      <c r="AD180" s="158">
        <f t="shared" si="100"/>
        <v>29664.05924625785</v>
      </c>
      <c r="AE180" s="158">
        <f t="shared" si="100"/>
        <v>30498.897586415158</v>
      </c>
      <c r="AF180" s="158">
        <f t="shared" si="100"/>
        <v>31397.706547562208</v>
      </c>
      <c r="AG180" s="158">
        <f t="shared" si="100"/>
        <v>32272.077773969013</v>
      </c>
      <c r="AH180" s="187">
        <f t="shared" si="100"/>
        <v>33133.743629822035</v>
      </c>
    </row>
    <row r="181" spans="1:35">
      <c r="A181" s="76" t="s">
        <v>303</v>
      </c>
      <c r="C181" s="331">
        <f>C145</f>
        <v>12341.177117999998</v>
      </c>
      <c r="D181" s="331">
        <f t="shared" ref="D181:AH181" si="101">D145+D251+D254</f>
        <v>12452.436637704712</v>
      </c>
      <c r="E181" s="331">
        <f t="shared" si="101"/>
        <v>12917.666895046437</v>
      </c>
      <c r="F181" s="331">
        <f t="shared" si="101"/>
        <v>13247.983446580254</v>
      </c>
      <c r="G181" s="331">
        <f t="shared" si="101"/>
        <v>13389.335163766458</v>
      </c>
      <c r="H181" s="402">
        <f>H145+H251+H254</f>
        <v>13628.332052975535</v>
      </c>
      <c r="I181" s="14">
        <f t="shared" si="101"/>
        <v>14301.350949723233</v>
      </c>
      <c r="J181" s="14">
        <f t="shared" si="101"/>
        <v>15204.913522170154</v>
      </c>
      <c r="K181" s="14">
        <f t="shared" si="101"/>
        <v>15884.528520877293</v>
      </c>
      <c r="L181" s="14">
        <f t="shared" si="101"/>
        <v>16713.226816099119</v>
      </c>
      <c r="M181" s="14">
        <f t="shared" si="101"/>
        <v>17765.028140702809</v>
      </c>
      <c r="N181" s="187">
        <f t="shared" si="101"/>
        <v>19098.243419291241</v>
      </c>
      <c r="O181" s="14">
        <f t="shared" si="101"/>
        <v>19431.080733191269</v>
      </c>
      <c r="P181" s="14">
        <f t="shared" si="101"/>
        <v>19811.399212426226</v>
      </c>
      <c r="Q181" s="14">
        <f t="shared" si="101"/>
        <v>20289.395569112483</v>
      </c>
      <c r="R181" s="14">
        <f t="shared" si="101"/>
        <v>20751.44424568172</v>
      </c>
      <c r="S181" s="14">
        <f t="shared" si="101"/>
        <v>21144.774503160475</v>
      </c>
      <c r="T181" s="14">
        <f t="shared" si="101"/>
        <v>21522.101999337319</v>
      </c>
      <c r="U181" s="14">
        <f t="shared" si="101"/>
        <v>21919.372215096795</v>
      </c>
      <c r="V181" s="14">
        <f t="shared" si="101"/>
        <v>22364.457064885137</v>
      </c>
      <c r="W181" s="14">
        <f t="shared" si="101"/>
        <v>22737.648729273613</v>
      </c>
      <c r="X181" s="187">
        <f t="shared" si="101"/>
        <v>23227.692292213484</v>
      </c>
      <c r="Y181" s="158">
        <f t="shared" si="101"/>
        <v>23702.120542486795</v>
      </c>
      <c r="Z181" s="158">
        <f t="shared" si="101"/>
        <v>24236.274656150916</v>
      </c>
      <c r="AA181" s="158">
        <f t="shared" si="101"/>
        <v>24736.337411056375</v>
      </c>
      <c r="AB181" s="158">
        <f t="shared" si="101"/>
        <v>25318.721154965198</v>
      </c>
      <c r="AC181" s="158">
        <f t="shared" si="101"/>
        <v>26023.00882152763</v>
      </c>
      <c r="AD181" s="158">
        <f t="shared" si="101"/>
        <v>26697.652115027646</v>
      </c>
      <c r="AE181" s="158">
        <f t="shared" si="101"/>
        <v>27449.00655647838</v>
      </c>
      <c r="AF181" s="158">
        <f t="shared" si="101"/>
        <v>28257.934552174898</v>
      </c>
      <c r="AG181" s="158">
        <f t="shared" si="101"/>
        <v>29044.868585635668</v>
      </c>
      <c r="AH181" s="187">
        <f t="shared" si="101"/>
        <v>29820.367784188125</v>
      </c>
      <c r="AI181" s="31" t="s">
        <v>0</v>
      </c>
    </row>
    <row r="182" spans="1:35" s="1" customFormat="1">
      <c r="A182" s="75" t="s">
        <v>304</v>
      </c>
      <c r="B182" s="13"/>
      <c r="C182" s="341" t="s">
        <v>0</v>
      </c>
      <c r="D182" s="341">
        <f t="shared" ref="D182:AH182" si="102">D179-D176</f>
        <v>-165.3023099513739</v>
      </c>
      <c r="E182" s="341">
        <f t="shared" si="102"/>
        <v>79.645536735148198</v>
      </c>
      <c r="F182" s="341">
        <f t="shared" si="102"/>
        <v>482.99436140473699</v>
      </c>
      <c r="G182" s="341">
        <f t="shared" si="102"/>
        <v>605.42732286699174</v>
      </c>
      <c r="H182" s="405">
        <f>H179-H176</f>
        <v>873.86693200132504</v>
      </c>
      <c r="I182" s="15">
        <f t="shared" si="102"/>
        <v>1440.3993489985551</v>
      </c>
      <c r="J182" s="15">
        <f t="shared" si="102"/>
        <v>1864.1655320316859</v>
      </c>
      <c r="K182" s="15">
        <f t="shared" si="102"/>
        <v>2358.9138006041103</v>
      </c>
      <c r="L182" s="15">
        <f t="shared" si="102"/>
        <v>3213.4431327905841</v>
      </c>
      <c r="M182" s="15">
        <f t="shared" si="102"/>
        <v>4557.1139463144136</v>
      </c>
      <c r="N182" s="190">
        <f t="shared" si="102"/>
        <v>6497.7536117829222</v>
      </c>
      <c r="O182" s="15">
        <f t="shared" si="102"/>
        <v>6361.7332843878103</v>
      </c>
      <c r="P182" s="15">
        <f t="shared" si="102"/>
        <v>6254.0752051400996</v>
      </c>
      <c r="Q182" s="15">
        <f t="shared" si="102"/>
        <v>6186.5196930159582</v>
      </c>
      <c r="R182" s="15">
        <f t="shared" si="102"/>
        <v>6131.1514844466365</v>
      </c>
      <c r="S182" s="15">
        <f t="shared" si="102"/>
        <v>6067.9608734854846</v>
      </c>
      <c r="T182" s="15">
        <f t="shared" si="102"/>
        <v>6555.382851403192</v>
      </c>
      <c r="U182" s="15">
        <f t="shared" si="102"/>
        <v>6637.9187574928583</v>
      </c>
      <c r="V182" s="15">
        <f t="shared" si="102"/>
        <v>6759.7857654636173</v>
      </c>
      <c r="W182" s="15">
        <f t="shared" si="102"/>
        <v>6880.8925807758205</v>
      </c>
      <c r="X182" s="190">
        <f t="shared" si="102"/>
        <v>7081.8270560923193</v>
      </c>
      <c r="Y182" s="130">
        <f t="shared" si="102"/>
        <v>7398.9248196516855</v>
      </c>
      <c r="Z182" s="130">
        <f t="shared" si="102"/>
        <v>7754.0115329911932</v>
      </c>
      <c r="AA182" s="130">
        <f t="shared" si="102"/>
        <v>8106.637798847034</v>
      </c>
      <c r="AB182" s="130">
        <f t="shared" si="102"/>
        <v>8556.6855577195238</v>
      </c>
      <c r="AC182" s="130">
        <f t="shared" si="102"/>
        <v>9120.328843134339</v>
      </c>
      <c r="AD182" s="130">
        <f t="shared" si="102"/>
        <v>9663.4060715608575</v>
      </c>
      <c r="AE182" s="130">
        <f t="shared" si="102"/>
        <v>10236.404918994638</v>
      </c>
      <c r="AF182" s="130">
        <f t="shared" si="102"/>
        <v>10865.533909437414</v>
      </c>
      <c r="AG182" s="130">
        <f t="shared" si="102"/>
        <v>11531.420141258612</v>
      </c>
      <c r="AH182" s="190">
        <f t="shared" si="102"/>
        <v>12237.575040525378</v>
      </c>
    </row>
    <row r="183" spans="1:35" s="20" customFormat="1">
      <c r="A183" s="20" t="s">
        <v>305</v>
      </c>
      <c r="B183" s="33"/>
      <c r="C183" s="334" t="s">
        <v>0</v>
      </c>
      <c r="D183" s="334">
        <f t="shared" ref="D183:AH183" si="103">D180-D177</f>
        <v>-87.001057656081684</v>
      </c>
      <c r="E183" s="334">
        <f t="shared" si="103"/>
        <v>41.918883957934668</v>
      </c>
      <c r="F183" s="334">
        <f t="shared" si="103"/>
        <v>254.20776163831397</v>
      </c>
      <c r="G183" s="334">
        <f t="shared" si="103"/>
        <v>318.64618636907471</v>
      </c>
      <c r="H183" s="404">
        <f>H180-H177</f>
        <v>459.93010631648576</v>
      </c>
      <c r="I183" s="19">
        <f t="shared" si="103"/>
        <v>758.10508332224344</v>
      </c>
      <c r="J183" s="19">
        <f t="shared" si="103"/>
        <v>981.13994162352174</v>
      </c>
      <c r="K183" s="19">
        <f t="shared" si="103"/>
        <v>1241.533790966525</v>
      </c>
      <c r="L183" s="19">
        <f t="shared" si="103"/>
        <v>1691.2860976189149</v>
      </c>
      <c r="M183" s="19">
        <f t="shared" si="103"/>
        <v>2398.4812926325758</v>
      </c>
      <c r="N183" s="182">
        <f t="shared" si="103"/>
        <v>3419.8706240133688</v>
      </c>
      <c r="O183" s="19">
        <f t="shared" si="103"/>
        <v>3348.2809915405596</v>
      </c>
      <c r="P183" s="19">
        <f t="shared" si="103"/>
        <v>3291.6188593063489</v>
      </c>
      <c r="Q183" s="19">
        <f t="shared" si="103"/>
        <v>3256.0633434873889</v>
      </c>
      <c r="R183" s="19">
        <f t="shared" si="103"/>
        <v>3226.9221982417075</v>
      </c>
      <c r="S183" s="19">
        <f t="shared" si="103"/>
        <v>3193.663998421529</v>
      </c>
      <c r="T183" s="19">
        <f t="shared" si="103"/>
        <v>3450.2018982109839</v>
      </c>
      <c r="U183" s="19">
        <f t="shared" si="103"/>
        <v>3493.641866322243</v>
      </c>
      <c r="V183" s="19">
        <f t="shared" si="103"/>
        <v>3557.7824158057592</v>
      </c>
      <c r="W183" s="19">
        <f t="shared" si="103"/>
        <v>3621.5228630163256</v>
      </c>
      <c r="X183" s="182">
        <f t="shared" si="103"/>
        <v>3727.2778709926097</v>
      </c>
      <c r="Y183" s="206">
        <f t="shared" si="103"/>
        <v>3894.1714535671235</v>
      </c>
      <c r="Z183" s="206">
        <f t="shared" si="103"/>
        <v>4081.0592222088926</v>
      </c>
      <c r="AA183" s="206">
        <f t="shared" si="103"/>
        <v>4266.6520184973524</v>
      </c>
      <c r="AB183" s="206">
        <f t="shared" si="103"/>
        <v>4503.5192873763153</v>
      </c>
      <c r="AC183" s="206">
        <f t="shared" si="103"/>
        <v>4800.1736791298936</v>
      </c>
      <c r="AD183" s="206">
        <f t="shared" si="103"/>
        <v>5086.0038306133029</v>
      </c>
      <c r="AE183" s="206">
        <f t="shared" si="103"/>
        <v>5387.5822054157397</v>
      </c>
      <c r="AF183" s="206">
        <f t="shared" si="103"/>
        <v>5718.7027631939491</v>
      </c>
      <c r="AG183" s="206">
        <f t="shared" si="103"/>
        <v>6069.1692379973938</v>
      </c>
      <c r="AH183" s="182">
        <f t="shared" si="103"/>
        <v>6440.8297490405712</v>
      </c>
    </row>
    <row r="184" spans="1:35" s="20" customFormat="1">
      <c r="A184" s="20" t="s">
        <v>306</v>
      </c>
      <c r="B184" s="33"/>
      <c r="C184" s="334" t="s">
        <v>0</v>
      </c>
      <c r="D184" s="334">
        <f t="shared" ref="D184:AH184" si="104">D181-D178</f>
        <v>-78.301252295288577</v>
      </c>
      <c r="E184" s="334">
        <f t="shared" si="104"/>
        <v>37.726652777215349</v>
      </c>
      <c r="F184" s="334">
        <f t="shared" si="104"/>
        <v>228.78659976641939</v>
      </c>
      <c r="G184" s="334">
        <f t="shared" si="104"/>
        <v>286.78113649791703</v>
      </c>
      <c r="H184" s="404">
        <f t="shared" si="104"/>
        <v>413.93682568483746</v>
      </c>
      <c r="I184" s="19">
        <f t="shared" si="104"/>
        <v>682.29426567631344</v>
      </c>
      <c r="J184" s="19">
        <f t="shared" si="104"/>
        <v>883.02559040816413</v>
      </c>
      <c r="K184" s="19">
        <f t="shared" si="104"/>
        <v>1117.3800096375853</v>
      </c>
      <c r="L184" s="19">
        <f t="shared" si="104"/>
        <v>1522.1570351716673</v>
      </c>
      <c r="M184" s="19">
        <f t="shared" si="104"/>
        <v>2158.6326536818415</v>
      </c>
      <c r="N184" s="182">
        <f t="shared" si="104"/>
        <v>3077.8829877695553</v>
      </c>
      <c r="O184" s="19">
        <f t="shared" si="104"/>
        <v>3013.4522928472579</v>
      </c>
      <c r="P184" s="19">
        <f t="shared" si="104"/>
        <v>2962.456345833747</v>
      </c>
      <c r="Q184" s="19">
        <f t="shared" si="104"/>
        <v>2930.4563495285729</v>
      </c>
      <c r="R184" s="19">
        <f t="shared" si="104"/>
        <v>2904.2292862049289</v>
      </c>
      <c r="S184" s="19">
        <f t="shared" si="104"/>
        <v>2874.2968750639593</v>
      </c>
      <c r="T184" s="19">
        <f t="shared" si="104"/>
        <v>3105.1809531922045</v>
      </c>
      <c r="U184" s="19">
        <f t="shared" si="104"/>
        <v>3144.2768911706153</v>
      </c>
      <c r="V184" s="19">
        <f t="shared" si="104"/>
        <v>3202.0033496578617</v>
      </c>
      <c r="W184" s="19">
        <f t="shared" si="104"/>
        <v>3259.3697177595022</v>
      </c>
      <c r="X184" s="182">
        <f t="shared" si="104"/>
        <v>3354.5491850997132</v>
      </c>
      <c r="Y184" s="206">
        <f t="shared" si="104"/>
        <v>3504.7533660845584</v>
      </c>
      <c r="Z184" s="206">
        <f t="shared" si="104"/>
        <v>3672.952310782297</v>
      </c>
      <c r="AA184" s="206">
        <f t="shared" si="104"/>
        <v>3839.9857803496743</v>
      </c>
      <c r="AB184" s="206">
        <f t="shared" si="104"/>
        <v>4053.1662703432085</v>
      </c>
      <c r="AC184" s="206">
        <f t="shared" si="104"/>
        <v>4320.1551640044454</v>
      </c>
      <c r="AD184" s="206">
        <f t="shared" si="104"/>
        <v>4577.402240947551</v>
      </c>
      <c r="AE184" s="206">
        <f t="shared" si="104"/>
        <v>4848.8227135788984</v>
      </c>
      <c r="AF184" s="206">
        <f t="shared" si="104"/>
        <v>5146.8311462434613</v>
      </c>
      <c r="AG184" s="206">
        <f t="shared" si="104"/>
        <v>5462.2509032612106</v>
      </c>
      <c r="AH184" s="182">
        <f t="shared" si="104"/>
        <v>5796.7452914848072</v>
      </c>
    </row>
    <row r="185" spans="1:35" s="1" customFormat="1">
      <c r="A185" s="1" t="s">
        <v>449</v>
      </c>
      <c r="B185" s="13"/>
      <c r="C185" s="341"/>
      <c r="D185" s="341">
        <f>D182</f>
        <v>-165.3023099513739</v>
      </c>
      <c r="E185" s="341">
        <f>D185+E182</f>
        <v>-85.656773216225702</v>
      </c>
      <c r="F185" s="341">
        <f t="shared" ref="E185:N187" si="105">E185+F182</f>
        <v>397.33758818851129</v>
      </c>
      <c r="G185" s="341">
        <f t="shared" si="105"/>
        <v>1002.764911055503</v>
      </c>
      <c r="H185" s="405">
        <f>H182</f>
        <v>873.86693200132504</v>
      </c>
      <c r="I185" s="15">
        <f t="shared" si="105"/>
        <v>2314.2662809998801</v>
      </c>
      <c r="J185" s="15">
        <f t="shared" si="105"/>
        <v>4178.431813031566</v>
      </c>
      <c r="K185" s="15">
        <f t="shared" si="105"/>
        <v>6537.3456136356763</v>
      </c>
      <c r="L185" s="15">
        <f t="shared" si="105"/>
        <v>9750.7887464262603</v>
      </c>
      <c r="M185" s="15">
        <f t="shared" si="105"/>
        <v>14307.902692740674</v>
      </c>
      <c r="N185" s="15">
        <f t="shared" si="105"/>
        <v>20805.656304523596</v>
      </c>
      <c r="O185" s="15">
        <f t="shared" ref="O185:X185" si="106">N185+O182</f>
        <v>27167.389588911406</v>
      </c>
      <c r="P185" s="15">
        <f t="shared" si="106"/>
        <v>33421.464794051506</v>
      </c>
      <c r="Q185" s="15">
        <f t="shared" si="106"/>
        <v>39607.984487067464</v>
      </c>
      <c r="R185" s="15">
        <f t="shared" si="106"/>
        <v>45739.135971514101</v>
      </c>
      <c r="S185" s="130">
        <f t="shared" si="106"/>
        <v>51807.096844999585</v>
      </c>
      <c r="T185" s="15">
        <f t="shared" si="106"/>
        <v>58362.479696402777</v>
      </c>
      <c r="U185" s="15">
        <f t="shared" si="106"/>
        <v>65000.398453895636</v>
      </c>
      <c r="V185" s="15">
        <f t="shared" si="106"/>
        <v>71760.184219359246</v>
      </c>
      <c r="W185" s="15">
        <f t="shared" si="106"/>
        <v>78641.076800135066</v>
      </c>
      <c r="X185" s="190">
        <f t="shared" si="106"/>
        <v>85722.903856227378</v>
      </c>
      <c r="Y185" s="130">
        <f t="shared" ref="Y185:AH185" si="107">X185+Y182</f>
        <v>93121.828675879064</v>
      </c>
      <c r="Z185" s="130">
        <f t="shared" si="107"/>
        <v>100875.84020887026</v>
      </c>
      <c r="AA185" s="130">
        <f t="shared" si="107"/>
        <v>108982.47800771729</v>
      </c>
      <c r="AB185" s="130">
        <f t="shared" si="107"/>
        <v>117539.16356543681</v>
      </c>
      <c r="AC185" s="130">
        <f t="shared" si="107"/>
        <v>126659.49240857115</v>
      </c>
      <c r="AD185" s="130">
        <f t="shared" si="107"/>
        <v>136322.89848013202</v>
      </c>
      <c r="AE185" s="130">
        <f t="shared" si="107"/>
        <v>146559.30339912666</v>
      </c>
      <c r="AF185" s="130">
        <f t="shared" si="107"/>
        <v>157424.83730856408</v>
      </c>
      <c r="AG185" s="130">
        <f t="shared" si="107"/>
        <v>168956.25744982267</v>
      </c>
      <c r="AH185" s="190">
        <f t="shared" si="107"/>
        <v>181193.83249034805</v>
      </c>
    </row>
    <row r="186" spans="1:35" s="20" customFormat="1">
      <c r="A186" s="20" t="s">
        <v>450</v>
      </c>
      <c r="B186" s="33"/>
      <c r="C186" s="334"/>
      <c r="D186" s="334">
        <f>D183</f>
        <v>-87.001057656081684</v>
      </c>
      <c r="E186" s="334">
        <f t="shared" si="105"/>
        <v>-45.082173698147017</v>
      </c>
      <c r="F186" s="334">
        <f t="shared" si="105"/>
        <v>209.12558794016695</v>
      </c>
      <c r="G186" s="334">
        <f t="shared" si="105"/>
        <v>527.77177430924166</v>
      </c>
      <c r="H186" s="404">
        <f t="shared" si="105"/>
        <v>987.70188062572743</v>
      </c>
      <c r="I186" s="19">
        <f t="shared" ref="I186:X186" si="108">H186+I183</f>
        <v>1745.8069639479709</v>
      </c>
      <c r="J186" s="19">
        <f t="shared" si="108"/>
        <v>2726.9469055714926</v>
      </c>
      <c r="K186" s="19">
        <f t="shared" si="108"/>
        <v>3968.4806965380176</v>
      </c>
      <c r="L186" s="19">
        <f t="shared" si="108"/>
        <v>5659.7667941569325</v>
      </c>
      <c r="M186" s="19">
        <f t="shared" si="108"/>
        <v>8058.2480867895083</v>
      </c>
      <c r="N186" s="182">
        <f t="shared" si="108"/>
        <v>11478.118710802877</v>
      </c>
      <c r="O186" s="19">
        <f t="shared" si="108"/>
        <v>14826.399702343437</v>
      </c>
      <c r="P186" s="19">
        <f t="shared" si="108"/>
        <v>18118.018561649784</v>
      </c>
      <c r="Q186" s="19">
        <f t="shared" si="108"/>
        <v>21374.081905137173</v>
      </c>
      <c r="R186" s="19">
        <f t="shared" si="108"/>
        <v>24601.00410337888</v>
      </c>
      <c r="S186" s="206">
        <f t="shared" si="108"/>
        <v>27794.668101800409</v>
      </c>
      <c r="T186" s="19">
        <f t="shared" si="108"/>
        <v>31244.870000011393</v>
      </c>
      <c r="U186" s="19">
        <f t="shared" si="108"/>
        <v>34738.511866333632</v>
      </c>
      <c r="V186" s="19">
        <f t="shared" si="108"/>
        <v>38296.294282139395</v>
      </c>
      <c r="W186" s="19">
        <f t="shared" si="108"/>
        <v>41917.817145155721</v>
      </c>
      <c r="X186" s="182">
        <f t="shared" si="108"/>
        <v>45645.095016148334</v>
      </c>
      <c r="Y186" s="206">
        <f t="shared" ref="Y186:AH186" si="109">X186+Y183</f>
        <v>49539.266469715454</v>
      </c>
      <c r="Z186" s="206">
        <f t="shared" si="109"/>
        <v>53620.325691924343</v>
      </c>
      <c r="AA186" s="206">
        <f t="shared" si="109"/>
        <v>57886.977710421692</v>
      </c>
      <c r="AB186" s="206">
        <f t="shared" si="109"/>
        <v>62390.496997798007</v>
      </c>
      <c r="AC186" s="206">
        <f t="shared" si="109"/>
        <v>67190.670676927897</v>
      </c>
      <c r="AD186" s="206">
        <f t="shared" si="109"/>
        <v>72276.674507541204</v>
      </c>
      <c r="AE186" s="206">
        <f t="shared" si="109"/>
        <v>77664.256712956936</v>
      </c>
      <c r="AF186" s="206">
        <f t="shared" si="109"/>
        <v>83382.959476150892</v>
      </c>
      <c r="AG186" s="206">
        <f t="shared" si="109"/>
        <v>89452.12871414829</v>
      </c>
      <c r="AH186" s="182">
        <f t="shared" si="109"/>
        <v>95892.958463188857</v>
      </c>
    </row>
    <row r="187" spans="1:35" s="20" customFormat="1">
      <c r="A187" s="20" t="s">
        <v>451</v>
      </c>
      <c r="B187" s="33"/>
      <c r="C187" s="334"/>
      <c r="D187" s="334">
        <f>D184</f>
        <v>-78.301252295288577</v>
      </c>
      <c r="E187" s="334">
        <f t="shared" si="105"/>
        <v>-40.574599518073228</v>
      </c>
      <c r="F187" s="334">
        <f t="shared" si="105"/>
        <v>188.21200024834616</v>
      </c>
      <c r="G187" s="334">
        <f t="shared" si="105"/>
        <v>474.99313674626319</v>
      </c>
      <c r="H187" s="404">
        <f t="shared" si="105"/>
        <v>888.92996243110065</v>
      </c>
      <c r="I187" s="19">
        <f t="shared" ref="I187:X187" si="110">H187+I184</f>
        <v>1571.2242281074141</v>
      </c>
      <c r="J187" s="19">
        <f t="shared" si="110"/>
        <v>2454.2498185155782</v>
      </c>
      <c r="K187" s="19">
        <f t="shared" si="110"/>
        <v>3571.6298281531635</v>
      </c>
      <c r="L187" s="19">
        <f t="shared" si="110"/>
        <v>5093.7868633248308</v>
      </c>
      <c r="M187" s="19">
        <f t="shared" si="110"/>
        <v>7252.4195170066723</v>
      </c>
      <c r="N187" s="182">
        <f t="shared" si="110"/>
        <v>10330.302504776228</v>
      </c>
      <c r="O187" s="19">
        <f t="shared" si="110"/>
        <v>13343.754797623486</v>
      </c>
      <c r="P187" s="19">
        <f t="shared" si="110"/>
        <v>16306.211143457233</v>
      </c>
      <c r="Q187" s="19">
        <f t="shared" si="110"/>
        <v>19236.667492985805</v>
      </c>
      <c r="R187" s="19">
        <f t="shared" si="110"/>
        <v>22140.896779190734</v>
      </c>
      <c r="S187" s="206">
        <f t="shared" si="110"/>
        <v>25015.193654254694</v>
      </c>
      <c r="T187" s="19">
        <f t="shared" si="110"/>
        <v>28120.374607446898</v>
      </c>
      <c r="U187" s="19">
        <f t="shared" si="110"/>
        <v>31264.651498617513</v>
      </c>
      <c r="V187" s="19">
        <f t="shared" si="110"/>
        <v>34466.654848275371</v>
      </c>
      <c r="W187" s="19">
        <f t="shared" si="110"/>
        <v>37726.024566034874</v>
      </c>
      <c r="X187" s="182">
        <f t="shared" si="110"/>
        <v>41080.573751134587</v>
      </c>
      <c r="Y187" s="206">
        <f t="shared" ref="Y187:AH187" si="111">X187+Y184</f>
        <v>44585.327117219145</v>
      </c>
      <c r="Z187" s="206">
        <f t="shared" si="111"/>
        <v>48258.279428001442</v>
      </c>
      <c r="AA187" s="206">
        <f t="shared" si="111"/>
        <v>52098.26520835112</v>
      </c>
      <c r="AB187" s="206">
        <f t="shared" si="111"/>
        <v>56151.431478694329</v>
      </c>
      <c r="AC187" s="206">
        <f t="shared" si="111"/>
        <v>60471.586642698778</v>
      </c>
      <c r="AD187" s="206">
        <f t="shared" si="111"/>
        <v>65048.988883646329</v>
      </c>
      <c r="AE187" s="206">
        <f t="shared" si="111"/>
        <v>69897.811597225227</v>
      </c>
      <c r="AF187" s="206">
        <f t="shared" si="111"/>
        <v>75044.642743468692</v>
      </c>
      <c r="AG187" s="206">
        <f t="shared" si="111"/>
        <v>80506.893646729906</v>
      </c>
      <c r="AH187" s="182">
        <f t="shared" si="111"/>
        <v>86303.638938214717</v>
      </c>
    </row>
    <row r="188" spans="1:35" s="519" customFormat="1">
      <c r="A188" s="519" t="s">
        <v>549</v>
      </c>
      <c r="B188" s="520"/>
      <c r="C188" s="521"/>
      <c r="D188"/>
      <c r="E188"/>
      <c r="F188"/>
      <c r="G188"/>
      <c r="H188"/>
      <c r="I188"/>
      <c r="J188"/>
      <c r="K188"/>
      <c r="L188"/>
      <c r="M188"/>
      <c r="N188"/>
      <c r="O188"/>
      <c r="P188"/>
      <c r="Q188"/>
      <c r="R188"/>
      <c r="S188"/>
      <c r="T188"/>
      <c r="U188"/>
      <c r="V188"/>
      <c r="W188"/>
      <c r="X188"/>
      <c r="Y188"/>
      <c r="Z188"/>
      <c r="AA188"/>
      <c r="AB188"/>
      <c r="AC188"/>
      <c r="AD188" s="523"/>
      <c r="AE188" s="523"/>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572.93703899999991</v>
      </c>
      <c r="D194" s="331">
        <f t="shared" ref="D194:AH194" si="112">SUM(D195:D196)</f>
        <v>943.43284000000017</v>
      </c>
      <c r="E194" s="331">
        <f t="shared" si="112"/>
        <v>1371.7430359521964</v>
      </c>
      <c r="F194" s="331">
        <f t="shared" si="112"/>
        <v>1905.7705924428258</v>
      </c>
      <c r="G194" s="331">
        <f t="shared" si="112"/>
        <v>2173.4580777395331</v>
      </c>
      <c r="H194" s="402">
        <f t="shared" si="112"/>
        <v>2469.860634287365</v>
      </c>
      <c r="I194" s="14">
        <f t="shared" si="112"/>
        <v>2817.4099647382955</v>
      </c>
      <c r="J194" s="14">
        <f t="shared" si="112"/>
        <v>3485.5247573882161</v>
      </c>
      <c r="K194" s="14">
        <f t="shared" si="112"/>
        <v>4089.5837607344483</v>
      </c>
      <c r="L194" s="14">
        <f t="shared" si="112"/>
        <v>4699.5003768802144</v>
      </c>
      <c r="M194" s="14">
        <f t="shared" si="112"/>
        <v>5322.268993180207</v>
      </c>
      <c r="N194" s="187">
        <f t="shared" si="112"/>
        <v>5956.866470806599</v>
      </c>
      <c r="O194" s="14">
        <f t="shared" si="112"/>
        <v>6595.4313527708082</v>
      </c>
      <c r="P194" s="14">
        <f t="shared" si="112"/>
        <v>7256.105717185912</v>
      </c>
      <c r="Q194" s="14">
        <f t="shared" si="112"/>
        <v>7966.1954453324906</v>
      </c>
      <c r="R194" s="14">
        <f t="shared" si="112"/>
        <v>8677.2878918077331</v>
      </c>
      <c r="S194" s="15">
        <f t="shared" si="112"/>
        <v>9373.6058308853881</v>
      </c>
      <c r="T194" s="14">
        <f t="shared" si="112"/>
        <v>9524.6352713767628</v>
      </c>
      <c r="U194" s="14">
        <f t="shared" si="112"/>
        <v>10120.828106466204</v>
      </c>
      <c r="V194" s="14">
        <f t="shared" si="112"/>
        <v>10741.266108125732</v>
      </c>
      <c r="W194" s="14">
        <f t="shared" si="112"/>
        <v>11336.887521653603</v>
      </c>
      <c r="X194" s="187">
        <f t="shared" si="112"/>
        <v>11983.29966163115</v>
      </c>
      <c r="Y194" s="158">
        <f t="shared" si="112"/>
        <v>12601.993624541747</v>
      </c>
      <c r="Z194" s="158">
        <f t="shared" si="112"/>
        <v>13250.033834745096</v>
      </c>
      <c r="AA194" s="158">
        <f t="shared" si="112"/>
        <v>13877.318789865309</v>
      </c>
      <c r="AB194" s="158">
        <f t="shared" si="112"/>
        <v>14547.133732295937</v>
      </c>
      <c r="AC194" s="158">
        <f t="shared" si="112"/>
        <v>15283.480657642318</v>
      </c>
      <c r="AD194" s="158">
        <f t="shared" si="112"/>
        <v>16000.440079169455</v>
      </c>
      <c r="AE194" s="158">
        <f t="shared" si="112"/>
        <v>16759.924450075814</v>
      </c>
      <c r="AF194" s="158">
        <f t="shared" si="112"/>
        <v>17550.12385690162</v>
      </c>
      <c r="AG194" s="158">
        <f t="shared" si="112"/>
        <v>18321.685084111687</v>
      </c>
      <c r="AH194" s="187">
        <f t="shared" si="112"/>
        <v>19078.653598378478</v>
      </c>
    </row>
    <row r="195" spans="1:34">
      <c r="A195" t="s">
        <v>388</v>
      </c>
      <c r="C195" s="330">
        <f>'Output - Jobs vs Yr (BAU)'!C51</f>
        <v>301.54580999999996</v>
      </c>
      <c r="D195" s="330">
        <f>'Output - Jobs vs Yr (BAU)'!D51</f>
        <v>496.54360000000003</v>
      </c>
      <c r="E195" s="330">
        <f>'Output - Jobs vs Yr (BAU)'!E51</f>
        <v>721.97001892220862</v>
      </c>
      <c r="F195" s="330">
        <f>'Output - Jobs vs Yr (BAU)'!F51</f>
        <v>1003.0371539172767</v>
      </c>
      <c r="G195" s="330">
        <f>'Output - Jobs vs Yr (BAU)'!G51</f>
        <v>1143.9253040734386</v>
      </c>
      <c r="H195" s="286">
        <f>'Output - Jobs vs Yr (BAU)'!H51</f>
        <v>1299.9266496249288</v>
      </c>
      <c r="I195" s="118">
        <f>'Output - Jobs vs Yr (BAU)'!I51</f>
        <v>1482.8473498622609</v>
      </c>
      <c r="J195" s="118">
        <f>'Output - Jobs vs Yr (BAU)'!J51</f>
        <v>1834.4867144148504</v>
      </c>
      <c r="K195" s="118">
        <f>'Output - Jobs vs Yr (BAU)'!K51</f>
        <v>2152.4125056497096</v>
      </c>
      <c r="L195" s="118">
        <f>'Output - Jobs vs Yr (BAU)'!L51</f>
        <v>2473.4212509895865</v>
      </c>
      <c r="M195" s="118">
        <f>'Output - Jobs vs Yr (BAU)'!M51</f>
        <v>2801.1942069369506</v>
      </c>
      <c r="N195" s="177">
        <f>'Output - Jobs vs Yr (BAU)'!N51</f>
        <v>3135.1928793718944</v>
      </c>
      <c r="O195" s="118">
        <f>'Output - Jobs vs Yr (BAU)'!O51</f>
        <v>3471.279659353057</v>
      </c>
      <c r="P195" s="118">
        <f>'Output - Jobs vs Yr (BAU)'!P51</f>
        <v>3819.0030090452169</v>
      </c>
      <c r="Q195" s="118">
        <f>'Output - Jobs vs Yr (BAU)'!Q51</f>
        <v>4192.7344449118373</v>
      </c>
      <c r="R195" s="118">
        <f>'Output - Jobs vs Yr (BAU)'!R51</f>
        <v>4566.9936272672276</v>
      </c>
      <c r="S195" s="118">
        <f>'Output - Jobs vs Yr (BAU)'!S51</f>
        <v>4933.4767530975723</v>
      </c>
      <c r="T195" s="118">
        <f>'Output - Jobs vs Yr (BAU)'!T51</f>
        <v>5012.9659323035603</v>
      </c>
      <c r="U195" s="118">
        <f>'Output - Jobs vs Yr (BAU)'!U51</f>
        <v>5326.7516349822135</v>
      </c>
      <c r="V195" s="118">
        <f>'Output - Jobs vs Yr (BAU)'!V51</f>
        <v>5653.2979516451223</v>
      </c>
      <c r="W195" s="118">
        <f>'Output - Jobs vs Yr (BAU)'!W51</f>
        <v>5966.7829061334751</v>
      </c>
      <c r="X195" s="184">
        <f>'Output - Jobs vs Yr (BAU)'!X51</f>
        <v>6306.999821911133</v>
      </c>
      <c r="Y195" s="271">
        <f>'Output - Jobs vs Yr (BAU)'!Y51</f>
        <v>6632.6282234430246</v>
      </c>
      <c r="Z195" s="271">
        <f>'Output - Jobs vs Yr (BAU)'!Z51</f>
        <v>6973.7020182868937</v>
      </c>
      <c r="AA195" s="271">
        <f>'Output - Jobs vs Yr (BAU)'!AA51</f>
        <v>7303.8519946659526</v>
      </c>
      <c r="AB195" s="271">
        <f>'Output - Jobs vs Yr (BAU)'!AB51</f>
        <v>7656.3861748925992</v>
      </c>
      <c r="AC195" s="271">
        <f>'Output - Jobs vs Yr (BAU)'!AC51</f>
        <v>8043.9371882327987</v>
      </c>
      <c r="AD195" s="271">
        <f>'Output - Jobs vs Yr (BAU)'!AD51</f>
        <v>8421.2842521944494</v>
      </c>
      <c r="AE195" s="271">
        <f>'Output - Jobs vs Yr (BAU)'!AE51</f>
        <v>8821.0128684609554</v>
      </c>
      <c r="AF195" s="271">
        <f>'Output - Jobs vs Yr (BAU)'!AF51</f>
        <v>9236.9072931061146</v>
      </c>
      <c r="AG195" s="271">
        <f>'Output - Jobs vs Yr (BAU)'!AG51</f>
        <v>9642.992149532467</v>
      </c>
      <c r="AH195" s="184">
        <f>'Output - Jobs vs Yr (BAU)'!AH51</f>
        <v>10041.396630725514</v>
      </c>
    </row>
    <row r="196" spans="1:34">
      <c r="A196" t="s">
        <v>389</v>
      </c>
      <c r="C196" s="330">
        <f>'Output - Jobs vs Yr (BAU)'!C69</f>
        <v>271.39122899999995</v>
      </c>
      <c r="D196" s="330">
        <f>'Output - Jobs vs Yr (BAU)'!D69</f>
        <v>446.88924000000009</v>
      </c>
      <c r="E196" s="330">
        <f>'Output - Jobs vs Yr (BAU)'!E69</f>
        <v>649.77301702998773</v>
      </c>
      <c r="F196" s="330">
        <f>'Output - Jobs vs Yr (BAU)'!F69</f>
        <v>902.7334385255491</v>
      </c>
      <c r="G196" s="330">
        <f>'Output - Jobs vs Yr (BAU)'!G69</f>
        <v>1029.5327736660947</v>
      </c>
      <c r="H196" s="286">
        <f>'Output - Jobs vs Yr (BAU)'!H69</f>
        <v>1169.9339846624362</v>
      </c>
      <c r="I196" s="118">
        <f>'Output - Jobs vs Yr (BAU)'!I69</f>
        <v>1334.5626148760348</v>
      </c>
      <c r="J196" s="118">
        <f>'Output - Jobs vs Yr (BAU)'!J69</f>
        <v>1651.0380429733655</v>
      </c>
      <c r="K196" s="118">
        <f>'Output - Jobs vs Yr (BAU)'!K69</f>
        <v>1937.1712550847387</v>
      </c>
      <c r="L196" s="118">
        <f>'Output - Jobs vs Yr (BAU)'!L69</f>
        <v>2226.0791258906279</v>
      </c>
      <c r="M196" s="118">
        <f>'Output - Jobs vs Yr (BAU)'!M69</f>
        <v>2521.0747862432559</v>
      </c>
      <c r="N196" s="177">
        <f>'Output - Jobs vs Yr (BAU)'!N69</f>
        <v>2821.673591434705</v>
      </c>
      <c r="O196" s="118">
        <f>'Output - Jobs vs Yr (BAU)'!O69</f>
        <v>3124.1516934177512</v>
      </c>
      <c r="P196" s="118">
        <f>'Output - Jobs vs Yr (BAU)'!P69</f>
        <v>3437.1027081406951</v>
      </c>
      <c r="Q196" s="118">
        <f>'Output - Jobs vs Yr (BAU)'!Q69</f>
        <v>3773.4610004206538</v>
      </c>
      <c r="R196" s="118">
        <f>'Output - Jobs vs Yr (BAU)'!R69</f>
        <v>4110.2942645405046</v>
      </c>
      <c r="S196" s="118">
        <f>'Output - Jobs vs Yr (BAU)'!S69</f>
        <v>4440.1290777878157</v>
      </c>
      <c r="T196" s="118">
        <f>'Output - Jobs vs Yr (BAU)'!T69</f>
        <v>4511.6693390732034</v>
      </c>
      <c r="U196" s="118">
        <f>'Output - Jobs vs Yr (BAU)'!U69</f>
        <v>4794.0764714839916</v>
      </c>
      <c r="V196" s="118">
        <f>'Output - Jobs vs Yr (BAU)'!V69</f>
        <v>5087.9681564806097</v>
      </c>
      <c r="W196" s="118">
        <f>'Output - Jobs vs Yr (BAU)'!W69</f>
        <v>5370.1046155201275</v>
      </c>
      <c r="X196" s="184">
        <f>'Output - Jobs vs Yr (BAU)'!X69</f>
        <v>5676.2998397200181</v>
      </c>
      <c r="Y196" s="271">
        <f>'Output - Jobs vs Yr (BAU)'!Y69</f>
        <v>5969.365401098722</v>
      </c>
      <c r="Z196" s="271">
        <f>'Output - Jobs vs Yr (BAU)'!Z69</f>
        <v>6276.3318164582033</v>
      </c>
      <c r="AA196" s="271">
        <f>'Output - Jobs vs Yr (BAU)'!AA69</f>
        <v>6573.466795199357</v>
      </c>
      <c r="AB196" s="271">
        <f>'Output - Jobs vs Yr (BAU)'!AB69</f>
        <v>6890.7475574033388</v>
      </c>
      <c r="AC196" s="271">
        <f>'Output - Jobs vs Yr (BAU)'!AC69</f>
        <v>7239.5434694095184</v>
      </c>
      <c r="AD196" s="271">
        <f>'Output - Jobs vs Yr (BAU)'!AD69</f>
        <v>7579.1558269750058</v>
      </c>
      <c r="AE196" s="271">
        <f>'Output - Jobs vs Yr (BAU)'!AE69</f>
        <v>7938.9115816148606</v>
      </c>
      <c r="AF196" s="271">
        <f>'Output - Jobs vs Yr (BAU)'!AF69</f>
        <v>8313.2165637955059</v>
      </c>
      <c r="AG196" s="271">
        <f>'Output - Jobs vs Yr (BAU)'!AG69</f>
        <v>8678.6929345792196</v>
      </c>
      <c r="AH196" s="184">
        <f>'Output - Jobs vs Yr (BAU)'!AH69</f>
        <v>9037.256967652962</v>
      </c>
    </row>
    <row r="197" spans="1:34">
      <c r="A197" t="s">
        <v>390</v>
      </c>
      <c r="C197" s="331">
        <f>SUM(C198:C199)</f>
        <v>9987.7841499999995</v>
      </c>
      <c r="D197" s="331">
        <f t="shared" ref="D197:AH197" si="113">SUM(D198:D199)</f>
        <v>10186.46715</v>
      </c>
      <c r="E197" s="331">
        <f t="shared" si="113"/>
        <v>9828.316162681358</v>
      </c>
      <c r="F197" s="331">
        <f t="shared" si="113"/>
        <v>9352.6739338040315</v>
      </c>
      <c r="G197" s="331">
        <f t="shared" si="113"/>
        <v>9707.7152566284276</v>
      </c>
      <c r="H197" s="402">
        <f t="shared" si="113"/>
        <v>9783.8214191469706</v>
      </c>
      <c r="I197" s="14">
        <f t="shared" si="113"/>
        <v>10115.639510241268</v>
      </c>
      <c r="J197" s="14">
        <f t="shared" si="113"/>
        <v>10485.98477974725</v>
      </c>
      <c r="K197" s="14">
        <f t="shared" si="113"/>
        <v>10833.89098403871</v>
      </c>
      <c r="L197" s="14">
        <f t="shared" si="113"/>
        <v>11082.347236133253</v>
      </c>
      <c r="M197" s="14">
        <f t="shared" si="113"/>
        <v>11125.755423681107</v>
      </c>
      <c r="N197" s="187">
        <f t="shared" si="113"/>
        <v>11125.755011887764</v>
      </c>
      <c r="O197" s="14">
        <f t="shared" si="113"/>
        <v>11125.755593287766</v>
      </c>
      <c r="P197" s="14">
        <f t="shared" si="113"/>
        <v>11125.753824852211</v>
      </c>
      <c r="Q197" s="14">
        <f t="shared" si="113"/>
        <v>11139.083800687764</v>
      </c>
      <c r="R197" s="14">
        <f t="shared" si="113"/>
        <v>11139.082613631106</v>
      </c>
      <c r="S197" s="15">
        <f t="shared" si="113"/>
        <v>11139.101257327646</v>
      </c>
      <c r="T197" s="14">
        <f t="shared" si="113"/>
        <v>11144.14951465221</v>
      </c>
      <c r="U197" s="14">
        <f t="shared" si="113"/>
        <v>11147.190987616659</v>
      </c>
      <c r="V197" s="14">
        <f t="shared" si="113"/>
        <v>11164.410069166661</v>
      </c>
      <c r="W197" s="14">
        <f t="shared" si="113"/>
        <v>11181.230261887762</v>
      </c>
      <c r="X197" s="187">
        <f t="shared" si="113"/>
        <v>11199.998532166661</v>
      </c>
      <c r="Y197" s="158">
        <f t="shared" si="113"/>
        <v>11199.99887131666</v>
      </c>
      <c r="Z197" s="158">
        <f t="shared" si="113"/>
        <v>11210.885222952213</v>
      </c>
      <c r="AA197" s="158">
        <f t="shared" si="113"/>
        <v>11210.885574188331</v>
      </c>
      <c r="AB197" s="158">
        <f t="shared" si="113"/>
        <v>11210.88568321666</v>
      </c>
      <c r="AC197" s="158">
        <f t="shared" si="113"/>
        <v>11221.217645737763</v>
      </c>
      <c r="AD197" s="158">
        <f t="shared" si="113"/>
        <v>11228.373856087763</v>
      </c>
      <c r="AE197" s="158">
        <f t="shared" si="113"/>
        <v>11228.374825087765</v>
      </c>
      <c r="AF197" s="158">
        <f t="shared" si="113"/>
        <v>11234.867561137764</v>
      </c>
      <c r="AG197" s="158">
        <f t="shared" si="113"/>
        <v>11234.86736731666</v>
      </c>
      <c r="AH197" s="187">
        <f t="shared" si="113"/>
        <v>11234.86760956666</v>
      </c>
    </row>
    <row r="198" spans="1:34">
      <c r="A198" t="s">
        <v>392</v>
      </c>
      <c r="C198" s="330">
        <f>SUM('Output - Jobs vs Yr (BAU)'!C40:C43)</f>
        <v>5256.7285000000002</v>
      </c>
      <c r="D198" s="330">
        <f>SUM('Output - Jobs vs Yr (BAU)'!D40:D43)</f>
        <v>5361.2984999999999</v>
      </c>
      <c r="E198" s="330">
        <f>SUM('Output - Jobs vs Yr (BAU)'!E40:E43)</f>
        <v>5172.7979803586095</v>
      </c>
      <c r="F198" s="330">
        <f>SUM('Output - Jobs vs Yr (BAU)'!F40:F43)</f>
        <v>4922.4599651600174</v>
      </c>
      <c r="G198" s="330">
        <f>SUM('Output - Jobs vs Yr (BAU)'!G40:G43)</f>
        <v>5109.3238192781191</v>
      </c>
      <c r="H198" s="286">
        <f>SUM('Output - Jobs vs Yr (BAU)'!H40:H43)</f>
        <v>5149.3796942878798</v>
      </c>
      <c r="I198" s="118">
        <f>SUM('Output - Jobs vs Yr (BAU)'!I40:I43)</f>
        <v>5324.0207948638254</v>
      </c>
      <c r="J198" s="118">
        <f>SUM('Output - Jobs vs Yr (BAU)'!J40:J43)</f>
        <v>5518.9393577617102</v>
      </c>
      <c r="K198" s="118">
        <f>SUM('Output - Jobs vs Yr (BAU)'!K40:K43)</f>
        <v>5702.0478863361632</v>
      </c>
      <c r="L198" s="118">
        <f>SUM('Output - Jobs vs Yr (BAU)'!L40:L43)</f>
        <v>5832.8143348069761</v>
      </c>
      <c r="M198" s="118">
        <f>SUM('Output - Jobs vs Yr (BAU)'!M40:M43)</f>
        <v>5855.6607493058455</v>
      </c>
      <c r="N198" s="177">
        <f>SUM('Output - Jobs vs Yr (BAU)'!N40:N43)</f>
        <v>5855.6605325725077</v>
      </c>
      <c r="O198" s="118">
        <f>SUM('Output - Jobs vs Yr (BAU)'!O40:O43)</f>
        <v>5855.6608385725076</v>
      </c>
      <c r="P198" s="118">
        <f>SUM('Output - Jobs vs Yr (BAU)'!P40:P43)</f>
        <v>5855.6599078169529</v>
      </c>
      <c r="Q198" s="118">
        <f>SUM('Output - Jobs vs Yr (BAU)'!Q40:Q43)</f>
        <v>5862.6756845725067</v>
      </c>
      <c r="R198" s="118">
        <f>SUM('Output - Jobs vs Yr (BAU)'!R40:R43)</f>
        <v>5862.6750598058452</v>
      </c>
      <c r="S198" s="118">
        <f>SUM('Output - Jobs vs Yr (BAU)'!S40:S43)</f>
        <v>5862.6848722777086</v>
      </c>
      <c r="T198" s="118">
        <f>SUM('Output - Jobs vs Yr (BAU)'!T40:T43)</f>
        <v>5865.3418498169531</v>
      </c>
      <c r="U198" s="118">
        <f>SUM('Output - Jobs vs Yr (BAU)'!U40:U43)</f>
        <v>5866.9426250613997</v>
      </c>
      <c r="V198" s="118">
        <f>SUM('Output - Jobs vs Yr (BAU)'!V40:V43)</f>
        <v>5876.0052995613996</v>
      </c>
      <c r="W198" s="118">
        <f>SUM('Output - Jobs vs Yr (BAU)'!W40:W43)</f>
        <v>5884.858032572507</v>
      </c>
      <c r="X198" s="184">
        <f>SUM('Output - Jobs vs Yr (BAU)'!X40:X43)</f>
        <v>5894.7360695613997</v>
      </c>
      <c r="Y198" s="271">
        <f>SUM('Output - Jobs vs Yr (BAU)'!Y40:Y43)</f>
        <v>5894.7362480614001</v>
      </c>
      <c r="Z198" s="271">
        <f>SUM('Output - Jobs vs Yr (BAU)'!Z40:Z43)</f>
        <v>5900.4659068169531</v>
      </c>
      <c r="AA198" s="271">
        <f>SUM('Output - Jobs vs Yr (BAU)'!AA40:AA43)</f>
        <v>5900.4660916780686</v>
      </c>
      <c r="AB198" s="271">
        <f>SUM('Output - Jobs vs Yr (BAU)'!AB40:AB43)</f>
        <v>5900.4661490613998</v>
      </c>
      <c r="AC198" s="271">
        <f>SUM('Output - Jobs vs Yr (BAU)'!AC40:AC43)</f>
        <v>5905.9040240725062</v>
      </c>
      <c r="AD198" s="271">
        <f>SUM('Output - Jobs vs Yr (BAU)'!AD40:AD43)</f>
        <v>5909.6704505725065</v>
      </c>
      <c r="AE198" s="271">
        <f>SUM('Output - Jobs vs Yr (BAU)'!AE40:AE43)</f>
        <v>5909.6709605725073</v>
      </c>
      <c r="AF198" s="271">
        <f>SUM('Output - Jobs vs Yr (BAU)'!AF40:AF43)</f>
        <v>5913.0881900725071</v>
      </c>
      <c r="AG198" s="271">
        <f>SUM('Output - Jobs vs Yr (BAU)'!AG40:AG43)</f>
        <v>5913.0880880613995</v>
      </c>
      <c r="AH198" s="184">
        <f>SUM('Output - Jobs vs Yr (BAU)'!AH40:AH43)</f>
        <v>5913.0882155613999</v>
      </c>
    </row>
    <row r="199" spans="1:34">
      <c r="A199" t="s">
        <v>391</v>
      </c>
      <c r="C199" s="330">
        <f>SUM('Output - Jobs vs Yr (BAU)'!C58:C61)</f>
        <v>4731.0556500000002</v>
      </c>
      <c r="D199" s="330">
        <f>SUM('Output - Jobs vs Yr (BAU)'!D58:D61)</f>
        <v>4825.1686500000005</v>
      </c>
      <c r="E199" s="330">
        <f>SUM('Output - Jobs vs Yr (BAU)'!E58:E61)</f>
        <v>4655.5181823227485</v>
      </c>
      <c r="F199" s="330">
        <f>SUM('Output - Jobs vs Yr (BAU)'!F58:F61)</f>
        <v>4430.213968644015</v>
      </c>
      <c r="G199" s="330">
        <f>SUM('Output - Jobs vs Yr (BAU)'!G58:G61)</f>
        <v>4598.3914373503076</v>
      </c>
      <c r="H199" s="286">
        <f>SUM('Output - Jobs vs Yr (BAU)'!H58:H61)</f>
        <v>4634.4417248590917</v>
      </c>
      <c r="I199" s="118">
        <f>SUM('Output - Jobs vs Yr (BAU)'!I58:I61)</f>
        <v>4791.6187153774436</v>
      </c>
      <c r="J199" s="118">
        <f>SUM('Output - Jobs vs Yr (BAU)'!J58:J61)</f>
        <v>4967.0454219855401</v>
      </c>
      <c r="K199" s="118">
        <f>SUM('Output - Jobs vs Yr (BAU)'!K58:K61)</f>
        <v>5131.8430977025473</v>
      </c>
      <c r="L199" s="118">
        <f>SUM('Output - Jobs vs Yr (BAU)'!L58:L61)</f>
        <v>5249.5329013262781</v>
      </c>
      <c r="M199" s="118">
        <f>SUM('Output - Jobs vs Yr (BAU)'!M58:M61)</f>
        <v>5270.0946743752611</v>
      </c>
      <c r="N199" s="177">
        <f>SUM('Output - Jobs vs Yr (BAU)'!N58:N61)</f>
        <v>5270.0944793152566</v>
      </c>
      <c r="O199" s="118">
        <f>SUM('Output - Jobs vs Yr (BAU)'!O58:O61)</f>
        <v>5270.0947547152573</v>
      </c>
      <c r="P199" s="118">
        <f>SUM('Output - Jobs vs Yr (BAU)'!P58:P61)</f>
        <v>5270.0939170352585</v>
      </c>
      <c r="Q199" s="118">
        <f>SUM('Output - Jobs vs Yr (BAU)'!Q58:Q61)</f>
        <v>5276.4081161152562</v>
      </c>
      <c r="R199" s="118">
        <f>SUM('Output - Jobs vs Yr (BAU)'!R58:R61)</f>
        <v>5276.4075538252609</v>
      </c>
      <c r="S199" s="118">
        <f>SUM('Output - Jobs vs Yr (BAU)'!S58:S61)</f>
        <v>5276.4163850499381</v>
      </c>
      <c r="T199" s="118">
        <f>SUM('Output - Jobs vs Yr (BAU)'!T58:T61)</f>
        <v>5278.807664835258</v>
      </c>
      <c r="U199" s="118">
        <f>SUM('Output - Jobs vs Yr (BAU)'!U58:U61)</f>
        <v>5280.2483625552595</v>
      </c>
      <c r="V199" s="118">
        <f>SUM('Output - Jobs vs Yr (BAU)'!V58:V61)</f>
        <v>5288.4047696052603</v>
      </c>
      <c r="W199" s="118">
        <f>SUM('Output - Jobs vs Yr (BAU)'!W58:W61)</f>
        <v>5296.3722293152559</v>
      </c>
      <c r="X199" s="184">
        <f>SUM('Output - Jobs vs Yr (BAU)'!X58:X61)</f>
        <v>5305.2624626052602</v>
      </c>
      <c r="Y199" s="271">
        <f>SUM('Output - Jobs vs Yr (BAU)'!Y58:Y61)</f>
        <v>5305.2626232552593</v>
      </c>
      <c r="Z199" s="271">
        <f>SUM('Output - Jobs vs Yr (BAU)'!Z58:Z61)</f>
        <v>5310.4193161352587</v>
      </c>
      <c r="AA199" s="271">
        <f>SUM('Output - Jobs vs Yr (BAU)'!AA58:AA61)</f>
        <v>5310.4194825102622</v>
      </c>
      <c r="AB199" s="271">
        <f>SUM('Output - Jobs vs Yr (BAU)'!AB58:AB61)</f>
        <v>5310.4195341552604</v>
      </c>
      <c r="AC199" s="271">
        <f>SUM('Output - Jobs vs Yr (BAU)'!AC58:AC61)</f>
        <v>5315.3136216652565</v>
      </c>
      <c r="AD199" s="271">
        <f>SUM('Output - Jobs vs Yr (BAU)'!AD58:AD61)</f>
        <v>5318.7034055152562</v>
      </c>
      <c r="AE199" s="271">
        <f>SUM('Output - Jobs vs Yr (BAU)'!AE58:AE61)</f>
        <v>5318.703864515257</v>
      </c>
      <c r="AF199" s="271">
        <f>SUM('Output - Jobs vs Yr (BAU)'!AF58:AF61)</f>
        <v>5321.7793710652568</v>
      </c>
      <c r="AG199" s="271">
        <f>SUM('Output - Jobs vs Yr (BAU)'!AG58:AG61)</f>
        <v>5321.77927925526</v>
      </c>
      <c r="AH199" s="184">
        <f>SUM('Output - Jobs vs Yr (BAU)'!AH58:AH61)</f>
        <v>5321.7793940052597</v>
      </c>
    </row>
    <row r="200" spans="1:34">
      <c r="A200" t="s">
        <v>393</v>
      </c>
      <c r="C200" s="331">
        <f>SUM(C201:C202)</f>
        <v>15559.214</v>
      </c>
      <c r="D200" s="331">
        <f t="shared" ref="D200:AH200" si="114">SUM(D201:D202)</f>
        <v>15323.880000000001</v>
      </c>
      <c r="E200" s="331">
        <f t="shared" si="114"/>
        <v>15990.925757268136</v>
      </c>
      <c r="F200" s="331">
        <f t="shared" si="114"/>
        <v>16226.526594804573</v>
      </c>
      <c r="G200" s="331">
        <f t="shared" si="114"/>
        <v>15779.774056532295</v>
      </c>
      <c r="H200" s="402">
        <f t="shared" si="114"/>
        <v>15643.374537512691</v>
      </c>
      <c r="I200" s="14">
        <f t="shared" si="114"/>
        <v>15818.292413563937</v>
      </c>
      <c r="J200" s="14">
        <f t="shared" si="114"/>
        <v>16263.587207695406</v>
      </c>
      <c r="K200" s="14">
        <f t="shared" si="114"/>
        <v>16251.616556732886</v>
      </c>
      <c r="L200" s="14">
        <f t="shared" si="114"/>
        <v>16288.18859116671</v>
      </c>
      <c r="M200" s="14">
        <f t="shared" si="114"/>
        <v>16498.810500182954</v>
      </c>
      <c r="N200" s="187">
        <f t="shared" si="114"/>
        <v>16738.139428295864</v>
      </c>
      <c r="O200" s="14">
        <f t="shared" si="114"/>
        <v>16938.250872445446</v>
      </c>
      <c r="P200" s="14">
        <f t="shared" si="114"/>
        <v>17188.130954101558</v>
      </c>
      <c r="Q200" s="14">
        <f t="shared" si="114"/>
        <v>17541.370217545784</v>
      </c>
      <c r="R200" s="14">
        <f t="shared" si="114"/>
        <v>17861.083297901059</v>
      </c>
      <c r="S200" s="15">
        <f t="shared" si="114"/>
        <v>18058.301237768501</v>
      </c>
      <c r="T200" s="14">
        <f t="shared" si="114"/>
        <v>18211.381866944044</v>
      </c>
      <c r="U200" s="14">
        <f t="shared" si="114"/>
        <v>18368.293256427965</v>
      </c>
      <c r="V200" s="14">
        <f t="shared" si="114"/>
        <v>18548.3927770763</v>
      </c>
      <c r="W200" s="14">
        <f t="shared" si="114"/>
        <v>18602.69346298842</v>
      </c>
      <c r="X200" s="187">
        <f t="shared" si="114"/>
        <v>18771.115032331261</v>
      </c>
      <c r="Y200" s="158">
        <f t="shared" si="114"/>
        <v>18836.893765435198</v>
      </c>
      <c r="Z200" s="158">
        <f t="shared" si="114"/>
        <v>18950.539226969777</v>
      </c>
      <c r="AA200" s="158">
        <f t="shared" si="114"/>
        <v>19026.315745216059</v>
      </c>
      <c r="AB200" s="158">
        <f t="shared" si="114"/>
        <v>19135.929785356046</v>
      </c>
      <c r="AC200" s="158">
        <f t="shared" si="114"/>
        <v>19312.43719583554</v>
      </c>
      <c r="AD200" s="158">
        <f t="shared" si="114"/>
        <v>19469.491354467427</v>
      </c>
      <c r="AE200" s="158">
        <f t="shared" si="114"/>
        <v>19723.199948735324</v>
      </c>
      <c r="AF200" s="158">
        <f t="shared" si="114"/>
        <v>20005.115772260313</v>
      </c>
      <c r="AG200" s="158">
        <f t="shared" si="114"/>
        <v>20228.97376691773</v>
      </c>
      <c r="AH200" s="187">
        <f t="shared" si="114"/>
        <v>20403.015165539644</v>
      </c>
    </row>
    <row r="201" spans="1:34">
      <c r="A201" t="s">
        <v>394</v>
      </c>
      <c r="C201" s="330">
        <f>SUM('Output - Jobs vs Yr (BAU)'!C53:C54)</f>
        <v>8189.06</v>
      </c>
      <c r="D201" s="330">
        <f>SUM('Output - Jobs vs Yr (BAU)'!D53:D54)</f>
        <v>8065.2000000000007</v>
      </c>
      <c r="E201" s="330">
        <f>SUM('Output - Jobs vs Yr (BAU)'!E53:E54)</f>
        <v>8416.2767143516503</v>
      </c>
      <c r="F201" s="330">
        <f>SUM('Output - Jobs vs Yr (BAU)'!F53:F54)</f>
        <v>8540.2771551603018</v>
      </c>
      <c r="G201" s="330">
        <f>SUM('Output - Jobs vs Yr (BAU)'!G53:G54)</f>
        <v>8305.1442402801549</v>
      </c>
      <c r="H201" s="286">
        <f>SUM('Output - Jobs vs Yr (BAU)'!H53:H54)</f>
        <v>8233.3550197435216</v>
      </c>
      <c r="I201" s="118">
        <f>SUM('Output - Jobs vs Yr (BAU)'!I53:I54)</f>
        <v>8325.4170597704924</v>
      </c>
      <c r="J201" s="118">
        <f>SUM('Output - Jobs vs Yr (BAU)'!J53:J54)</f>
        <v>8559.7827408923185</v>
      </c>
      <c r="K201" s="118">
        <f>SUM('Output - Jobs vs Yr (BAU)'!K53:K54)</f>
        <v>8553.4823982804664</v>
      </c>
      <c r="L201" s="118">
        <f>SUM('Output - Jobs vs Yr (BAU)'!L53:L54)</f>
        <v>8572.7308374561635</v>
      </c>
      <c r="M201" s="118">
        <f>SUM('Output - Jobs vs Yr (BAU)'!M53:M54)</f>
        <v>8683.5844737805019</v>
      </c>
      <c r="N201" s="177">
        <f>SUM('Output - Jobs vs Yr (BAU)'!N53:N54)</f>
        <v>8809.5470675241395</v>
      </c>
      <c r="O201" s="118">
        <f>SUM('Output - Jobs vs Yr (BAU)'!O53:O54)</f>
        <v>8914.8688802344459</v>
      </c>
      <c r="P201" s="118">
        <f>SUM('Output - Jobs vs Yr (BAU)'!P53:P54)</f>
        <v>9046.3847126850305</v>
      </c>
      <c r="Q201" s="118">
        <f>SUM('Output - Jobs vs Yr (BAU)'!Q53:Q54)</f>
        <v>9232.3001144977807</v>
      </c>
      <c r="R201" s="118">
        <f>SUM('Output - Jobs vs Yr (BAU)'!R53:R54)</f>
        <v>9400.5701567900323</v>
      </c>
      <c r="S201" s="118">
        <f>SUM('Output - Jobs vs Yr (BAU)'!S53:S54)</f>
        <v>9504.3690725097367</v>
      </c>
      <c r="T201" s="118">
        <f>SUM('Output - Jobs vs Yr (BAU)'!T53:T54)</f>
        <v>9584.937824707391</v>
      </c>
      <c r="U201" s="118">
        <f>SUM('Output - Jobs vs Yr (BAU)'!U53:U54)</f>
        <v>9667.5227665410348</v>
      </c>
      <c r="V201" s="118">
        <f>SUM('Output - Jobs vs Yr (BAU)'!V53:V54)</f>
        <v>9762.3119879348942</v>
      </c>
      <c r="W201" s="118">
        <f>SUM('Output - Jobs vs Yr (BAU)'!W53:W54)</f>
        <v>9790.8912963096955</v>
      </c>
      <c r="X201" s="184">
        <f>SUM('Output - Jobs vs Yr (BAU)'!X53:X54)</f>
        <v>9879.5342275427683</v>
      </c>
      <c r="Y201" s="271">
        <f>SUM('Output - Jobs vs Yr (BAU)'!Y53:Y54)</f>
        <v>9914.1546133869469</v>
      </c>
      <c r="Z201" s="271">
        <f>SUM('Output - Jobs vs Yr (BAU)'!Z53:Z54)</f>
        <v>9973.9680141946192</v>
      </c>
      <c r="AA201" s="271">
        <f>SUM('Output - Jobs vs Yr (BAU)'!AA53:AA54)</f>
        <v>10013.850392218978</v>
      </c>
      <c r="AB201" s="271">
        <f>SUM('Output - Jobs vs Yr (BAU)'!AB53:AB54)</f>
        <v>10071.541992292656</v>
      </c>
      <c r="AC201" s="271">
        <f>SUM('Output - Jobs vs Yr (BAU)'!AC53:AC54)</f>
        <v>10164.440629387125</v>
      </c>
      <c r="AD201" s="271">
        <f>SUM('Output - Jobs vs Yr (BAU)'!AD53:AD54)</f>
        <v>10247.100712877593</v>
      </c>
      <c r="AE201" s="271">
        <f>SUM('Output - Jobs vs Yr (BAU)'!AE53:AE54)</f>
        <v>10380.631551965958</v>
      </c>
      <c r="AF201" s="271">
        <f>SUM('Output - Jobs vs Yr (BAU)'!AF53:AF54)</f>
        <v>10529.008301189639</v>
      </c>
      <c r="AG201" s="271">
        <f>SUM('Output - Jobs vs Yr (BAU)'!AG53:AG54)</f>
        <v>10646.828298377754</v>
      </c>
      <c r="AH201" s="184">
        <f>SUM('Output - Jobs vs Yr (BAU)'!AH53:AH54)</f>
        <v>10738.429034494549</v>
      </c>
    </row>
    <row r="202" spans="1:34">
      <c r="A202" t="s">
        <v>395</v>
      </c>
      <c r="C202" s="330">
        <f>SUM('Output - Jobs vs Yr (BAU)'!C71:C72)</f>
        <v>7370.1540000000005</v>
      </c>
      <c r="D202" s="330">
        <f>SUM('Output - Jobs vs Yr (BAU)'!D71:D72)</f>
        <v>7258.68</v>
      </c>
      <c r="E202" s="330">
        <f>SUM('Output - Jobs vs Yr (BAU)'!E71:E72)</f>
        <v>7574.649042916486</v>
      </c>
      <c r="F202" s="330">
        <f>SUM('Output - Jobs vs Yr (BAU)'!F71:F72)</f>
        <v>7686.2494396442708</v>
      </c>
      <c r="G202" s="330">
        <f>SUM('Output - Jobs vs Yr (BAU)'!G71:G72)</f>
        <v>7474.6298162521398</v>
      </c>
      <c r="H202" s="286">
        <f>SUM('Output - Jobs vs Yr (BAU)'!H71:H72)</f>
        <v>7410.0195177691694</v>
      </c>
      <c r="I202" s="118">
        <f>SUM('Output - Jobs vs Yr (BAU)'!I71:I72)</f>
        <v>7492.8753537934435</v>
      </c>
      <c r="J202" s="118">
        <f>SUM('Output - Jobs vs Yr (BAU)'!J71:J72)</f>
        <v>7703.8044668030871</v>
      </c>
      <c r="K202" s="118">
        <f>SUM('Output - Jobs vs Yr (BAU)'!K71:K72)</f>
        <v>7698.1341584524207</v>
      </c>
      <c r="L202" s="118">
        <f>SUM('Output - Jobs vs Yr (BAU)'!L71:L72)</f>
        <v>7715.457753710547</v>
      </c>
      <c r="M202" s="118">
        <f>SUM('Output - Jobs vs Yr (BAU)'!M71:M72)</f>
        <v>7815.2260264024517</v>
      </c>
      <c r="N202" s="177">
        <f>SUM('Output - Jobs vs Yr (BAU)'!N71:N72)</f>
        <v>7928.592360771725</v>
      </c>
      <c r="O202" s="118">
        <f>SUM('Output - Jobs vs Yr (BAU)'!O71:O72)</f>
        <v>8023.3819922110015</v>
      </c>
      <c r="P202" s="118">
        <f>SUM('Output - Jobs vs Yr (BAU)'!P71:P72)</f>
        <v>8141.7462414165266</v>
      </c>
      <c r="Q202" s="118">
        <f>SUM('Output - Jobs vs Yr (BAU)'!Q71:Q72)</f>
        <v>8309.0701030480031</v>
      </c>
      <c r="R202" s="118">
        <f>SUM('Output - Jobs vs Yr (BAU)'!R71:R72)</f>
        <v>8460.5131411110287</v>
      </c>
      <c r="S202" s="118">
        <f>SUM('Output - Jobs vs Yr (BAU)'!S71:S72)</f>
        <v>8553.9321652587623</v>
      </c>
      <c r="T202" s="118">
        <f>SUM('Output - Jobs vs Yr (BAU)'!T71:T72)</f>
        <v>8626.4440422366533</v>
      </c>
      <c r="U202" s="118">
        <f>SUM('Output - Jobs vs Yr (BAU)'!U71:U72)</f>
        <v>8700.7704898869306</v>
      </c>
      <c r="V202" s="118">
        <f>SUM('Output - Jobs vs Yr (BAU)'!V71:V72)</f>
        <v>8786.0807891414061</v>
      </c>
      <c r="W202" s="118">
        <f>SUM('Output - Jobs vs Yr (BAU)'!W71:W72)</f>
        <v>8811.8021666787245</v>
      </c>
      <c r="X202" s="184">
        <f>SUM('Output - Jobs vs Yr (BAU)'!X71:X72)</f>
        <v>8891.5808047884912</v>
      </c>
      <c r="Y202" s="271">
        <f>SUM('Output - Jobs vs Yr (BAU)'!Y71:Y72)</f>
        <v>8922.7391520482524</v>
      </c>
      <c r="Z202" s="271">
        <f>SUM('Output - Jobs vs Yr (BAU)'!Z71:Z72)</f>
        <v>8976.5712127751576</v>
      </c>
      <c r="AA202" s="271">
        <f>SUM('Output - Jobs vs Yr (BAU)'!AA71:AA72)</f>
        <v>9012.4653529970819</v>
      </c>
      <c r="AB202" s="271">
        <f>SUM('Output - Jobs vs Yr (BAU)'!AB71:AB72)</f>
        <v>9064.3877930633898</v>
      </c>
      <c r="AC202" s="271">
        <f>SUM('Output - Jobs vs Yr (BAU)'!AC71:AC72)</f>
        <v>9147.9965664484134</v>
      </c>
      <c r="AD202" s="271">
        <f>SUM('Output - Jobs vs Yr (BAU)'!AD71:AD72)</f>
        <v>9222.3906415898346</v>
      </c>
      <c r="AE202" s="271">
        <f>SUM('Output - Jobs vs Yr (BAU)'!AE71:AE72)</f>
        <v>9342.568396769364</v>
      </c>
      <c r="AF202" s="271">
        <f>SUM('Output - Jobs vs Yr (BAU)'!AF71:AF72)</f>
        <v>9476.1074710706744</v>
      </c>
      <c r="AG202" s="271">
        <f>SUM('Output - Jobs vs Yr (BAU)'!AG71:AG72)</f>
        <v>9582.1454685399767</v>
      </c>
      <c r="AH202" s="184">
        <f>SUM('Output - Jobs vs Yr (BAU)'!AH71:AH72)</f>
        <v>9664.5861310450946</v>
      </c>
    </row>
    <row r="203" spans="1:34">
      <c r="A203" s="1" t="s">
        <v>424</v>
      </c>
      <c r="C203" s="331">
        <f>SUM(C191,C194,C197,C200)</f>
        <v>26119.935189</v>
      </c>
      <c r="D203" s="331">
        <f t="shared" ref="D203:AH203" si="115">SUM(D191,D194,D197,D200)</f>
        <v>26453.779990000003</v>
      </c>
      <c r="E203" s="331">
        <f t="shared" si="115"/>
        <v>27190.984955901691</v>
      </c>
      <c r="F203" s="331">
        <f t="shared" si="115"/>
        <v>27484.971121051429</v>
      </c>
      <c r="G203" s="331">
        <f t="shared" si="115"/>
        <v>27660.947390900255</v>
      </c>
      <c r="H203" s="402">
        <f t="shared" si="115"/>
        <v>27897.056590947024</v>
      </c>
      <c r="I203" s="14">
        <f t="shared" si="115"/>
        <v>28751.341888543502</v>
      </c>
      <c r="J203" s="14">
        <f t="shared" si="115"/>
        <v>30235.096744830873</v>
      </c>
      <c r="K203" s="14">
        <f t="shared" si="115"/>
        <v>31175.091301506043</v>
      </c>
      <c r="L203" s="14">
        <f t="shared" si="115"/>
        <v>32070.036204180178</v>
      </c>
      <c r="M203" s="132">
        <f t="shared" si="115"/>
        <v>32946.834917044267</v>
      </c>
      <c r="N203" s="193">
        <f t="shared" si="115"/>
        <v>33820.760910990226</v>
      </c>
      <c r="O203" s="14">
        <f t="shared" si="115"/>
        <v>34659.437818504019</v>
      </c>
      <c r="P203" s="14">
        <f t="shared" si="115"/>
        <v>35569.990496139682</v>
      </c>
      <c r="Q203" s="14">
        <f t="shared" si="115"/>
        <v>36646.649463566035</v>
      </c>
      <c r="R203" s="14">
        <f t="shared" si="115"/>
        <v>37677.4538033399</v>
      </c>
      <c r="S203" s="14">
        <f t="shared" si="115"/>
        <v>38571.008325981536</v>
      </c>
      <c r="T203" s="14">
        <f t="shared" si="115"/>
        <v>38880.166652973014</v>
      </c>
      <c r="U203" s="14">
        <f t="shared" si="115"/>
        <v>39636.312350510823</v>
      </c>
      <c r="V203" s="14">
        <f t="shared" si="115"/>
        <v>40454.068954368689</v>
      </c>
      <c r="W203" s="14">
        <f t="shared" si="115"/>
        <v>41120.811246529789</v>
      </c>
      <c r="X203" s="187">
        <f t="shared" si="115"/>
        <v>41954.413226129072</v>
      </c>
      <c r="Y203" s="158">
        <f t="shared" si="115"/>
        <v>42638.886261293606</v>
      </c>
      <c r="Z203" s="158">
        <f t="shared" si="115"/>
        <v>43411.458284667082</v>
      </c>
      <c r="AA203" s="158">
        <f t="shared" si="115"/>
        <v>44114.520109269695</v>
      </c>
      <c r="AB203" s="158">
        <f t="shared" si="115"/>
        <v>44893.949200868643</v>
      </c>
      <c r="AC203" s="158">
        <f t="shared" si="115"/>
        <v>45817.135499215619</v>
      </c>
      <c r="AD203" s="158">
        <f t="shared" si="115"/>
        <v>46698.305289724645</v>
      </c>
      <c r="AE203" s="158">
        <f t="shared" si="115"/>
        <v>47711.499223898907</v>
      </c>
      <c r="AF203" s="158">
        <f t="shared" si="115"/>
        <v>48790.107190299692</v>
      </c>
      <c r="AG203" s="158">
        <f t="shared" si="115"/>
        <v>49785.526218346073</v>
      </c>
      <c r="AH203" s="187">
        <f t="shared" si="115"/>
        <v>50716.536373484778</v>
      </c>
    </row>
    <row r="204" spans="1:34">
      <c r="A204" s="1" t="s">
        <v>447</v>
      </c>
      <c r="C204" s="331"/>
      <c r="D204" s="331">
        <f>D194+D197</f>
        <v>11129.89999</v>
      </c>
      <c r="E204" s="331">
        <f t="shared" ref="E204:AH204" si="116">E194+E197</f>
        <v>11200.059198633555</v>
      </c>
      <c r="F204" s="331">
        <f t="shared" si="116"/>
        <v>11258.444526246858</v>
      </c>
      <c r="G204" s="331">
        <f t="shared" si="116"/>
        <v>11881.173334367961</v>
      </c>
      <c r="H204" s="402">
        <f t="shared" si="116"/>
        <v>12253.682053434335</v>
      </c>
      <c r="I204" s="14">
        <f t="shared" si="116"/>
        <v>12933.049474979563</v>
      </c>
      <c r="J204" s="14">
        <f t="shared" si="116"/>
        <v>13971.509537135466</v>
      </c>
      <c r="K204" s="14">
        <f t="shared" si="116"/>
        <v>14923.474744773157</v>
      </c>
      <c r="L204" s="14">
        <f t="shared" si="116"/>
        <v>15781.847613013468</v>
      </c>
      <c r="M204" s="14">
        <f t="shared" si="116"/>
        <v>16448.024416861314</v>
      </c>
      <c r="N204" s="187">
        <f t="shared" si="116"/>
        <v>17082.621482694361</v>
      </c>
      <c r="O204" s="14">
        <f t="shared" si="116"/>
        <v>17721.186946058573</v>
      </c>
      <c r="P204" s="14">
        <f t="shared" si="116"/>
        <v>18381.859542038124</v>
      </c>
      <c r="Q204" s="14">
        <f t="shared" si="116"/>
        <v>19105.279246020255</v>
      </c>
      <c r="R204" s="14">
        <f t="shared" si="116"/>
        <v>19816.370505438841</v>
      </c>
      <c r="S204" s="14">
        <f t="shared" si="116"/>
        <v>20512.707088213036</v>
      </c>
      <c r="T204" s="14">
        <f t="shared" si="116"/>
        <v>20668.784786028973</v>
      </c>
      <c r="U204" s="14">
        <f t="shared" si="116"/>
        <v>21268.019094082862</v>
      </c>
      <c r="V204" s="14">
        <f t="shared" si="116"/>
        <v>21905.676177292393</v>
      </c>
      <c r="W204" s="14">
        <f t="shared" si="116"/>
        <v>22518.117783541365</v>
      </c>
      <c r="X204" s="187">
        <f t="shared" si="116"/>
        <v>23183.298193797811</v>
      </c>
      <c r="Y204" s="158">
        <f t="shared" si="116"/>
        <v>23801.992495858409</v>
      </c>
      <c r="Z204" s="158">
        <f t="shared" si="116"/>
        <v>24460.919057697309</v>
      </c>
      <c r="AA204" s="158">
        <f t="shared" si="116"/>
        <v>25088.204364053639</v>
      </c>
      <c r="AB204" s="158">
        <f t="shared" si="116"/>
        <v>25758.019415512597</v>
      </c>
      <c r="AC204" s="158">
        <f t="shared" si="116"/>
        <v>26504.698303380079</v>
      </c>
      <c r="AD204" s="158">
        <f t="shared" si="116"/>
        <v>27228.813935257218</v>
      </c>
      <c r="AE204" s="158">
        <f t="shared" si="116"/>
        <v>27988.299275163579</v>
      </c>
      <c r="AF204" s="158">
        <f t="shared" si="116"/>
        <v>28784.991418039383</v>
      </c>
      <c r="AG204" s="158">
        <f t="shared" si="116"/>
        <v>29556.552451428346</v>
      </c>
      <c r="AH204" s="187">
        <f t="shared" si="116"/>
        <v>30313.521207945138</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943.43284000000017</v>
      </c>
      <c r="E206" s="331">
        <f>D206+E194</f>
        <v>2315.1758759521963</v>
      </c>
      <c r="F206" s="331">
        <f>E206+F194</f>
        <v>4220.9464683950218</v>
      </c>
      <c r="G206" s="331">
        <f>F206+G194</f>
        <v>6394.4045461345549</v>
      </c>
      <c r="H206" s="402">
        <f t="shared" ref="H206:X206" si="117">G206+H194</f>
        <v>8864.2651804219204</v>
      </c>
      <c r="I206" s="14">
        <f t="shared" si="117"/>
        <v>11681.675145160216</v>
      </c>
      <c r="J206" s="14">
        <f t="shared" si="117"/>
        <v>15167.199902548433</v>
      </c>
      <c r="K206" s="14">
        <f t="shared" si="117"/>
        <v>19256.78366328288</v>
      </c>
      <c r="L206" s="14">
        <f t="shared" si="117"/>
        <v>23956.284040163097</v>
      </c>
      <c r="M206" s="14">
        <f t="shared" si="117"/>
        <v>29278.553033343305</v>
      </c>
      <c r="N206" s="187">
        <f t="shared" si="117"/>
        <v>35235.419504149904</v>
      </c>
      <c r="O206" s="14">
        <f t="shared" si="117"/>
        <v>41830.850856920712</v>
      </c>
      <c r="P206" s="14">
        <f t="shared" si="117"/>
        <v>49086.956574106625</v>
      </c>
      <c r="Q206" s="14">
        <f t="shared" si="117"/>
        <v>57053.15201943912</v>
      </c>
      <c r="R206" s="14">
        <f t="shared" si="117"/>
        <v>65730.439911246853</v>
      </c>
      <c r="S206" s="14">
        <f t="shared" si="117"/>
        <v>75104.045742132235</v>
      </c>
      <c r="T206" s="14">
        <f t="shared" si="117"/>
        <v>84628.681013508991</v>
      </c>
      <c r="U206" s="14">
        <f t="shared" si="117"/>
        <v>94749.509119975191</v>
      </c>
      <c r="V206" s="14">
        <f t="shared" si="117"/>
        <v>105490.77522810092</v>
      </c>
      <c r="W206" s="14">
        <f t="shared" si="117"/>
        <v>116827.66274975453</v>
      </c>
      <c r="X206" s="187">
        <f t="shared" si="117"/>
        <v>128810.96241138567</v>
      </c>
      <c r="Y206" s="158">
        <f t="shared" ref="Y206:AH206" si="118">X206+Y194</f>
        <v>141412.9560359274</v>
      </c>
      <c r="Z206" s="158">
        <f t="shared" si="118"/>
        <v>154662.98987067249</v>
      </c>
      <c r="AA206" s="158">
        <f t="shared" si="118"/>
        <v>168540.30866053779</v>
      </c>
      <c r="AB206" s="158">
        <f t="shared" si="118"/>
        <v>183087.44239283373</v>
      </c>
      <c r="AC206" s="158">
        <f t="shared" si="118"/>
        <v>198370.92305047606</v>
      </c>
      <c r="AD206" s="158">
        <f t="shared" si="118"/>
        <v>214371.36312964553</v>
      </c>
      <c r="AE206" s="158">
        <f t="shared" si="118"/>
        <v>231131.28757972133</v>
      </c>
      <c r="AF206" s="158">
        <f t="shared" si="118"/>
        <v>248681.41143662296</v>
      </c>
      <c r="AG206" s="158">
        <f t="shared" si="118"/>
        <v>267003.09652073466</v>
      </c>
      <c r="AH206" s="187">
        <f t="shared" si="118"/>
        <v>286081.75011911313</v>
      </c>
    </row>
    <row r="207" spans="1:34">
      <c r="A207" s="1" t="s">
        <v>455</v>
      </c>
      <c r="C207" s="331"/>
      <c r="D207" s="331">
        <f>D200</f>
        <v>15323.880000000001</v>
      </c>
      <c r="E207" s="331">
        <f>D207+E200</f>
        <v>31314.805757268135</v>
      </c>
      <c r="F207" s="331">
        <f>E207+F200</f>
        <v>47541.332352072706</v>
      </c>
      <c r="G207" s="331">
        <f t="shared" ref="G207:X207" si="119">F207+G200</f>
        <v>63321.106408605003</v>
      </c>
      <c r="H207" s="402">
        <f t="shared" si="119"/>
        <v>78964.480946117692</v>
      </c>
      <c r="I207" s="14">
        <f t="shared" si="119"/>
        <v>94782.773359681625</v>
      </c>
      <c r="J207" s="14">
        <f t="shared" si="119"/>
        <v>111046.36056737704</v>
      </c>
      <c r="K207" s="14">
        <f t="shared" si="119"/>
        <v>127297.97712410992</v>
      </c>
      <c r="L207" s="14">
        <f t="shared" si="119"/>
        <v>143586.16571527664</v>
      </c>
      <c r="M207" s="14">
        <f t="shared" si="119"/>
        <v>160084.97621545958</v>
      </c>
      <c r="N207" s="187">
        <f t="shared" si="119"/>
        <v>176823.11564375545</v>
      </c>
      <c r="O207" s="14">
        <f t="shared" si="119"/>
        <v>193761.36651620088</v>
      </c>
      <c r="P207" s="14">
        <f t="shared" si="119"/>
        <v>210949.49747030245</v>
      </c>
      <c r="Q207" s="14">
        <f t="shared" si="119"/>
        <v>228490.86768784822</v>
      </c>
      <c r="R207" s="14">
        <f t="shared" si="119"/>
        <v>246351.95098574928</v>
      </c>
      <c r="S207" s="14">
        <f t="shared" si="119"/>
        <v>264410.2522235178</v>
      </c>
      <c r="T207" s="14">
        <f t="shared" si="119"/>
        <v>282621.63409046183</v>
      </c>
      <c r="U207" s="14">
        <f t="shared" si="119"/>
        <v>300989.9273468898</v>
      </c>
      <c r="V207" s="14">
        <f t="shared" si="119"/>
        <v>319538.32012396608</v>
      </c>
      <c r="W207" s="14">
        <f t="shared" si="119"/>
        <v>338141.0135869545</v>
      </c>
      <c r="X207" s="187">
        <f t="shared" si="119"/>
        <v>356912.12861928577</v>
      </c>
      <c r="Y207" s="158">
        <f t="shared" ref="Y207:AH207" si="120">X207+Y200</f>
        <v>375749.02238472097</v>
      </c>
      <c r="Z207" s="158">
        <f t="shared" si="120"/>
        <v>394699.56161169073</v>
      </c>
      <c r="AA207" s="158">
        <f t="shared" si="120"/>
        <v>413725.87735690677</v>
      </c>
      <c r="AB207" s="158">
        <f t="shared" si="120"/>
        <v>432861.80714226281</v>
      </c>
      <c r="AC207" s="158">
        <f t="shared" si="120"/>
        <v>452174.24433809833</v>
      </c>
      <c r="AD207" s="158">
        <f t="shared" si="120"/>
        <v>471643.73569256574</v>
      </c>
      <c r="AE207" s="158">
        <f t="shared" si="120"/>
        <v>491366.93564130104</v>
      </c>
      <c r="AF207" s="158">
        <f t="shared" si="120"/>
        <v>511372.05141356133</v>
      </c>
      <c r="AG207" s="158">
        <f t="shared" si="120"/>
        <v>531601.02518047905</v>
      </c>
      <c r="AH207" s="187">
        <f t="shared" si="120"/>
        <v>552004.04034601874</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572.93676899999991</v>
      </c>
      <c r="D213" s="341">
        <f t="shared" ref="D213:AH213" si="124">SUM(D214:D215)</f>
        <v>951.56119038312897</v>
      </c>
      <c r="E213" s="341">
        <f t="shared" si="124"/>
        <v>1416.3863766806635</v>
      </c>
      <c r="F213" s="341">
        <f t="shared" si="124"/>
        <v>1965.6436999224413</v>
      </c>
      <c r="G213" s="341">
        <f t="shared" si="124"/>
        <v>2246.0198403965042</v>
      </c>
      <c r="H213" s="405">
        <f t="shared" si="124"/>
        <v>2469.860364287365</v>
      </c>
      <c r="I213" s="15">
        <f t="shared" si="124"/>
        <v>3276.1906401306787</v>
      </c>
      <c r="J213" s="15">
        <f t="shared" si="124"/>
        <v>4374.8606108941422</v>
      </c>
      <c r="K213" s="15">
        <f t="shared" si="124"/>
        <v>5706.7187786996346</v>
      </c>
      <c r="L213" s="15">
        <f t="shared" si="124"/>
        <v>7438.9263758194602</v>
      </c>
      <c r="M213" s="15">
        <f t="shared" si="124"/>
        <v>9703.6752506281737</v>
      </c>
      <c r="N213" s="190">
        <f t="shared" si="124"/>
        <v>12660.380998049495</v>
      </c>
      <c r="O213" s="15">
        <f t="shared" si="124"/>
        <v>13227.315151686858</v>
      </c>
      <c r="P213" s="15">
        <f t="shared" si="124"/>
        <v>13845.12426094174</v>
      </c>
      <c r="Q213" s="15">
        <f t="shared" si="124"/>
        <v>14552.625814364623</v>
      </c>
      <c r="R213" s="15">
        <f t="shared" si="124"/>
        <v>15271.918104825958</v>
      </c>
      <c r="S213" s="15">
        <f t="shared" si="124"/>
        <v>15962.535174143219</v>
      </c>
      <c r="T213" s="15">
        <f t="shared" si="124"/>
        <v>16661.52410926302</v>
      </c>
      <c r="U213" s="15">
        <f t="shared" si="124"/>
        <v>17396.683639980387</v>
      </c>
      <c r="V213" s="15">
        <f t="shared" si="124"/>
        <v>18191.989630913344</v>
      </c>
      <c r="W213" s="15">
        <f t="shared" si="124"/>
        <v>18950.670924206333</v>
      </c>
      <c r="X213" s="190">
        <f t="shared" si="124"/>
        <v>19829.605231362882</v>
      </c>
      <c r="Y213" s="130">
        <f t="shared" si="124"/>
        <v>20785.620768578694</v>
      </c>
      <c r="Z213" s="130">
        <f t="shared" si="124"/>
        <v>21824.318553399906</v>
      </c>
      <c r="AA213" s="130">
        <f t="shared" si="124"/>
        <v>22863.289503560289</v>
      </c>
      <c r="AB213" s="130">
        <f t="shared" si="124"/>
        <v>24010.483377421639</v>
      </c>
      <c r="AC213" s="130">
        <f t="shared" si="124"/>
        <v>25310.337439184324</v>
      </c>
      <c r="AD213" s="130">
        <f t="shared" si="124"/>
        <v>26620.670790668031</v>
      </c>
      <c r="AE213" s="130">
        <f t="shared" si="124"/>
        <v>28047.910304421501</v>
      </c>
      <c r="AF213" s="130">
        <f t="shared" si="124"/>
        <v>29577.62976411097</v>
      </c>
      <c r="AG213" s="130">
        <f t="shared" si="124"/>
        <v>31128.73940591799</v>
      </c>
      <c r="AH213" s="190">
        <f t="shared" si="124"/>
        <v>32710.954970510429</v>
      </c>
    </row>
    <row r="214" spans="1:34">
      <c r="A214" t="s">
        <v>397</v>
      </c>
      <c r="C214" s="331">
        <f>C115</f>
        <v>301.54580999999996</v>
      </c>
      <c r="D214" s="331">
        <f t="shared" ref="D214:AH214" si="125">D115</f>
        <v>500.82183725681278</v>
      </c>
      <c r="E214" s="331">
        <f t="shared" si="125"/>
        <v>745.4666944555737</v>
      </c>
      <c r="F214" s="331">
        <f t="shared" si="125"/>
        <v>1034.5495187528977</v>
      </c>
      <c r="G214" s="331">
        <f t="shared" si="125"/>
        <v>1182.1159324372388</v>
      </c>
      <c r="H214" s="402">
        <f t="shared" si="125"/>
        <v>1299.9266496249288</v>
      </c>
      <c r="I214" s="14">
        <f t="shared" si="125"/>
        <v>1724.3110260233605</v>
      </c>
      <c r="J214" s="14">
        <f t="shared" si="125"/>
        <v>2302.5584041827092</v>
      </c>
      <c r="K214" s="14">
        <f t="shared" si="125"/>
        <v>3003.536411016797</v>
      </c>
      <c r="L214" s="14">
        <f t="shared" si="125"/>
        <v>3915.2246465814828</v>
      </c>
      <c r="M214" s="14">
        <f t="shared" si="125"/>
        <v>5107.1977685871861</v>
      </c>
      <c r="N214" s="182">
        <f t="shared" si="125"/>
        <v>6663.3587220484078</v>
      </c>
      <c r="O214" s="14">
        <f t="shared" si="125"/>
        <v>6961.7451322242678</v>
      </c>
      <c r="P214" s="14">
        <f t="shared" si="125"/>
        <v>7286.9078360440581</v>
      </c>
      <c r="Q214" s="14">
        <f t="shared" si="125"/>
        <v>7659.2770915656311</v>
      </c>
      <c r="R214" s="14">
        <f t="shared" si="125"/>
        <v>8037.8519984413506</v>
      </c>
      <c r="S214" s="14">
        <f t="shared" si="125"/>
        <v>8401.3346829782258</v>
      </c>
      <c r="T214" s="14">
        <f t="shared" si="125"/>
        <v>8769.2236128740496</v>
      </c>
      <c r="U214" s="14">
        <f t="shared" si="125"/>
        <v>9156.1496992104167</v>
      </c>
      <c r="V214" s="14">
        <f t="shared" si="125"/>
        <v>9574.731818674034</v>
      </c>
      <c r="W214" s="14">
        <f t="shared" si="125"/>
        <v>9974.0377806113283</v>
      </c>
      <c r="X214" s="187">
        <f t="shared" si="125"/>
        <v>10436.634805345535</v>
      </c>
      <c r="Y214" s="158">
        <f t="shared" si="125"/>
        <v>10939.80090037081</v>
      </c>
      <c r="Z214" s="158">
        <f t="shared" si="125"/>
        <v>11486.483969792424</v>
      </c>
      <c r="AA214" s="158">
        <f t="shared" si="125"/>
        <v>12033.3108104517</v>
      </c>
      <c r="AB214" s="158">
        <f t="shared" si="125"/>
        <v>12637.09708721953</v>
      </c>
      <c r="AC214" s="158">
        <f t="shared" si="125"/>
        <v>13321.230834945674</v>
      </c>
      <c r="AD214" s="158">
        <f t="shared" si="125"/>
        <v>14010.879998564449</v>
      </c>
      <c r="AE214" s="158">
        <f t="shared" si="125"/>
        <v>14762.058724061453</v>
      </c>
      <c r="AF214" s="158">
        <f t="shared" si="125"/>
        <v>15567.174265653717</v>
      </c>
      <c r="AG214" s="158">
        <f t="shared" si="125"/>
        <v>16383.547798344442</v>
      </c>
      <c r="AH214" s="187">
        <f t="shared" si="125"/>
        <v>17216.292870085334</v>
      </c>
    </row>
    <row r="215" spans="1:34">
      <c r="A215" t="s">
        <v>398</v>
      </c>
      <c r="C215" s="331">
        <f>C142</f>
        <v>271.39095899999995</v>
      </c>
      <c r="D215" s="331">
        <f t="shared" ref="D215:AH215" si="126">D142</f>
        <v>450.73935312631619</v>
      </c>
      <c r="E215" s="331">
        <f t="shared" si="126"/>
        <v>670.9196822250899</v>
      </c>
      <c r="F215" s="331">
        <f t="shared" si="126"/>
        <v>931.09418116954362</v>
      </c>
      <c r="G215" s="331">
        <f t="shared" si="126"/>
        <v>1063.9039079592653</v>
      </c>
      <c r="H215" s="402">
        <f t="shared" si="126"/>
        <v>1169.9337146624362</v>
      </c>
      <c r="I215" s="14">
        <f t="shared" si="126"/>
        <v>1551.8796141073185</v>
      </c>
      <c r="J215" s="14">
        <f t="shared" si="126"/>
        <v>2072.3022067114325</v>
      </c>
      <c r="K215" s="14">
        <f t="shared" si="126"/>
        <v>2703.1823676828376</v>
      </c>
      <c r="L215" s="14">
        <f t="shared" si="126"/>
        <v>3523.7017292379774</v>
      </c>
      <c r="M215" s="14">
        <f t="shared" si="126"/>
        <v>4596.4774820409884</v>
      </c>
      <c r="N215" s="182">
        <f t="shared" si="126"/>
        <v>5997.0222760010884</v>
      </c>
      <c r="O215" s="14">
        <f t="shared" si="126"/>
        <v>6265.5700194625906</v>
      </c>
      <c r="P215" s="14">
        <f t="shared" si="126"/>
        <v>6558.2164248976824</v>
      </c>
      <c r="Q215" s="14">
        <f t="shared" si="126"/>
        <v>6893.3487227989917</v>
      </c>
      <c r="R215" s="14">
        <f t="shared" si="126"/>
        <v>7234.0661063846073</v>
      </c>
      <c r="S215" s="14">
        <f t="shared" si="126"/>
        <v>7561.2004911649929</v>
      </c>
      <c r="T215" s="14">
        <f t="shared" si="126"/>
        <v>7892.3004963889707</v>
      </c>
      <c r="U215" s="14">
        <f t="shared" si="126"/>
        <v>8240.5339407699721</v>
      </c>
      <c r="V215" s="14">
        <f t="shared" si="126"/>
        <v>8617.2578122393097</v>
      </c>
      <c r="W215" s="14">
        <f t="shared" si="126"/>
        <v>8976.6331435950051</v>
      </c>
      <c r="X215" s="187">
        <f t="shared" si="126"/>
        <v>9392.9704260173476</v>
      </c>
      <c r="Y215" s="158">
        <f t="shared" si="126"/>
        <v>9845.8198682078819</v>
      </c>
      <c r="Z215" s="158">
        <f t="shared" si="126"/>
        <v>10337.834583607482</v>
      </c>
      <c r="AA215" s="158">
        <f t="shared" si="126"/>
        <v>10829.978693108589</v>
      </c>
      <c r="AB215" s="158">
        <f t="shared" si="126"/>
        <v>11373.386290202106</v>
      </c>
      <c r="AC215" s="158">
        <f t="shared" si="126"/>
        <v>11989.10660423865</v>
      </c>
      <c r="AD215" s="158">
        <f t="shared" si="126"/>
        <v>12609.79079210358</v>
      </c>
      <c r="AE215" s="158">
        <f t="shared" si="126"/>
        <v>13285.851580360046</v>
      </c>
      <c r="AF215" s="158">
        <f t="shared" si="126"/>
        <v>14010.455498457253</v>
      </c>
      <c r="AG215" s="158">
        <f t="shared" si="126"/>
        <v>14745.191607573548</v>
      </c>
      <c r="AH215" s="187">
        <f t="shared" si="126"/>
        <v>15494.662100425096</v>
      </c>
    </row>
    <row r="216" spans="1:34">
      <c r="A216" t="s">
        <v>399</v>
      </c>
      <c r="C216" s="331">
        <f>SUM(C217:C218)</f>
        <v>9987.7841499999995</v>
      </c>
      <c r="D216" s="331">
        <f t="shared" ref="D216:AH216" si="127">SUM(D217:D218)</f>
        <v>9930.4311094374498</v>
      </c>
      <c r="E216" s="331">
        <f t="shared" si="127"/>
        <v>10125.900507844603</v>
      </c>
      <c r="F216" s="331">
        <f t="shared" si="127"/>
        <v>10181.605095336301</v>
      </c>
      <c r="G216" s="331">
        <f t="shared" si="127"/>
        <v>10172.113385225497</v>
      </c>
      <c r="H216" s="402">
        <f t="shared" si="127"/>
        <v>9783.8214191469706</v>
      </c>
      <c r="I216" s="14">
        <f t="shared" si="127"/>
        <v>10099.531671249759</v>
      </c>
      <c r="J216" s="14">
        <f t="shared" si="127"/>
        <v>10504.655829760541</v>
      </c>
      <c r="K216" s="14">
        <f t="shared" si="127"/>
        <v>10662.596209659743</v>
      </c>
      <c r="L216" s="14">
        <f t="shared" si="127"/>
        <v>10812.082173610363</v>
      </c>
      <c r="M216" s="14">
        <f t="shared" si="127"/>
        <v>10968.159135295446</v>
      </c>
      <c r="N216" s="190">
        <f t="shared" si="127"/>
        <v>11125.755011887764</v>
      </c>
      <c r="O216" s="14">
        <f t="shared" si="127"/>
        <v>11124.529650898628</v>
      </c>
      <c r="P216" s="14">
        <f t="shared" si="127"/>
        <v>11143.054516260177</v>
      </c>
      <c r="Q216" s="14">
        <f t="shared" si="127"/>
        <v>11207.684618255304</v>
      </c>
      <c r="R216" s="14">
        <f t="shared" si="127"/>
        <v>11253.93636840181</v>
      </c>
      <c r="S216" s="15">
        <f t="shared" si="127"/>
        <v>11254.280328652258</v>
      </c>
      <c r="T216" s="14">
        <f t="shared" si="127"/>
        <v>11238.379757997871</v>
      </c>
      <c r="U216" s="14">
        <f t="shared" si="127"/>
        <v>11225.252778042935</v>
      </c>
      <c r="V216" s="14">
        <f t="shared" si="127"/>
        <v>11228.391635853823</v>
      </c>
      <c r="W216" s="14">
        <f t="shared" si="127"/>
        <v>11187.577334348854</v>
      </c>
      <c r="X216" s="187">
        <f t="shared" si="127"/>
        <v>11196.066194468771</v>
      </c>
      <c r="Y216" s="158">
        <f t="shared" si="127"/>
        <v>11170.33547819601</v>
      </c>
      <c r="Z216" s="158">
        <f t="shared" si="127"/>
        <v>11162.500673975395</v>
      </c>
      <c r="AA216" s="158">
        <f t="shared" si="127"/>
        <v>11128.644141387431</v>
      </c>
      <c r="AB216" s="158">
        <f t="shared" si="127"/>
        <v>11121.200957975976</v>
      </c>
      <c r="AC216" s="158">
        <f t="shared" si="127"/>
        <v>11154.749633589283</v>
      </c>
      <c r="AD216" s="158">
        <f t="shared" si="127"/>
        <v>11162.338438859555</v>
      </c>
      <c r="AE216" s="158">
        <f t="shared" si="127"/>
        <v>11188.542258187681</v>
      </c>
      <c r="AF216" s="158">
        <f t="shared" si="127"/>
        <v>11223.672073436826</v>
      </c>
      <c r="AG216" s="158">
        <f t="shared" si="127"/>
        <v>11235.51053174419</v>
      </c>
      <c r="AH216" s="187">
        <f t="shared" si="127"/>
        <v>11229.088421879118</v>
      </c>
    </row>
    <row r="217" spans="1:34">
      <c r="A217" t="s">
        <v>400</v>
      </c>
      <c r="C217" s="331">
        <f>C114</f>
        <v>5256.7285000000002</v>
      </c>
      <c r="D217" s="331">
        <f t="shared" ref="D217:AH217" si="128">D114</f>
        <v>5226.5426891776051</v>
      </c>
      <c r="E217" s="331">
        <f t="shared" si="128"/>
        <v>5329.4213199182113</v>
      </c>
      <c r="F217" s="331">
        <f t="shared" si="128"/>
        <v>5358.7395238612116</v>
      </c>
      <c r="G217" s="331">
        <f t="shared" si="128"/>
        <v>5353.7438869607877</v>
      </c>
      <c r="H217" s="402">
        <f t="shared" si="128"/>
        <v>5149.3796942878798</v>
      </c>
      <c r="I217" s="14">
        <f t="shared" si="128"/>
        <v>5315.5429848682943</v>
      </c>
      <c r="J217" s="14">
        <f t="shared" si="128"/>
        <v>5528.7662261897585</v>
      </c>
      <c r="K217" s="14">
        <f t="shared" si="128"/>
        <v>5611.8927419261809</v>
      </c>
      <c r="L217" s="14">
        <f t="shared" si="128"/>
        <v>5690.5695650580856</v>
      </c>
      <c r="M217" s="14">
        <f t="shared" si="128"/>
        <v>5772.7153343660239</v>
      </c>
      <c r="N217" s="187">
        <f t="shared" si="128"/>
        <v>5855.6605325725077</v>
      </c>
      <c r="O217" s="14">
        <f t="shared" si="128"/>
        <v>5855.0156057361201</v>
      </c>
      <c r="P217" s="14">
        <f t="shared" si="128"/>
        <v>5864.7655348737771</v>
      </c>
      <c r="Q217" s="14">
        <f t="shared" si="128"/>
        <v>5898.7813780291071</v>
      </c>
      <c r="R217" s="14">
        <f t="shared" si="128"/>
        <v>5923.1244044220048</v>
      </c>
      <c r="S217" s="14">
        <f t="shared" si="128"/>
        <v>5923.3054361327677</v>
      </c>
      <c r="T217" s="14">
        <f t="shared" si="128"/>
        <v>5914.9367147357216</v>
      </c>
      <c r="U217" s="14">
        <f t="shared" si="128"/>
        <v>5908.0277779173339</v>
      </c>
      <c r="V217" s="14">
        <f t="shared" si="128"/>
        <v>5909.6798083441172</v>
      </c>
      <c r="W217" s="14">
        <f t="shared" si="128"/>
        <v>5888.1985970257128</v>
      </c>
      <c r="X217" s="187">
        <f t="shared" si="128"/>
        <v>5892.666418141459</v>
      </c>
      <c r="Y217" s="158">
        <f t="shared" si="128"/>
        <v>5879.1239358926368</v>
      </c>
      <c r="Z217" s="158">
        <f t="shared" si="128"/>
        <v>5875.000354723893</v>
      </c>
      <c r="AA217" s="158">
        <f t="shared" si="128"/>
        <v>5857.1811270460166</v>
      </c>
      <c r="AB217" s="158">
        <f t="shared" si="128"/>
        <v>5853.2636620926196</v>
      </c>
      <c r="AC217" s="158">
        <f t="shared" si="128"/>
        <v>5870.9208597838333</v>
      </c>
      <c r="AD217" s="158">
        <f t="shared" si="128"/>
        <v>5874.9149678208187</v>
      </c>
      <c r="AE217" s="158">
        <f t="shared" si="128"/>
        <v>5888.7064516777264</v>
      </c>
      <c r="AF217" s="158">
        <f t="shared" si="128"/>
        <v>5907.1958281246452</v>
      </c>
      <c r="AG217" s="158">
        <f t="shared" si="128"/>
        <v>5913.426595654837</v>
      </c>
      <c r="AH217" s="187">
        <f t="shared" si="128"/>
        <v>5910.0465378311146</v>
      </c>
    </row>
    <row r="218" spans="1:34">
      <c r="A218" t="s">
        <v>401</v>
      </c>
      <c r="C218" s="331">
        <f>C141</f>
        <v>4731.0556500000002</v>
      </c>
      <c r="D218" s="331">
        <f t="shared" ref="D218:AH218" si="129">D141</f>
        <v>4703.8884202598447</v>
      </c>
      <c r="E218" s="331">
        <f t="shared" si="129"/>
        <v>4796.4791879263903</v>
      </c>
      <c r="F218" s="331">
        <f t="shared" si="129"/>
        <v>4822.8655714750903</v>
      </c>
      <c r="G218" s="331">
        <f t="shared" si="129"/>
        <v>4818.3694982647094</v>
      </c>
      <c r="H218" s="402">
        <f t="shared" si="129"/>
        <v>4634.4417248590917</v>
      </c>
      <c r="I218" s="14">
        <f t="shared" si="129"/>
        <v>4783.9886863814654</v>
      </c>
      <c r="J218" s="14">
        <f t="shared" si="129"/>
        <v>4975.889603570783</v>
      </c>
      <c r="K218" s="14">
        <f t="shared" si="129"/>
        <v>5050.7034677335623</v>
      </c>
      <c r="L218" s="14">
        <f t="shared" si="129"/>
        <v>5121.512608552277</v>
      </c>
      <c r="M218" s="14">
        <f t="shared" si="129"/>
        <v>5195.4438009294217</v>
      </c>
      <c r="N218" s="187">
        <f t="shared" si="129"/>
        <v>5270.0944793152566</v>
      </c>
      <c r="O218" s="14">
        <f t="shared" si="129"/>
        <v>5269.5140451625084</v>
      </c>
      <c r="P218" s="14">
        <f t="shared" si="129"/>
        <v>5278.2889813864003</v>
      </c>
      <c r="Q218" s="14">
        <f t="shared" si="129"/>
        <v>5308.9032402261964</v>
      </c>
      <c r="R218" s="14">
        <f t="shared" si="129"/>
        <v>5330.8119639798042</v>
      </c>
      <c r="S218" s="14">
        <f t="shared" si="129"/>
        <v>5330.9748925194908</v>
      </c>
      <c r="T218" s="14">
        <f t="shared" si="129"/>
        <v>5323.4430432621493</v>
      </c>
      <c r="U218" s="14">
        <f t="shared" si="129"/>
        <v>5317.2250001256016</v>
      </c>
      <c r="V218" s="14">
        <f t="shared" si="129"/>
        <v>5318.7118275097055</v>
      </c>
      <c r="W218" s="14">
        <f t="shared" si="129"/>
        <v>5299.3787373231426</v>
      </c>
      <c r="X218" s="187">
        <f t="shared" si="129"/>
        <v>5303.3997763273128</v>
      </c>
      <c r="Y218" s="158">
        <f t="shared" si="129"/>
        <v>5291.2115423033729</v>
      </c>
      <c r="Z218" s="158">
        <f t="shared" si="129"/>
        <v>5287.5003192515032</v>
      </c>
      <c r="AA218" s="158">
        <f t="shared" si="129"/>
        <v>5271.4630143414151</v>
      </c>
      <c r="AB218" s="158">
        <f t="shared" si="129"/>
        <v>5267.9372958833574</v>
      </c>
      <c r="AC218" s="158">
        <f t="shared" si="129"/>
        <v>5283.8287738054496</v>
      </c>
      <c r="AD218" s="158">
        <f t="shared" si="129"/>
        <v>5287.4234710387373</v>
      </c>
      <c r="AE218" s="158">
        <f t="shared" si="129"/>
        <v>5299.8358065099546</v>
      </c>
      <c r="AF218" s="158">
        <f t="shared" si="129"/>
        <v>5316.4762453121812</v>
      </c>
      <c r="AG218" s="158">
        <f t="shared" si="129"/>
        <v>5322.0839360893533</v>
      </c>
      <c r="AH218" s="187">
        <f t="shared" si="129"/>
        <v>5319.0418840480033</v>
      </c>
    </row>
    <row r="219" spans="1:34" s="1" customFormat="1">
      <c r="A219" s="1" t="s">
        <v>393</v>
      </c>
      <c r="B219" s="13"/>
      <c r="C219" s="341">
        <f>SUM(C220:C221)</f>
        <v>15492.875518999997</v>
      </c>
      <c r="D219" s="341">
        <f t="shared" ref="D219:AH219" si="130">SUM(D220:D221)</f>
        <v>15406.485380228052</v>
      </c>
      <c r="E219" s="341">
        <f t="shared" si="130"/>
        <v>15728.343608111574</v>
      </c>
      <c r="F219" s="341">
        <f t="shared" si="130"/>
        <v>15820.71668719742</v>
      </c>
      <c r="G219" s="341">
        <f t="shared" si="130"/>
        <v>15848.241488145242</v>
      </c>
      <c r="H219" s="405">
        <f t="shared" si="130"/>
        <v>16517.241739514015</v>
      </c>
      <c r="I219" s="15">
        <f t="shared" si="130"/>
        <v>16816.018926161618</v>
      </c>
      <c r="J219" s="15">
        <f t="shared" si="130"/>
        <v>17219.745836207869</v>
      </c>
      <c r="K219" s="15">
        <f t="shared" si="130"/>
        <v>17164.690113750778</v>
      </c>
      <c r="L219" s="15">
        <f t="shared" si="130"/>
        <v>17032.470787540933</v>
      </c>
      <c r="M219" s="15">
        <f t="shared" si="130"/>
        <v>16832.114477435061</v>
      </c>
      <c r="N219" s="190">
        <f t="shared" si="130"/>
        <v>16532.378512835887</v>
      </c>
      <c r="O219" s="15">
        <f t="shared" si="130"/>
        <v>16669.326300306348</v>
      </c>
      <c r="P219" s="15">
        <f t="shared" si="130"/>
        <v>16835.886924077851</v>
      </c>
      <c r="Q219" s="15">
        <f t="shared" si="130"/>
        <v>17072.858723962068</v>
      </c>
      <c r="R219" s="15">
        <f t="shared" si="130"/>
        <v>17282.750814558764</v>
      </c>
      <c r="S219" s="15">
        <f t="shared" si="130"/>
        <v>17422.153696671536</v>
      </c>
      <c r="T219" s="15">
        <f t="shared" si="130"/>
        <v>17535.645637115318</v>
      </c>
      <c r="U219" s="15">
        <f t="shared" si="130"/>
        <v>17652.294689980361</v>
      </c>
      <c r="V219" s="15">
        <f t="shared" si="130"/>
        <v>17793.47345306514</v>
      </c>
      <c r="W219" s="15">
        <f t="shared" si="130"/>
        <v>17863.455568750425</v>
      </c>
      <c r="X219" s="190">
        <f t="shared" si="130"/>
        <v>18010.568856389742</v>
      </c>
      <c r="Y219" s="130">
        <f t="shared" si="130"/>
        <v>18081.85483417059</v>
      </c>
      <c r="Z219" s="130">
        <f t="shared" si="130"/>
        <v>18178.650590282959</v>
      </c>
      <c r="AA219" s="130">
        <f t="shared" si="130"/>
        <v>18229.224263169006</v>
      </c>
      <c r="AB219" s="130">
        <f t="shared" si="130"/>
        <v>18318.950423190559</v>
      </c>
      <c r="AC219" s="130">
        <f t="shared" si="130"/>
        <v>18472.377269576347</v>
      </c>
      <c r="AD219" s="130">
        <f t="shared" si="130"/>
        <v>18578.702131757909</v>
      </c>
      <c r="AE219" s="130">
        <f t="shared" si="130"/>
        <v>18711.45158028436</v>
      </c>
      <c r="AF219" s="130">
        <f t="shared" si="130"/>
        <v>18854.339262189307</v>
      </c>
      <c r="AG219" s="130">
        <f t="shared" si="130"/>
        <v>18952.696421942499</v>
      </c>
      <c r="AH219" s="190">
        <f t="shared" si="130"/>
        <v>19014.068021620609</v>
      </c>
    </row>
    <row r="220" spans="1:34">
      <c r="A220" t="s">
        <v>402</v>
      </c>
      <c r="C220" s="331">
        <f>SUM(C116:C117)</f>
        <v>8154.1450099999984</v>
      </c>
      <c r="D220" s="331">
        <f t="shared" ref="D220:AH220" si="131">SUM(D116:D117)</f>
        <v>8108.6765159095012</v>
      </c>
      <c r="E220" s="331">
        <f t="shared" si="131"/>
        <v>8278.0755832166178</v>
      </c>
      <c r="F220" s="331">
        <f t="shared" si="131"/>
        <v>8326.6929932618004</v>
      </c>
      <c r="G220" s="331">
        <f t="shared" si="131"/>
        <v>8341.1797306027584</v>
      </c>
      <c r="H220" s="402">
        <f t="shared" si="131"/>
        <v>8693.2851260600073</v>
      </c>
      <c r="I220" s="14">
        <f t="shared" si="131"/>
        <v>8850.5362769271669</v>
      </c>
      <c r="J220" s="14">
        <f t="shared" si="131"/>
        <v>9063.0241243199307</v>
      </c>
      <c r="K220" s="14">
        <f t="shared" si="131"/>
        <v>9034.0474282898831</v>
      </c>
      <c r="L220" s="14">
        <f t="shared" si="131"/>
        <v>8964.45830923207</v>
      </c>
      <c r="M220" s="14">
        <f t="shared" si="131"/>
        <v>8859.0076197026647</v>
      </c>
      <c r="N220" s="187">
        <f t="shared" si="131"/>
        <v>8701.2518488609931</v>
      </c>
      <c r="O220" s="14">
        <f t="shared" si="131"/>
        <v>8773.3296317401837</v>
      </c>
      <c r="P220" s="14">
        <f t="shared" si="131"/>
        <v>8860.9931179357118</v>
      </c>
      <c r="Q220" s="14">
        <f t="shared" si="131"/>
        <v>8985.7151178747736</v>
      </c>
      <c r="R220" s="14">
        <f t="shared" si="131"/>
        <v>9096.1846392414554</v>
      </c>
      <c r="S220" s="14">
        <f t="shared" si="131"/>
        <v>9169.5545771955458</v>
      </c>
      <c r="T220" s="14">
        <f t="shared" si="131"/>
        <v>9229.2871774291161</v>
      </c>
      <c r="U220" s="14">
        <f t="shared" si="131"/>
        <v>9290.6814157791378</v>
      </c>
      <c r="V220" s="14">
        <f t="shared" si="131"/>
        <v>9364.9860279290224</v>
      </c>
      <c r="W220" s="14">
        <f t="shared" si="131"/>
        <v>9401.8187203949601</v>
      </c>
      <c r="X220" s="187">
        <f t="shared" si="131"/>
        <v>9479.2467665209169</v>
      </c>
      <c r="Y220" s="158">
        <f t="shared" si="131"/>
        <v>9516.7657021950472</v>
      </c>
      <c r="Z220" s="158">
        <f t="shared" si="131"/>
        <v>9567.7108369910311</v>
      </c>
      <c r="AA220" s="158">
        <f t="shared" si="131"/>
        <v>9594.3285595626348</v>
      </c>
      <c r="AB220" s="158">
        <f t="shared" si="131"/>
        <v>9641.5528543108194</v>
      </c>
      <c r="AC220" s="158">
        <f t="shared" si="131"/>
        <v>9722.3038260928133</v>
      </c>
      <c r="AD220" s="158">
        <f t="shared" si="131"/>
        <v>9778.2642798725828</v>
      </c>
      <c r="AE220" s="158">
        <f t="shared" si="131"/>
        <v>9848.1324106759785</v>
      </c>
      <c r="AF220" s="158">
        <f t="shared" si="131"/>
        <v>9923.3364537838461</v>
      </c>
      <c r="AG220" s="158">
        <f t="shared" si="131"/>
        <v>9975.1033799697361</v>
      </c>
      <c r="AH220" s="187">
        <f t="shared" si="131"/>
        <v>10007.404221905583</v>
      </c>
    </row>
    <row r="221" spans="1:34">
      <c r="A221" t="s">
        <v>403</v>
      </c>
      <c r="C221" s="331">
        <f>SUM(C143:C144)</f>
        <v>7338.7305089999982</v>
      </c>
      <c r="D221" s="331">
        <f t="shared" ref="D221:AH221" si="132">SUM(D143:D144)</f>
        <v>7297.8088643185511</v>
      </c>
      <c r="E221" s="331">
        <f t="shared" si="132"/>
        <v>7450.2680248949564</v>
      </c>
      <c r="F221" s="331">
        <f t="shared" si="132"/>
        <v>7494.02369393562</v>
      </c>
      <c r="G221" s="331">
        <f t="shared" si="132"/>
        <v>7507.061757542484</v>
      </c>
      <c r="H221" s="402">
        <f t="shared" si="132"/>
        <v>7823.9566134540055</v>
      </c>
      <c r="I221" s="14">
        <f t="shared" si="132"/>
        <v>7965.4826492344509</v>
      </c>
      <c r="J221" s="14">
        <f t="shared" si="132"/>
        <v>8156.721711887938</v>
      </c>
      <c r="K221" s="14">
        <f t="shared" si="132"/>
        <v>8130.6426854608944</v>
      </c>
      <c r="L221" s="14">
        <f t="shared" si="132"/>
        <v>8068.0124783088631</v>
      </c>
      <c r="M221" s="14">
        <f t="shared" si="132"/>
        <v>7973.1068577323986</v>
      </c>
      <c r="N221" s="187">
        <f t="shared" si="132"/>
        <v>7831.1266639748956</v>
      </c>
      <c r="O221" s="14">
        <f t="shared" si="132"/>
        <v>7895.9966685661657</v>
      </c>
      <c r="P221" s="14">
        <f t="shared" si="132"/>
        <v>7974.8938061421395</v>
      </c>
      <c r="Q221" s="14">
        <f t="shared" si="132"/>
        <v>8087.1436060872948</v>
      </c>
      <c r="R221" s="14">
        <f t="shared" si="132"/>
        <v>8186.566175317309</v>
      </c>
      <c r="S221" s="14">
        <f t="shared" si="132"/>
        <v>8252.5991194759918</v>
      </c>
      <c r="T221" s="14">
        <f t="shared" si="132"/>
        <v>8306.3584596862038</v>
      </c>
      <c r="U221" s="14">
        <f t="shared" si="132"/>
        <v>8361.6132742012232</v>
      </c>
      <c r="V221" s="14">
        <f t="shared" si="132"/>
        <v>8428.4874251361198</v>
      </c>
      <c r="W221" s="14">
        <f t="shared" si="132"/>
        <v>8461.6368483554652</v>
      </c>
      <c r="X221" s="187">
        <f t="shared" si="132"/>
        <v>8531.3220898688251</v>
      </c>
      <c r="Y221" s="158">
        <f t="shared" si="132"/>
        <v>8565.0891319755428</v>
      </c>
      <c r="Z221" s="158">
        <f t="shared" si="132"/>
        <v>8610.9397532919284</v>
      </c>
      <c r="AA221" s="158">
        <f t="shared" si="132"/>
        <v>8634.8957036063712</v>
      </c>
      <c r="AB221" s="158">
        <f t="shared" si="132"/>
        <v>8677.3975688797382</v>
      </c>
      <c r="AC221" s="158">
        <f t="shared" si="132"/>
        <v>8750.0734434835322</v>
      </c>
      <c r="AD221" s="158">
        <f t="shared" si="132"/>
        <v>8800.4378518853264</v>
      </c>
      <c r="AE221" s="158">
        <f t="shared" si="132"/>
        <v>8863.3191696083813</v>
      </c>
      <c r="AF221" s="158">
        <f t="shared" si="132"/>
        <v>8931.0028084054611</v>
      </c>
      <c r="AG221" s="158">
        <f t="shared" si="132"/>
        <v>8977.5930419727629</v>
      </c>
      <c r="AH221" s="187">
        <f t="shared" si="132"/>
        <v>9006.6637997150247</v>
      </c>
    </row>
    <row r="222" spans="1:34">
      <c r="A222" s="1" t="s">
        <v>425</v>
      </c>
      <c r="C222" s="331">
        <f>SUM(C210,C213,C216,C219)</f>
        <v>26053.596437999997</v>
      </c>
      <c r="D222" s="331">
        <f t="shared" ref="D222:AH222" si="133">SUM(D210,D213,D216,D219)</f>
        <v>26288.477680048629</v>
      </c>
      <c r="E222" s="331">
        <f t="shared" si="133"/>
        <v>27270.630492636839</v>
      </c>
      <c r="F222" s="331">
        <f t="shared" si="133"/>
        <v>27967.965482456162</v>
      </c>
      <c r="G222" s="331">
        <f t="shared" si="133"/>
        <v>28266.374713767244</v>
      </c>
      <c r="H222" s="402">
        <f t="shared" si="133"/>
        <v>28770.923522948349</v>
      </c>
      <c r="I222" s="14">
        <f t="shared" si="133"/>
        <v>30191.741237542054</v>
      </c>
      <c r="J222" s="14">
        <f t="shared" si="133"/>
        <v>32099.262276862552</v>
      </c>
      <c r="K222" s="14">
        <f t="shared" si="133"/>
        <v>33534.005102110154</v>
      </c>
      <c r="L222" s="14">
        <f t="shared" si="133"/>
        <v>35283.479336970755</v>
      </c>
      <c r="M222" s="14">
        <f t="shared" si="133"/>
        <v>37503.948863358681</v>
      </c>
      <c r="N222" s="187">
        <f t="shared" si="133"/>
        <v>40318.514522773148</v>
      </c>
      <c r="O222" s="14">
        <f t="shared" si="133"/>
        <v>41021.171102891836</v>
      </c>
      <c r="P222" s="14">
        <f t="shared" si="133"/>
        <v>41824.065701279767</v>
      </c>
      <c r="Q222" s="14">
        <f t="shared" si="133"/>
        <v>42833.169156581993</v>
      </c>
      <c r="R222" s="14">
        <f t="shared" si="133"/>
        <v>43808.60528778653</v>
      </c>
      <c r="S222" s="14">
        <f t="shared" si="133"/>
        <v>44638.969199467014</v>
      </c>
      <c r="T222" s="14">
        <f t="shared" si="133"/>
        <v>45435.549504376206</v>
      </c>
      <c r="U222" s="14">
        <f t="shared" si="133"/>
        <v>46274.231108003689</v>
      </c>
      <c r="V222" s="14">
        <f t="shared" si="133"/>
        <v>47213.854719832307</v>
      </c>
      <c r="W222" s="14">
        <f t="shared" si="133"/>
        <v>48001.70382730561</v>
      </c>
      <c r="X222" s="187">
        <f t="shared" si="133"/>
        <v>49036.240282221392</v>
      </c>
      <c r="Y222" s="158">
        <f t="shared" si="133"/>
        <v>50037.811080945292</v>
      </c>
      <c r="Z222" s="158">
        <f t="shared" si="133"/>
        <v>51165.469817658261</v>
      </c>
      <c r="AA222" s="158">
        <f t="shared" si="133"/>
        <v>52221.157908116729</v>
      </c>
      <c r="AB222" s="158">
        <f t="shared" si="133"/>
        <v>53450.634758588174</v>
      </c>
      <c r="AC222" s="158">
        <f t="shared" si="133"/>
        <v>54937.464342349951</v>
      </c>
      <c r="AD222" s="158">
        <f t="shared" si="133"/>
        <v>56361.711361285488</v>
      </c>
      <c r="AE222" s="158">
        <f t="shared" si="133"/>
        <v>57947.904142893538</v>
      </c>
      <c r="AF222" s="158">
        <f t="shared" si="133"/>
        <v>59655.641099737106</v>
      </c>
      <c r="AG222" s="158">
        <f t="shared" si="133"/>
        <v>61316.946359604677</v>
      </c>
      <c r="AH222" s="187">
        <f t="shared" si="133"/>
        <v>62954.111414010156</v>
      </c>
    </row>
    <row r="223" spans="1:34" s="1" customFormat="1">
      <c r="A223" s="1" t="s">
        <v>443</v>
      </c>
      <c r="B223" s="13"/>
      <c r="C223" s="328" t="s">
        <v>0</v>
      </c>
      <c r="D223" s="341">
        <f>D210+D213</f>
        <v>951.56119038312897</v>
      </c>
      <c r="E223" s="341">
        <f t="shared" ref="E223:AH223" si="134">E210+E213</f>
        <v>1416.3863766806635</v>
      </c>
      <c r="F223" s="341">
        <f t="shared" si="134"/>
        <v>1965.6436999224413</v>
      </c>
      <c r="G223" s="341">
        <f t="shared" si="134"/>
        <v>2246.0198403965042</v>
      </c>
      <c r="H223" s="405">
        <f>H210+H213</f>
        <v>2469.860364287365</v>
      </c>
      <c r="I223" s="15">
        <f t="shared" si="134"/>
        <v>3276.1906401306787</v>
      </c>
      <c r="J223" s="15">
        <f t="shared" si="134"/>
        <v>4374.8606108941422</v>
      </c>
      <c r="K223" s="15">
        <f t="shared" si="134"/>
        <v>5706.7187786996346</v>
      </c>
      <c r="L223" s="15">
        <f t="shared" si="134"/>
        <v>7438.9263758194602</v>
      </c>
      <c r="M223" s="15">
        <f t="shared" si="134"/>
        <v>9703.6752506281737</v>
      </c>
      <c r="N223" s="190">
        <f t="shared" si="134"/>
        <v>12660.380998049495</v>
      </c>
      <c r="O223" s="15">
        <f t="shared" si="134"/>
        <v>13227.315151686858</v>
      </c>
      <c r="P223" s="15">
        <f t="shared" si="134"/>
        <v>13845.12426094174</v>
      </c>
      <c r="Q223" s="15">
        <f t="shared" si="134"/>
        <v>14552.625814364623</v>
      </c>
      <c r="R223" s="15">
        <f t="shared" si="134"/>
        <v>15271.918104825958</v>
      </c>
      <c r="S223" s="15">
        <f t="shared" si="134"/>
        <v>15962.535174143219</v>
      </c>
      <c r="T223" s="15">
        <f t="shared" si="134"/>
        <v>16661.52410926302</v>
      </c>
      <c r="U223" s="15">
        <f t="shared" si="134"/>
        <v>17396.683639980387</v>
      </c>
      <c r="V223" s="15">
        <f t="shared" si="134"/>
        <v>18191.989630913344</v>
      </c>
      <c r="W223" s="15">
        <f t="shared" si="134"/>
        <v>18950.670924206333</v>
      </c>
      <c r="X223" s="190">
        <f t="shared" si="134"/>
        <v>19829.605231362882</v>
      </c>
      <c r="Y223" s="130">
        <f t="shared" si="134"/>
        <v>20785.620768578694</v>
      </c>
      <c r="Z223" s="130">
        <f t="shared" si="134"/>
        <v>21824.318553399906</v>
      </c>
      <c r="AA223" s="130">
        <f t="shared" si="134"/>
        <v>22863.289503560289</v>
      </c>
      <c r="AB223" s="130">
        <f t="shared" si="134"/>
        <v>24010.483377421639</v>
      </c>
      <c r="AC223" s="130">
        <f t="shared" si="134"/>
        <v>25310.337439184324</v>
      </c>
      <c r="AD223" s="130">
        <f t="shared" si="134"/>
        <v>26620.670790668031</v>
      </c>
      <c r="AE223" s="130">
        <f t="shared" si="134"/>
        <v>28047.910304421501</v>
      </c>
      <c r="AF223" s="130">
        <f t="shared" si="134"/>
        <v>29577.62976411097</v>
      </c>
      <c r="AG223" s="130">
        <f t="shared" si="134"/>
        <v>31128.73940591799</v>
      </c>
      <c r="AH223" s="190">
        <f t="shared" si="134"/>
        <v>32710.954970510429</v>
      </c>
    </row>
    <row r="224" spans="1:34">
      <c r="A224" t="s">
        <v>446</v>
      </c>
      <c r="D224" s="331">
        <f>D210+D213+D216</f>
        <v>10881.992299820578</v>
      </c>
      <c r="E224" s="331">
        <f t="shared" ref="E224:AH224" si="135">E210+E213+E216</f>
        <v>11542.286884525267</v>
      </c>
      <c r="F224" s="331">
        <f t="shared" si="135"/>
        <v>12147.248795258742</v>
      </c>
      <c r="G224" s="331">
        <f t="shared" si="135"/>
        <v>12418.133225622001</v>
      </c>
      <c r="H224" s="402">
        <f t="shared" si="135"/>
        <v>12253.681783434335</v>
      </c>
      <c r="I224" s="14">
        <f t="shared" si="135"/>
        <v>13375.722311380438</v>
      </c>
      <c r="J224" s="14">
        <f t="shared" si="135"/>
        <v>14879.516440654683</v>
      </c>
      <c r="K224" s="14">
        <f t="shared" si="135"/>
        <v>16369.314988359378</v>
      </c>
      <c r="L224" s="14">
        <f t="shared" si="135"/>
        <v>18251.008549429822</v>
      </c>
      <c r="M224" s="14">
        <f t="shared" si="135"/>
        <v>20671.834385923619</v>
      </c>
      <c r="N224" s="187">
        <f t="shared" si="135"/>
        <v>23786.136009937261</v>
      </c>
      <c r="O224" s="14">
        <f t="shared" si="135"/>
        <v>24351.844802585489</v>
      </c>
      <c r="P224" s="14">
        <f t="shared" si="135"/>
        <v>24988.178777201916</v>
      </c>
      <c r="Q224" s="14">
        <f t="shared" si="135"/>
        <v>25760.310432619925</v>
      </c>
      <c r="R224" s="14">
        <f t="shared" si="135"/>
        <v>26525.854473227766</v>
      </c>
      <c r="S224" s="14">
        <f t="shared" si="135"/>
        <v>27216.815502795478</v>
      </c>
      <c r="T224" s="14">
        <f t="shared" si="135"/>
        <v>27899.903867260891</v>
      </c>
      <c r="U224" s="14">
        <f t="shared" si="135"/>
        <v>28621.936418023324</v>
      </c>
      <c r="V224" s="14">
        <f t="shared" si="135"/>
        <v>29420.381266767166</v>
      </c>
      <c r="W224" s="14">
        <f t="shared" si="135"/>
        <v>30138.248258555188</v>
      </c>
      <c r="X224" s="187">
        <f t="shared" si="135"/>
        <v>31025.671425831653</v>
      </c>
      <c r="Y224" s="158">
        <f t="shared" si="135"/>
        <v>31955.956246774702</v>
      </c>
      <c r="Z224" s="158">
        <f t="shared" si="135"/>
        <v>32986.819227375301</v>
      </c>
      <c r="AA224" s="158">
        <f t="shared" si="135"/>
        <v>33991.93364494772</v>
      </c>
      <c r="AB224" s="158">
        <f t="shared" si="135"/>
        <v>35131.684335397615</v>
      </c>
      <c r="AC224" s="158">
        <f t="shared" si="135"/>
        <v>36465.087072773604</v>
      </c>
      <c r="AD224" s="158">
        <f t="shared" si="135"/>
        <v>37783.009229527583</v>
      </c>
      <c r="AE224" s="158">
        <f t="shared" si="135"/>
        <v>39236.452562609178</v>
      </c>
      <c r="AF224" s="158">
        <f t="shared" si="135"/>
        <v>40801.301837547799</v>
      </c>
      <c r="AG224" s="158">
        <f t="shared" si="135"/>
        <v>42364.249937662178</v>
      </c>
      <c r="AH224" s="187">
        <f t="shared" si="135"/>
        <v>43940.043392389547</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951.56119038312897</v>
      </c>
      <c r="E226" s="331">
        <f>D226+E210+E213</f>
        <v>2367.9475670637926</v>
      </c>
      <c r="F226" s="331">
        <f>E226+F210+F213</f>
        <v>4333.5912669862337</v>
      </c>
      <c r="G226" s="331">
        <f>F226+G210+G213</f>
        <v>6579.6111073827378</v>
      </c>
      <c r="H226" s="402">
        <f t="shared" ref="H226:X226" si="136">G226+H210+H213</f>
        <v>9049.4714716701019</v>
      </c>
      <c r="I226" s="14">
        <f t="shared" si="136"/>
        <v>12325.662111800781</v>
      </c>
      <c r="J226" s="14">
        <f t="shared" si="136"/>
        <v>16700.522722694921</v>
      </c>
      <c r="K226" s="14">
        <f t="shared" si="136"/>
        <v>22407.241501394557</v>
      </c>
      <c r="L226" s="14">
        <f t="shared" si="136"/>
        <v>29846.167877214019</v>
      </c>
      <c r="M226" s="14">
        <f t="shared" si="136"/>
        <v>39549.843127842192</v>
      </c>
      <c r="N226" s="187">
        <f t="shared" si="136"/>
        <v>52210.224125891691</v>
      </c>
      <c r="O226" s="14">
        <f t="shared" si="136"/>
        <v>65437.539277578551</v>
      </c>
      <c r="P226" s="14">
        <f t="shared" si="136"/>
        <v>79282.663538520297</v>
      </c>
      <c r="Q226" s="14">
        <f t="shared" si="136"/>
        <v>93835.289352884924</v>
      </c>
      <c r="R226" s="14">
        <f t="shared" si="136"/>
        <v>109107.20745771089</v>
      </c>
      <c r="S226" s="14">
        <f t="shared" si="136"/>
        <v>125069.74263185411</v>
      </c>
      <c r="T226" s="14">
        <f t="shared" si="136"/>
        <v>141731.26674111714</v>
      </c>
      <c r="U226" s="14">
        <f t="shared" si="136"/>
        <v>159127.95038109753</v>
      </c>
      <c r="V226" s="14">
        <f t="shared" si="136"/>
        <v>177319.94001201086</v>
      </c>
      <c r="W226" s="14">
        <f t="shared" si="136"/>
        <v>196270.61093621718</v>
      </c>
      <c r="X226" s="187">
        <f t="shared" si="136"/>
        <v>216100.21616758007</v>
      </c>
      <c r="Y226" s="158">
        <f t="shared" ref="Y226:AH226" si="137">X226+Y210+Y213</f>
        <v>236885.83693615877</v>
      </c>
      <c r="Z226" s="158">
        <f t="shared" si="137"/>
        <v>258710.15548955867</v>
      </c>
      <c r="AA226" s="158">
        <f t="shared" si="137"/>
        <v>281573.44499311899</v>
      </c>
      <c r="AB226" s="158">
        <f t="shared" si="137"/>
        <v>305583.92837054061</v>
      </c>
      <c r="AC226" s="158">
        <f t="shared" si="137"/>
        <v>330894.26580972492</v>
      </c>
      <c r="AD226" s="158">
        <f t="shared" si="137"/>
        <v>357514.93660039298</v>
      </c>
      <c r="AE226" s="158">
        <f t="shared" si="137"/>
        <v>385562.84690481448</v>
      </c>
      <c r="AF226" s="158">
        <f t="shared" si="137"/>
        <v>415140.47666892543</v>
      </c>
      <c r="AG226" s="158">
        <f t="shared" si="137"/>
        <v>446269.21607484343</v>
      </c>
      <c r="AH226" s="187">
        <f t="shared" si="137"/>
        <v>478980.17104535387</v>
      </c>
    </row>
    <row r="227" spans="1:34">
      <c r="A227" s="1" t="s">
        <v>454</v>
      </c>
      <c r="D227" s="331">
        <f>D219</f>
        <v>15406.485380228052</v>
      </c>
      <c r="E227" s="331">
        <f>D227+E219</f>
        <v>31134.828988339628</v>
      </c>
      <c r="F227" s="331">
        <f>E227+F219</f>
        <v>46955.545675537047</v>
      </c>
      <c r="G227" s="331">
        <f t="shared" ref="G227:X227" si="138">F227+G219</f>
        <v>62803.787163682289</v>
      </c>
      <c r="H227" s="402">
        <f t="shared" si="138"/>
        <v>79321.028903196304</v>
      </c>
      <c r="I227" s="14">
        <f t="shared" si="138"/>
        <v>96137.047829357922</v>
      </c>
      <c r="J227" s="14">
        <f t="shared" si="138"/>
        <v>113356.79366556578</v>
      </c>
      <c r="K227" s="14">
        <f t="shared" si="138"/>
        <v>130521.48377931656</v>
      </c>
      <c r="L227" s="14">
        <f t="shared" si="138"/>
        <v>147553.95456685749</v>
      </c>
      <c r="M227" s="14">
        <f t="shared" si="138"/>
        <v>164386.06904429256</v>
      </c>
      <c r="N227" s="187">
        <f t="shared" si="138"/>
        <v>180918.44755712844</v>
      </c>
      <c r="O227" s="14">
        <f t="shared" si="138"/>
        <v>197587.7738574348</v>
      </c>
      <c r="P227" s="14">
        <f t="shared" si="138"/>
        <v>214423.66078151265</v>
      </c>
      <c r="Q227" s="14">
        <f t="shared" si="138"/>
        <v>231496.51950547472</v>
      </c>
      <c r="R227" s="14">
        <f t="shared" si="138"/>
        <v>248779.27032003348</v>
      </c>
      <c r="S227" s="14">
        <f t="shared" si="138"/>
        <v>266201.42401670502</v>
      </c>
      <c r="T227" s="14">
        <f t="shared" si="138"/>
        <v>283737.06965382036</v>
      </c>
      <c r="U227" s="14">
        <f t="shared" si="138"/>
        <v>301389.3643438007</v>
      </c>
      <c r="V227" s="14">
        <f t="shared" si="138"/>
        <v>319182.83779686585</v>
      </c>
      <c r="W227" s="14">
        <f t="shared" si="138"/>
        <v>337046.29336561629</v>
      </c>
      <c r="X227" s="187">
        <f t="shared" si="138"/>
        <v>355056.86222200602</v>
      </c>
      <c r="Y227" s="158">
        <f t="shared" ref="Y227:AH227" si="139">X227+Y219</f>
        <v>373138.71705617663</v>
      </c>
      <c r="Z227" s="158">
        <f t="shared" si="139"/>
        <v>391317.36764645961</v>
      </c>
      <c r="AA227" s="158">
        <f t="shared" si="139"/>
        <v>409546.59190962859</v>
      </c>
      <c r="AB227" s="158">
        <f t="shared" si="139"/>
        <v>427865.54233281914</v>
      </c>
      <c r="AC227" s="158">
        <f t="shared" si="139"/>
        <v>446337.9196023955</v>
      </c>
      <c r="AD227" s="158">
        <f t="shared" si="139"/>
        <v>464916.62173415342</v>
      </c>
      <c r="AE227" s="158">
        <f t="shared" si="139"/>
        <v>483628.07331443776</v>
      </c>
      <c r="AF227" s="158">
        <f t="shared" si="139"/>
        <v>502482.41257662704</v>
      </c>
      <c r="AG227" s="158">
        <f t="shared" si="139"/>
        <v>521435.10899856954</v>
      </c>
      <c r="AH227" s="187">
        <f t="shared" si="139"/>
        <v>540449.17702019017</v>
      </c>
    </row>
    <row r="228" spans="1:34">
      <c r="A228" s="1" t="s">
        <v>456</v>
      </c>
      <c r="D228" s="331">
        <f t="shared" ref="D228:AH228" si="140">D227-D207</f>
        <v>82.605380228051217</v>
      </c>
      <c r="E228" s="331">
        <f t="shared" si="140"/>
        <v>-179.97676892850723</v>
      </c>
      <c r="F228" s="331">
        <f t="shared" si="140"/>
        <v>-585.78667653565935</v>
      </c>
      <c r="G228" s="331">
        <f t="shared" si="140"/>
        <v>-517.31924492271355</v>
      </c>
      <c r="H228" s="402">
        <f>H227-H207</f>
        <v>356.54795707861194</v>
      </c>
      <c r="I228" s="14">
        <f t="shared" si="140"/>
        <v>1354.2744696762966</v>
      </c>
      <c r="J228" s="14">
        <f t="shared" si="140"/>
        <v>2310.433098188747</v>
      </c>
      <c r="K228" s="14">
        <f t="shared" si="140"/>
        <v>3223.5066552066419</v>
      </c>
      <c r="L228" s="14">
        <f t="shared" si="140"/>
        <v>3967.7888515808445</v>
      </c>
      <c r="M228" s="14">
        <f t="shared" si="140"/>
        <v>4301.0928288329742</v>
      </c>
      <c r="N228" s="187">
        <f t="shared" si="140"/>
        <v>4095.3319133729965</v>
      </c>
      <c r="O228" s="14">
        <f t="shared" si="140"/>
        <v>3826.4073412339203</v>
      </c>
      <c r="P228" s="14">
        <f t="shared" si="140"/>
        <v>3474.163311210199</v>
      </c>
      <c r="Q228" s="14">
        <f t="shared" si="140"/>
        <v>3005.6518176264944</v>
      </c>
      <c r="R228" s="14">
        <f t="shared" si="140"/>
        <v>2427.3193342841987</v>
      </c>
      <c r="S228" s="14">
        <f t="shared" si="140"/>
        <v>1791.1717931872117</v>
      </c>
      <c r="T228" s="14">
        <f t="shared" si="140"/>
        <v>1115.4355633585365</v>
      </c>
      <c r="U228" s="14">
        <f t="shared" si="140"/>
        <v>399.43699691089569</v>
      </c>
      <c r="V228" s="14">
        <f t="shared" si="140"/>
        <v>-355.48232710023876</v>
      </c>
      <c r="W228" s="14">
        <f t="shared" si="140"/>
        <v>-1094.7202213382116</v>
      </c>
      <c r="X228" s="187">
        <f t="shared" si="140"/>
        <v>-1855.2663972797454</v>
      </c>
      <c r="Y228" s="158">
        <f t="shared" si="140"/>
        <v>-2610.3053285443457</v>
      </c>
      <c r="Z228" s="158">
        <f t="shared" si="140"/>
        <v>-3382.1939652311266</v>
      </c>
      <c r="AA228" s="158">
        <f t="shared" si="140"/>
        <v>-4179.2854472781764</v>
      </c>
      <c r="AB228" s="158">
        <f t="shared" si="140"/>
        <v>-4996.2648094436736</v>
      </c>
      <c r="AC228" s="158">
        <f t="shared" si="140"/>
        <v>-5836.3247357028304</v>
      </c>
      <c r="AD228" s="158">
        <f t="shared" si="140"/>
        <v>-6727.1139584123157</v>
      </c>
      <c r="AE228" s="158">
        <f t="shared" si="140"/>
        <v>-7738.86232686328</v>
      </c>
      <c r="AF228" s="158">
        <f t="shared" si="140"/>
        <v>-8889.6388369342894</v>
      </c>
      <c r="AG228" s="158">
        <f t="shared" si="140"/>
        <v>-10165.916181909502</v>
      </c>
      <c r="AH228" s="187">
        <f t="shared" si="140"/>
        <v>-11554.86332582857</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8.1283503831288044</v>
      </c>
      <c r="E234" s="331">
        <f t="shared" si="145"/>
        <v>44.643340728467138</v>
      </c>
      <c r="F234" s="331">
        <f t="shared" si="145"/>
        <v>59.873107479615555</v>
      </c>
      <c r="G234" s="331">
        <f t="shared" si="145"/>
        <v>72.561762656971041</v>
      </c>
      <c r="H234" s="402">
        <f>H213-H194</f>
        <v>-2.7000000000043656E-4</v>
      </c>
      <c r="I234" s="14">
        <f t="shared" si="145"/>
        <v>458.78067539238327</v>
      </c>
      <c r="J234" s="14">
        <f t="shared" si="145"/>
        <v>889.33585350592602</v>
      </c>
      <c r="K234" s="14">
        <f t="shared" si="145"/>
        <v>1617.1350179651863</v>
      </c>
      <c r="L234" s="14">
        <f t="shared" si="145"/>
        <v>2739.4259989392458</v>
      </c>
      <c r="M234" s="14">
        <f t="shared" si="145"/>
        <v>4381.4062574479667</v>
      </c>
      <c r="N234" s="187">
        <f t="shared" si="145"/>
        <v>6703.5145272428963</v>
      </c>
      <c r="O234" s="14">
        <f t="shared" si="145"/>
        <v>6631.8837989160502</v>
      </c>
      <c r="P234" s="14">
        <f t="shared" si="145"/>
        <v>6589.0185437558284</v>
      </c>
      <c r="Q234" s="14">
        <f t="shared" si="145"/>
        <v>6586.4303690321321</v>
      </c>
      <c r="R234" s="14">
        <f t="shared" si="145"/>
        <v>6594.6302130182248</v>
      </c>
      <c r="S234" s="14">
        <f t="shared" si="145"/>
        <v>6588.9293432578306</v>
      </c>
      <c r="T234" s="14">
        <f t="shared" si="145"/>
        <v>7136.8888378862575</v>
      </c>
      <c r="U234" s="14">
        <f t="shared" si="145"/>
        <v>7275.8555335141828</v>
      </c>
      <c r="V234" s="14">
        <f t="shared" si="145"/>
        <v>7450.7235227876117</v>
      </c>
      <c r="W234" s="14">
        <f t="shared" si="145"/>
        <v>7613.78340255273</v>
      </c>
      <c r="X234" s="187">
        <f t="shared" si="145"/>
        <v>7846.3055697317322</v>
      </c>
      <c r="Y234" s="158">
        <f t="shared" si="145"/>
        <v>8183.6271440369474</v>
      </c>
      <c r="Z234" s="158">
        <f t="shared" si="145"/>
        <v>8574.2847186548097</v>
      </c>
      <c r="AA234" s="158">
        <f t="shared" si="145"/>
        <v>8985.9707136949801</v>
      </c>
      <c r="AB234" s="158">
        <f t="shared" si="145"/>
        <v>9463.3496451257015</v>
      </c>
      <c r="AC234" s="158">
        <f t="shared" si="145"/>
        <v>10026.856781542007</v>
      </c>
      <c r="AD234" s="158">
        <f t="shared" si="145"/>
        <v>10620.230711498576</v>
      </c>
      <c r="AE234" s="158">
        <f t="shared" si="145"/>
        <v>11287.985854345687</v>
      </c>
      <c r="AF234" s="158">
        <f t="shared" si="145"/>
        <v>12027.50590720935</v>
      </c>
      <c r="AG234" s="158">
        <f t="shared" si="145"/>
        <v>12807.054321806303</v>
      </c>
      <c r="AH234" s="187">
        <f t="shared" si="145"/>
        <v>13632.301372131951</v>
      </c>
    </row>
    <row r="235" spans="1:34">
      <c r="A235" t="s">
        <v>417</v>
      </c>
      <c r="C235" s="331">
        <f t="shared" ref="C235:AH235" si="146">C214-C195</f>
        <v>0</v>
      </c>
      <c r="D235" s="331">
        <f t="shared" si="146"/>
        <v>4.2782372568127585</v>
      </c>
      <c r="E235" s="331">
        <f t="shared" si="146"/>
        <v>23.496675533365078</v>
      </c>
      <c r="F235" s="331">
        <f t="shared" si="146"/>
        <v>31.512364835621042</v>
      </c>
      <c r="G235" s="331">
        <f t="shared" si="146"/>
        <v>38.190628363800215</v>
      </c>
      <c r="H235" s="402">
        <f t="shared" si="146"/>
        <v>0</v>
      </c>
      <c r="I235" s="14">
        <f t="shared" si="146"/>
        <v>241.46367616109956</v>
      </c>
      <c r="J235" s="14">
        <f t="shared" si="146"/>
        <v>468.07168976785874</v>
      </c>
      <c r="K235" s="14">
        <f t="shared" si="146"/>
        <v>851.12390536708745</v>
      </c>
      <c r="L235" s="14">
        <f t="shared" si="146"/>
        <v>1441.8033955918963</v>
      </c>
      <c r="M235" s="14">
        <f t="shared" si="146"/>
        <v>2306.0035616502355</v>
      </c>
      <c r="N235" s="187">
        <f t="shared" si="146"/>
        <v>3528.1658426765134</v>
      </c>
      <c r="O235" s="14">
        <f t="shared" si="146"/>
        <v>3490.4654728712107</v>
      </c>
      <c r="P235" s="14">
        <f t="shared" si="146"/>
        <v>3467.9048269988411</v>
      </c>
      <c r="Q235" s="14">
        <f t="shared" si="146"/>
        <v>3466.5426466537938</v>
      </c>
      <c r="R235" s="14">
        <f t="shared" si="146"/>
        <v>3470.858371174123</v>
      </c>
      <c r="S235" s="14">
        <f t="shared" si="146"/>
        <v>3467.8579298806535</v>
      </c>
      <c r="T235" s="14">
        <f t="shared" si="146"/>
        <v>3756.2576805704894</v>
      </c>
      <c r="U235" s="14">
        <f t="shared" si="146"/>
        <v>3829.3980642282031</v>
      </c>
      <c r="V235" s="14">
        <f t="shared" si="146"/>
        <v>3921.4338670289117</v>
      </c>
      <c r="W235" s="14">
        <f t="shared" si="146"/>
        <v>4007.2548744778533</v>
      </c>
      <c r="X235" s="187">
        <f t="shared" si="146"/>
        <v>4129.6349834344019</v>
      </c>
      <c r="Y235" s="158">
        <f t="shared" si="146"/>
        <v>4307.1726769277857</v>
      </c>
      <c r="Z235" s="158">
        <f t="shared" si="146"/>
        <v>4512.7819515055298</v>
      </c>
      <c r="AA235" s="158">
        <f t="shared" si="146"/>
        <v>4729.458815785747</v>
      </c>
      <c r="AB235" s="158">
        <f t="shared" si="146"/>
        <v>4980.7109123269311</v>
      </c>
      <c r="AC235" s="158">
        <f t="shared" si="146"/>
        <v>5277.2936467128757</v>
      </c>
      <c r="AD235" s="158">
        <f t="shared" si="146"/>
        <v>5589.5957463699997</v>
      </c>
      <c r="AE235" s="158">
        <f t="shared" si="146"/>
        <v>5941.0458556004978</v>
      </c>
      <c r="AF235" s="158">
        <f t="shared" si="146"/>
        <v>6330.2669725476026</v>
      </c>
      <c r="AG235" s="158">
        <f t="shared" si="146"/>
        <v>6740.5556488119746</v>
      </c>
      <c r="AH235" s="187">
        <f t="shared" si="146"/>
        <v>7174.8962393598194</v>
      </c>
    </row>
    <row r="236" spans="1:34">
      <c r="A236" t="s">
        <v>418</v>
      </c>
      <c r="C236" s="331">
        <f t="shared" ref="C236:AH236" si="147">C215-C196</f>
        <v>-2.7000000000043656E-4</v>
      </c>
      <c r="D236" s="331">
        <f t="shared" si="147"/>
        <v>3.8501131263161028</v>
      </c>
      <c r="E236" s="331">
        <f t="shared" si="147"/>
        <v>21.146665195102173</v>
      </c>
      <c r="F236" s="331">
        <f t="shared" si="147"/>
        <v>28.360742643994513</v>
      </c>
      <c r="G236" s="331">
        <f t="shared" si="147"/>
        <v>34.371134293170599</v>
      </c>
      <c r="H236" s="402">
        <f>H215-H196</f>
        <v>-2.7000000000043656E-4</v>
      </c>
      <c r="I236" s="14">
        <f t="shared" si="147"/>
        <v>217.31699923128372</v>
      </c>
      <c r="J236" s="14">
        <f t="shared" si="147"/>
        <v>421.26416373806705</v>
      </c>
      <c r="K236" s="14">
        <f t="shared" si="147"/>
        <v>766.01111259809886</v>
      </c>
      <c r="L236" s="14">
        <f t="shared" si="147"/>
        <v>1297.6226033473495</v>
      </c>
      <c r="M236" s="14">
        <f t="shared" si="147"/>
        <v>2075.4026957977326</v>
      </c>
      <c r="N236" s="187">
        <f t="shared" si="147"/>
        <v>3175.3486845663833</v>
      </c>
      <c r="O236" s="14">
        <f t="shared" si="147"/>
        <v>3141.4183260448394</v>
      </c>
      <c r="P236" s="14">
        <f t="shared" si="147"/>
        <v>3121.1137167569873</v>
      </c>
      <c r="Q236" s="14">
        <f t="shared" si="147"/>
        <v>3119.8877223783379</v>
      </c>
      <c r="R236" s="14">
        <f t="shared" si="147"/>
        <v>3123.7718418441027</v>
      </c>
      <c r="S236" s="14">
        <f t="shared" si="147"/>
        <v>3121.0714133771771</v>
      </c>
      <c r="T236" s="14">
        <f t="shared" si="147"/>
        <v>3380.6311573157673</v>
      </c>
      <c r="U236" s="14">
        <f t="shared" si="147"/>
        <v>3446.4574692859806</v>
      </c>
      <c r="V236" s="14">
        <f t="shared" si="147"/>
        <v>3529.2896557587001</v>
      </c>
      <c r="W236" s="14">
        <f t="shared" si="147"/>
        <v>3606.5285280748776</v>
      </c>
      <c r="X236" s="187">
        <f t="shared" si="147"/>
        <v>3716.6705862973295</v>
      </c>
      <c r="Y236" s="158">
        <f t="shared" si="147"/>
        <v>3876.4544671091599</v>
      </c>
      <c r="Z236" s="158">
        <f t="shared" si="147"/>
        <v>4061.502767149279</v>
      </c>
      <c r="AA236" s="158">
        <f t="shared" si="147"/>
        <v>4256.5118979092322</v>
      </c>
      <c r="AB236" s="158">
        <f t="shared" si="147"/>
        <v>4482.6387327987677</v>
      </c>
      <c r="AC236" s="158">
        <f t="shared" si="147"/>
        <v>4749.5631348291317</v>
      </c>
      <c r="AD236" s="158">
        <f t="shared" si="147"/>
        <v>5030.6349651285745</v>
      </c>
      <c r="AE236" s="158">
        <f t="shared" si="147"/>
        <v>5346.9399987451852</v>
      </c>
      <c r="AF236" s="158">
        <f t="shared" si="147"/>
        <v>5697.2389346617474</v>
      </c>
      <c r="AG236" s="158">
        <f t="shared" si="147"/>
        <v>6066.4986729943284</v>
      </c>
      <c r="AH236" s="187">
        <f t="shared" si="147"/>
        <v>6457.4051327721336</v>
      </c>
    </row>
    <row r="237" spans="1:34">
      <c r="A237" t="s">
        <v>419</v>
      </c>
      <c r="C237" s="331">
        <f t="shared" ref="C237:AH237" si="148">C216-C197</f>
        <v>0</v>
      </c>
      <c r="D237" s="331">
        <f t="shared" si="148"/>
        <v>-256.03604056255062</v>
      </c>
      <c r="E237" s="331">
        <f t="shared" si="148"/>
        <v>297.58434516324451</v>
      </c>
      <c r="F237" s="331">
        <f t="shared" si="148"/>
        <v>828.93116153226947</v>
      </c>
      <c r="G237" s="331">
        <f t="shared" si="148"/>
        <v>464.39812859706944</v>
      </c>
      <c r="H237" s="402">
        <f t="shared" si="148"/>
        <v>0</v>
      </c>
      <c r="I237" s="14">
        <f t="shared" si="148"/>
        <v>-16.107838991509198</v>
      </c>
      <c r="J237" s="14">
        <f t="shared" si="148"/>
        <v>18.671050013290369</v>
      </c>
      <c r="K237" s="14">
        <f t="shared" si="148"/>
        <v>-171.29477437896639</v>
      </c>
      <c r="L237" s="14">
        <f t="shared" si="148"/>
        <v>-270.26506252289073</v>
      </c>
      <c r="M237" s="14">
        <f t="shared" si="148"/>
        <v>-157.59628838566096</v>
      </c>
      <c r="N237" s="187">
        <f t="shared" si="148"/>
        <v>0</v>
      </c>
      <c r="O237" s="14">
        <f t="shared" si="148"/>
        <v>-1.2259423891373444</v>
      </c>
      <c r="P237" s="14">
        <f t="shared" si="148"/>
        <v>17.300691407966951</v>
      </c>
      <c r="Q237" s="14">
        <f t="shared" si="148"/>
        <v>68.600817567539707</v>
      </c>
      <c r="R237" s="14">
        <f t="shared" si="148"/>
        <v>114.85375477070374</v>
      </c>
      <c r="S237" s="14">
        <f t="shared" si="148"/>
        <v>115.17907132461187</v>
      </c>
      <c r="T237" s="14">
        <f t="shared" si="148"/>
        <v>94.23024334566071</v>
      </c>
      <c r="U237" s="14">
        <f t="shared" si="148"/>
        <v>78.061790426276275</v>
      </c>
      <c r="V237" s="14">
        <f t="shared" si="148"/>
        <v>63.98156668716183</v>
      </c>
      <c r="W237" s="14">
        <f t="shared" si="148"/>
        <v>6.3470724610924663</v>
      </c>
      <c r="X237" s="187">
        <f t="shared" si="148"/>
        <v>-3.9323376978900342</v>
      </c>
      <c r="Y237" s="158">
        <f t="shared" si="148"/>
        <v>-29.663393120650653</v>
      </c>
      <c r="Z237" s="158">
        <f t="shared" si="148"/>
        <v>-48.384548976817314</v>
      </c>
      <c r="AA237" s="158">
        <f t="shared" si="148"/>
        <v>-82.241432800899929</v>
      </c>
      <c r="AB237" s="158">
        <f t="shared" si="148"/>
        <v>-89.684725240684202</v>
      </c>
      <c r="AC237" s="158">
        <f t="shared" si="148"/>
        <v>-66.468012148479829</v>
      </c>
      <c r="AD237" s="158">
        <f t="shared" si="148"/>
        <v>-66.035417228207734</v>
      </c>
      <c r="AE237" s="158">
        <f t="shared" si="148"/>
        <v>-39.832566900084203</v>
      </c>
      <c r="AF237" s="158">
        <f t="shared" si="148"/>
        <v>-11.19548770093752</v>
      </c>
      <c r="AG237" s="158">
        <f t="shared" si="148"/>
        <v>0.64316442753079173</v>
      </c>
      <c r="AH237" s="187">
        <f t="shared" si="148"/>
        <v>-5.7791876875417074</v>
      </c>
    </row>
    <row r="238" spans="1:34">
      <c r="A238" t="s">
        <v>420</v>
      </c>
      <c r="C238" s="331">
        <f t="shared" ref="C238:AH238" si="149">C217-C198</f>
        <v>0</v>
      </c>
      <c r="D238" s="331">
        <f t="shared" si="149"/>
        <v>-134.75581082239478</v>
      </c>
      <c r="E238" s="331">
        <f t="shared" si="149"/>
        <v>156.62333955960185</v>
      </c>
      <c r="F238" s="331">
        <f t="shared" si="149"/>
        <v>436.27955870119422</v>
      </c>
      <c r="G238" s="331">
        <f t="shared" si="149"/>
        <v>244.42006768266856</v>
      </c>
      <c r="H238" s="402">
        <f t="shared" si="149"/>
        <v>0</v>
      </c>
      <c r="I238" s="14">
        <f t="shared" si="149"/>
        <v>-8.4778099955310608</v>
      </c>
      <c r="J238" s="14">
        <f t="shared" si="149"/>
        <v>9.8268684280483285</v>
      </c>
      <c r="K238" s="14">
        <f t="shared" si="149"/>
        <v>-90.155144409982313</v>
      </c>
      <c r="L238" s="14">
        <f t="shared" si="149"/>
        <v>-142.24476974889058</v>
      </c>
      <c r="M238" s="14">
        <f t="shared" si="149"/>
        <v>-82.945414939821603</v>
      </c>
      <c r="N238" s="187">
        <f t="shared" si="149"/>
        <v>0</v>
      </c>
      <c r="O238" s="14">
        <f t="shared" si="149"/>
        <v>-0.64523283638754947</v>
      </c>
      <c r="P238" s="14">
        <f t="shared" si="149"/>
        <v>9.1056270568242326</v>
      </c>
      <c r="Q238" s="14">
        <f t="shared" si="149"/>
        <v>36.10569345660042</v>
      </c>
      <c r="R238" s="14">
        <f t="shared" si="149"/>
        <v>60.449344616159578</v>
      </c>
      <c r="S238" s="14">
        <f t="shared" si="149"/>
        <v>60.620563855059117</v>
      </c>
      <c r="T238" s="14">
        <f t="shared" si="149"/>
        <v>49.594864918768508</v>
      </c>
      <c r="U238" s="14">
        <f t="shared" si="149"/>
        <v>41.085152855934211</v>
      </c>
      <c r="V238" s="14">
        <f t="shared" si="149"/>
        <v>33.674508782717567</v>
      </c>
      <c r="W238" s="14">
        <f t="shared" si="149"/>
        <v>3.3405644532058432</v>
      </c>
      <c r="X238" s="187">
        <f t="shared" si="149"/>
        <v>-2.0696514199407829</v>
      </c>
      <c r="Y238" s="158">
        <f t="shared" si="149"/>
        <v>-15.61231216876331</v>
      </c>
      <c r="Z238" s="158">
        <f t="shared" si="149"/>
        <v>-25.465552093060069</v>
      </c>
      <c r="AA238" s="158">
        <f t="shared" si="149"/>
        <v>-43.284964632051924</v>
      </c>
      <c r="AB238" s="158">
        <f t="shared" si="149"/>
        <v>-47.202486968780249</v>
      </c>
      <c r="AC238" s="158">
        <f t="shared" si="149"/>
        <v>-34.983164288672924</v>
      </c>
      <c r="AD238" s="158">
        <f t="shared" si="149"/>
        <v>-34.75548275168785</v>
      </c>
      <c r="AE238" s="158">
        <f t="shared" si="149"/>
        <v>-20.96450889478092</v>
      </c>
      <c r="AF238" s="158">
        <f t="shared" si="149"/>
        <v>-5.8923619478619003</v>
      </c>
      <c r="AG238" s="158">
        <f t="shared" si="149"/>
        <v>0.33850759343749814</v>
      </c>
      <c r="AH238" s="187">
        <f t="shared" si="149"/>
        <v>-3.0416777302853006</v>
      </c>
    </row>
    <row r="239" spans="1:34">
      <c r="A239" t="s">
        <v>421</v>
      </c>
      <c r="C239" s="331">
        <f t="shared" ref="C239:AH239" si="150">C218-C199</f>
        <v>0</v>
      </c>
      <c r="D239" s="331">
        <f t="shared" si="150"/>
        <v>-121.28022974015585</v>
      </c>
      <c r="E239" s="331">
        <f t="shared" si="150"/>
        <v>140.96100560364175</v>
      </c>
      <c r="F239" s="331">
        <f t="shared" si="150"/>
        <v>392.65160283107525</v>
      </c>
      <c r="G239" s="331">
        <f t="shared" si="150"/>
        <v>219.97806091440179</v>
      </c>
      <c r="H239" s="402">
        <f t="shared" si="150"/>
        <v>0</v>
      </c>
      <c r="I239" s="14">
        <f t="shared" si="150"/>
        <v>-7.6300289959781367</v>
      </c>
      <c r="J239" s="14">
        <f t="shared" si="150"/>
        <v>8.84418158524295</v>
      </c>
      <c r="K239" s="14">
        <f t="shared" si="150"/>
        <v>-81.139629968984991</v>
      </c>
      <c r="L239" s="14">
        <f t="shared" si="150"/>
        <v>-128.02029277400106</v>
      </c>
      <c r="M239" s="14">
        <f t="shared" si="150"/>
        <v>-74.650873445839352</v>
      </c>
      <c r="N239" s="187">
        <f t="shared" si="150"/>
        <v>0</v>
      </c>
      <c r="O239" s="14">
        <f t="shared" si="150"/>
        <v>-0.58070955274888547</v>
      </c>
      <c r="P239" s="14">
        <f t="shared" si="150"/>
        <v>8.1950643511418093</v>
      </c>
      <c r="Q239" s="14">
        <f t="shared" si="150"/>
        <v>32.495124110940196</v>
      </c>
      <c r="R239" s="14">
        <f t="shared" si="150"/>
        <v>54.404410154543257</v>
      </c>
      <c r="S239" s="14">
        <f t="shared" si="150"/>
        <v>54.558507469552751</v>
      </c>
      <c r="T239" s="14">
        <f t="shared" si="150"/>
        <v>44.635378426891293</v>
      </c>
      <c r="U239" s="14">
        <f t="shared" si="150"/>
        <v>36.976637570342064</v>
      </c>
      <c r="V239" s="14">
        <f t="shared" si="150"/>
        <v>30.307057904445173</v>
      </c>
      <c r="W239" s="14">
        <f t="shared" si="150"/>
        <v>3.0065080078866231</v>
      </c>
      <c r="X239" s="187">
        <f t="shared" si="150"/>
        <v>-1.8626862779474322</v>
      </c>
      <c r="Y239" s="158">
        <f t="shared" si="150"/>
        <v>-14.051080951886433</v>
      </c>
      <c r="Z239" s="158">
        <f t="shared" si="150"/>
        <v>-22.918996883755426</v>
      </c>
      <c r="AA239" s="158">
        <f t="shared" si="150"/>
        <v>-38.956468168847096</v>
      </c>
      <c r="AB239" s="158">
        <f t="shared" si="150"/>
        <v>-42.482238271903043</v>
      </c>
      <c r="AC239" s="158">
        <f t="shared" si="150"/>
        <v>-31.484847859806905</v>
      </c>
      <c r="AD239" s="158">
        <f t="shared" si="150"/>
        <v>-31.279934476518974</v>
      </c>
      <c r="AE239" s="158">
        <f t="shared" si="150"/>
        <v>-18.868058005302373</v>
      </c>
      <c r="AF239" s="158">
        <f t="shared" si="150"/>
        <v>-5.3031257530756193</v>
      </c>
      <c r="AG239" s="158">
        <f t="shared" si="150"/>
        <v>0.30465683409329358</v>
      </c>
      <c r="AH239" s="187">
        <f t="shared" si="150"/>
        <v>-2.7375099572564068</v>
      </c>
    </row>
    <row r="240" spans="1:34">
      <c r="A240" t="s">
        <v>393</v>
      </c>
      <c r="C240" s="331">
        <f>C219-C200</f>
        <v>-66.338481000002503</v>
      </c>
      <c r="D240" s="331">
        <f t="shared" ref="D240:AH240" si="151">D219-D200+D249+D252</f>
        <v>82.605380228051217</v>
      </c>
      <c r="E240" s="331">
        <f t="shared" si="151"/>
        <v>-262.58214915656208</v>
      </c>
      <c r="F240" s="331">
        <f t="shared" si="151"/>
        <v>-405.80990760715213</v>
      </c>
      <c r="G240" s="331">
        <f t="shared" si="151"/>
        <v>68.467431612947621</v>
      </c>
      <c r="H240" s="402">
        <f t="shared" si="151"/>
        <v>873.86720200132368</v>
      </c>
      <c r="I240" s="14">
        <f t="shared" si="151"/>
        <v>997.72651259768099</v>
      </c>
      <c r="J240" s="14">
        <f t="shared" si="151"/>
        <v>956.15862851246311</v>
      </c>
      <c r="K240" s="14">
        <f t="shared" si="151"/>
        <v>913.07355701789129</v>
      </c>
      <c r="L240" s="14">
        <f t="shared" si="151"/>
        <v>744.28219637422262</v>
      </c>
      <c r="M240" s="14">
        <f t="shared" si="151"/>
        <v>333.30397725210787</v>
      </c>
      <c r="N240" s="187">
        <f t="shared" si="151"/>
        <v>-205.7609154599777</v>
      </c>
      <c r="O240" s="14">
        <f t="shared" si="151"/>
        <v>-268.92457213909802</v>
      </c>
      <c r="P240" s="14">
        <f t="shared" si="151"/>
        <v>-352.24403002370673</v>
      </c>
      <c r="Q240" s="14">
        <f t="shared" si="151"/>
        <v>-468.51149358371549</v>
      </c>
      <c r="R240" s="14">
        <f t="shared" si="151"/>
        <v>-578.33248334229575</v>
      </c>
      <c r="S240" s="14">
        <f t="shared" si="151"/>
        <v>-636.14754109696514</v>
      </c>
      <c r="T240" s="14">
        <f t="shared" si="151"/>
        <v>-675.73622982872621</v>
      </c>
      <c r="U240" s="14">
        <f t="shared" si="151"/>
        <v>-715.99856644760439</v>
      </c>
      <c r="V240" s="14">
        <f t="shared" si="151"/>
        <v>-754.91932401115992</v>
      </c>
      <c r="W240" s="14">
        <f t="shared" si="151"/>
        <v>-739.23789423799462</v>
      </c>
      <c r="X240" s="187">
        <f t="shared" si="151"/>
        <v>-760.54617594151932</v>
      </c>
      <c r="Y240" s="158">
        <f t="shared" si="151"/>
        <v>-755.03893126460753</v>
      </c>
      <c r="Z240" s="158">
        <f t="shared" si="151"/>
        <v>-771.88863668681734</v>
      </c>
      <c r="AA240" s="158">
        <f t="shared" si="151"/>
        <v>-797.09148204705343</v>
      </c>
      <c r="AB240" s="158">
        <f t="shared" si="151"/>
        <v>-816.97936216548624</v>
      </c>
      <c r="AC240" s="158">
        <f t="shared" si="151"/>
        <v>-840.05992625919316</v>
      </c>
      <c r="AD240" s="158">
        <f t="shared" si="151"/>
        <v>-890.78922270951807</v>
      </c>
      <c r="AE240" s="158">
        <f t="shared" si="151"/>
        <v>-1011.7483684509643</v>
      </c>
      <c r="AF240" s="158">
        <f t="shared" si="151"/>
        <v>-1150.7765100710058</v>
      </c>
      <c r="AG240" s="158">
        <f t="shared" si="151"/>
        <v>-1276.2773449752312</v>
      </c>
      <c r="AH240" s="187">
        <f t="shared" si="151"/>
        <v>-1388.9471439190347</v>
      </c>
    </row>
    <row r="241" spans="1:34">
      <c r="A241" t="s">
        <v>422</v>
      </c>
      <c r="C241" s="331">
        <f>C220-C201</f>
        <v>-34.914990000002035</v>
      </c>
      <c r="D241" s="331">
        <f t="shared" ref="D241:AH241" si="152">D220-D201+D250+D253</f>
        <v>43.476515909500449</v>
      </c>
      <c r="E241" s="331">
        <f t="shared" si="152"/>
        <v>-138.20113113503248</v>
      </c>
      <c r="F241" s="331">
        <f t="shared" si="152"/>
        <v>-213.58416189850141</v>
      </c>
      <c r="G241" s="331">
        <f t="shared" si="152"/>
        <v>36.035490322603437</v>
      </c>
      <c r="H241" s="402">
        <f t="shared" si="152"/>
        <v>459.93010631648576</v>
      </c>
      <c r="I241" s="14">
        <f t="shared" si="152"/>
        <v>525.11921715667449</v>
      </c>
      <c r="J241" s="14">
        <f t="shared" si="152"/>
        <v>503.24138342761216</v>
      </c>
      <c r="K241" s="14">
        <f t="shared" si="152"/>
        <v>480.56503000941666</v>
      </c>
      <c r="L241" s="14">
        <f t="shared" si="152"/>
        <v>391.72747177590645</v>
      </c>
      <c r="M241" s="14">
        <f t="shared" si="152"/>
        <v>175.4231459221628</v>
      </c>
      <c r="N241" s="187">
        <f t="shared" si="152"/>
        <v>-108.29521866314644</v>
      </c>
      <c r="O241" s="14">
        <f t="shared" si="152"/>
        <v>-141.53924849426221</v>
      </c>
      <c r="P241" s="14">
        <f t="shared" si="152"/>
        <v>-185.39159474931876</v>
      </c>
      <c r="Q241" s="14">
        <f t="shared" si="152"/>
        <v>-246.5849966230071</v>
      </c>
      <c r="R241" s="14">
        <f t="shared" si="152"/>
        <v>-304.3855175485769</v>
      </c>
      <c r="S241" s="14">
        <f t="shared" si="152"/>
        <v>-334.81449531419094</v>
      </c>
      <c r="T241" s="14">
        <f t="shared" si="152"/>
        <v>-355.65064727827485</v>
      </c>
      <c r="U241" s="14">
        <f t="shared" si="152"/>
        <v>-376.84135076189705</v>
      </c>
      <c r="V241" s="14">
        <f t="shared" si="152"/>
        <v>-397.32596000587182</v>
      </c>
      <c r="W241" s="14">
        <f t="shared" si="152"/>
        <v>-389.07257591473535</v>
      </c>
      <c r="X241" s="187">
        <f t="shared" si="152"/>
        <v>-400.28746102185141</v>
      </c>
      <c r="Y241" s="158">
        <f t="shared" si="152"/>
        <v>-397.38891119189975</v>
      </c>
      <c r="Z241" s="158">
        <f t="shared" si="152"/>
        <v>-406.25717720358807</v>
      </c>
      <c r="AA241" s="158">
        <f t="shared" si="152"/>
        <v>-419.52183265634267</v>
      </c>
      <c r="AB241" s="158">
        <f t="shared" si="152"/>
        <v>-429.98913798183639</v>
      </c>
      <c r="AC241" s="158">
        <f t="shared" si="152"/>
        <v>-442.1368032943119</v>
      </c>
      <c r="AD241" s="158">
        <f t="shared" si="152"/>
        <v>-468.83643300500989</v>
      </c>
      <c r="AE241" s="158">
        <f t="shared" si="152"/>
        <v>-532.49914128997989</v>
      </c>
      <c r="AF241" s="158">
        <f t="shared" si="152"/>
        <v>-605.67184740579251</v>
      </c>
      <c r="AG241" s="158">
        <f t="shared" si="152"/>
        <v>-671.7249184080174</v>
      </c>
      <c r="AH241" s="187">
        <f t="shared" si="152"/>
        <v>-731.0248125889666</v>
      </c>
    </row>
    <row r="242" spans="1:34">
      <c r="A242" t="s">
        <v>423</v>
      </c>
      <c r="C242" s="331">
        <f>C221-C202</f>
        <v>-31.423491000002286</v>
      </c>
      <c r="D242" s="331">
        <f t="shared" ref="D242:AH242" si="153">D221-D202+D251+D254</f>
        <v>39.128864318550768</v>
      </c>
      <c r="E242" s="331">
        <f t="shared" si="153"/>
        <v>-124.3810180215296</v>
      </c>
      <c r="F242" s="331">
        <f t="shared" si="153"/>
        <v>-192.22574570865072</v>
      </c>
      <c r="G242" s="331">
        <f t="shared" si="153"/>
        <v>32.431941290344184</v>
      </c>
      <c r="H242" s="402">
        <f t="shared" si="153"/>
        <v>413.93709568483609</v>
      </c>
      <c r="I242" s="14">
        <f t="shared" si="153"/>
        <v>472.60729544100741</v>
      </c>
      <c r="J242" s="14">
        <f t="shared" si="153"/>
        <v>452.91724508485095</v>
      </c>
      <c r="K242" s="14">
        <f t="shared" si="153"/>
        <v>432.50852700847372</v>
      </c>
      <c r="L242" s="14">
        <f t="shared" si="153"/>
        <v>352.55472459831617</v>
      </c>
      <c r="M242" s="14">
        <f t="shared" si="153"/>
        <v>157.88083132994689</v>
      </c>
      <c r="N242" s="187">
        <f t="shared" si="153"/>
        <v>-97.465696796829434</v>
      </c>
      <c r="O242" s="14">
        <f t="shared" si="153"/>
        <v>-127.38532364483581</v>
      </c>
      <c r="P242" s="14">
        <f t="shared" si="153"/>
        <v>-166.85243527438706</v>
      </c>
      <c r="Q242" s="14">
        <f t="shared" si="153"/>
        <v>-221.92649696070839</v>
      </c>
      <c r="R242" s="14">
        <f t="shared" si="153"/>
        <v>-273.94696579371976</v>
      </c>
      <c r="S242" s="14">
        <f t="shared" si="153"/>
        <v>-301.33304578277057</v>
      </c>
      <c r="T242" s="14">
        <f t="shared" si="153"/>
        <v>-320.08558255044954</v>
      </c>
      <c r="U242" s="14">
        <f t="shared" si="153"/>
        <v>-339.15721568570734</v>
      </c>
      <c r="V242" s="14">
        <f t="shared" si="153"/>
        <v>-357.59336400528628</v>
      </c>
      <c r="W242" s="14">
        <f t="shared" si="153"/>
        <v>-350.16531832325927</v>
      </c>
      <c r="X242" s="187">
        <f t="shared" si="153"/>
        <v>-360.25871491966609</v>
      </c>
      <c r="Y242" s="158">
        <f t="shared" si="153"/>
        <v>-357.65002007270959</v>
      </c>
      <c r="Z242" s="158">
        <f t="shared" si="153"/>
        <v>-365.63145948322926</v>
      </c>
      <c r="AA242" s="158">
        <f t="shared" si="153"/>
        <v>-377.56964939071077</v>
      </c>
      <c r="AB242" s="158">
        <f t="shared" si="153"/>
        <v>-386.99022418365166</v>
      </c>
      <c r="AC242" s="158">
        <f t="shared" si="153"/>
        <v>-397.92312296488126</v>
      </c>
      <c r="AD242" s="158">
        <f t="shared" si="153"/>
        <v>-421.95278970450818</v>
      </c>
      <c r="AE242" s="158">
        <f t="shared" si="153"/>
        <v>-479.24922716098263</v>
      </c>
      <c r="AF242" s="158">
        <f t="shared" si="153"/>
        <v>-545.10466266521325</v>
      </c>
      <c r="AG242" s="158">
        <f t="shared" si="153"/>
        <v>-604.55242656721384</v>
      </c>
      <c r="AH242" s="187">
        <f t="shared" si="153"/>
        <v>-657.92233133006994</v>
      </c>
    </row>
    <row r="243" spans="1:34" s="1" customFormat="1">
      <c r="A243" s="1" t="s">
        <v>404</v>
      </c>
      <c r="B243" s="13"/>
      <c r="C243" s="341">
        <f>C222-C203</f>
        <v>-66.338751000002958</v>
      </c>
      <c r="D243" s="341">
        <f t="shared" ref="D243:AH243" si="154">D222-D203+D249+D252</f>
        <v>-165.3023099513739</v>
      </c>
      <c r="E243" s="341">
        <f t="shared" si="154"/>
        <v>79.645536735148198</v>
      </c>
      <c r="F243" s="341">
        <f t="shared" si="154"/>
        <v>482.99436140473335</v>
      </c>
      <c r="G243" s="341">
        <f t="shared" si="154"/>
        <v>605.42732286698811</v>
      </c>
      <c r="H243" s="405">
        <f t="shared" si="154"/>
        <v>873.86693200132504</v>
      </c>
      <c r="I243" s="15">
        <f t="shared" si="154"/>
        <v>1440.3993489985514</v>
      </c>
      <c r="J243" s="15">
        <f t="shared" si="154"/>
        <v>1864.1655320316786</v>
      </c>
      <c r="K243" s="15">
        <f t="shared" si="154"/>
        <v>2358.9138006041103</v>
      </c>
      <c r="L243" s="15">
        <f t="shared" si="154"/>
        <v>3213.4431327905768</v>
      </c>
      <c r="M243" s="15">
        <f t="shared" si="154"/>
        <v>4557.1139463144136</v>
      </c>
      <c r="N243" s="190">
        <f t="shared" si="154"/>
        <v>6497.7536117829222</v>
      </c>
      <c r="O243" s="15">
        <f t="shared" si="154"/>
        <v>6361.7332843878175</v>
      </c>
      <c r="P243" s="15">
        <f t="shared" si="154"/>
        <v>6254.075205140085</v>
      </c>
      <c r="Q243" s="15">
        <f t="shared" si="154"/>
        <v>6186.5196930159582</v>
      </c>
      <c r="R243" s="15">
        <f t="shared" si="154"/>
        <v>6131.1514844466292</v>
      </c>
      <c r="S243" s="15">
        <f t="shared" si="154"/>
        <v>6067.9608734854774</v>
      </c>
      <c r="T243" s="15">
        <f t="shared" si="154"/>
        <v>6555.382851403192</v>
      </c>
      <c r="U243" s="15">
        <f t="shared" si="154"/>
        <v>6637.9187574928656</v>
      </c>
      <c r="V243" s="15">
        <f t="shared" si="154"/>
        <v>6759.7857654636173</v>
      </c>
      <c r="W243" s="15">
        <f t="shared" si="154"/>
        <v>6880.8925807758205</v>
      </c>
      <c r="X243" s="190">
        <f t="shared" si="154"/>
        <v>7081.8270560923193</v>
      </c>
      <c r="Y243" s="130">
        <f t="shared" si="154"/>
        <v>7398.9248196516855</v>
      </c>
      <c r="Z243" s="130">
        <f t="shared" si="154"/>
        <v>7754.0115329911787</v>
      </c>
      <c r="AA243" s="130">
        <f t="shared" si="154"/>
        <v>8106.637798847034</v>
      </c>
      <c r="AB243" s="130">
        <f t="shared" si="154"/>
        <v>8556.6855577195311</v>
      </c>
      <c r="AC243" s="130">
        <f t="shared" si="154"/>
        <v>9120.3288431343317</v>
      </c>
      <c r="AD243" s="130">
        <f t="shared" si="154"/>
        <v>9663.406071560843</v>
      </c>
      <c r="AE243" s="130">
        <f t="shared" si="154"/>
        <v>10236.404918994631</v>
      </c>
      <c r="AF243" s="130">
        <f t="shared" si="154"/>
        <v>10865.533909437414</v>
      </c>
      <c r="AG243" s="130">
        <f t="shared" si="154"/>
        <v>11531.420141258604</v>
      </c>
      <c r="AH243" s="190">
        <f t="shared" si="154"/>
        <v>12237.575040525378</v>
      </c>
    </row>
    <row r="244" spans="1:34">
      <c r="A244" t="s">
        <v>444</v>
      </c>
      <c r="C244" s="331"/>
      <c r="D244" s="331">
        <f>D231+D234</f>
        <v>8.1283503831288044</v>
      </c>
      <c r="E244" s="331">
        <f t="shared" ref="E244:N244" si="155">E231+E234</f>
        <v>44.643340728467138</v>
      </c>
      <c r="F244" s="331">
        <f t="shared" si="155"/>
        <v>59.873107479615555</v>
      </c>
      <c r="G244" s="331">
        <f t="shared" si="155"/>
        <v>72.561762656971041</v>
      </c>
      <c r="H244" s="402">
        <f t="shared" si="155"/>
        <v>-2.7000000000043656E-4</v>
      </c>
      <c r="I244" s="14">
        <f t="shared" si="155"/>
        <v>458.78067539238327</v>
      </c>
      <c r="J244" s="14">
        <f t="shared" si="155"/>
        <v>889.33585350592602</v>
      </c>
      <c r="K244" s="14">
        <f t="shared" si="155"/>
        <v>1617.1350179651863</v>
      </c>
      <c r="L244" s="14">
        <f t="shared" si="155"/>
        <v>2739.4259989392458</v>
      </c>
      <c r="M244" s="14">
        <f t="shared" si="155"/>
        <v>4381.4062574479667</v>
      </c>
      <c r="N244" s="187">
        <f t="shared" si="155"/>
        <v>6703.5145272428963</v>
      </c>
      <c r="O244" s="14">
        <f>O231+O234</f>
        <v>6631.8837989160502</v>
      </c>
      <c r="P244" s="14">
        <f t="shared" ref="P244:AH244" si="156">P231+P234</f>
        <v>6589.0185437558284</v>
      </c>
      <c r="Q244" s="14">
        <f t="shared" si="156"/>
        <v>6586.4303690321321</v>
      </c>
      <c r="R244" s="14">
        <f t="shared" si="156"/>
        <v>6594.6302130182248</v>
      </c>
      <c r="S244" s="14">
        <f t="shared" si="156"/>
        <v>6588.9293432578306</v>
      </c>
      <c r="T244" s="14">
        <f t="shared" si="156"/>
        <v>7136.8888378862575</v>
      </c>
      <c r="U244" s="14">
        <f t="shared" si="156"/>
        <v>7275.8555335141828</v>
      </c>
      <c r="V244" s="14">
        <f t="shared" si="156"/>
        <v>7450.7235227876117</v>
      </c>
      <c r="W244" s="14">
        <f t="shared" si="156"/>
        <v>7613.78340255273</v>
      </c>
      <c r="X244" s="187">
        <f t="shared" si="156"/>
        <v>7846.3055697317322</v>
      </c>
      <c r="Y244" s="158">
        <f t="shared" si="156"/>
        <v>8183.6271440369474</v>
      </c>
      <c r="Z244" s="158">
        <f t="shared" si="156"/>
        <v>8574.2847186548097</v>
      </c>
      <c r="AA244" s="158">
        <f t="shared" si="156"/>
        <v>8985.9707136949801</v>
      </c>
      <c r="AB244" s="158">
        <f t="shared" si="156"/>
        <v>9463.3496451257015</v>
      </c>
      <c r="AC244" s="158">
        <f t="shared" si="156"/>
        <v>10026.856781542007</v>
      </c>
      <c r="AD244" s="158">
        <f t="shared" si="156"/>
        <v>10620.230711498576</v>
      </c>
      <c r="AE244" s="158">
        <f t="shared" si="156"/>
        <v>11287.985854345687</v>
      </c>
      <c r="AF244" s="158">
        <f t="shared" si="156"/>
        <v>12027.50590720935</v>
      </c>
      <c r="AG244" s="158">
        <f t="shared" si="156"/>
        <v>12807.054321806303</v>
      </c>
      <c r="AH244" s="187">
        <f t="shared" si="156"/>
        <v>13632.301372131951</v>
      </c>
    </row>
    <row r="245" spans="1:34">
      <c r="A245" t="s">
        <v>445</v>
      </c>
      <c r="D245" s="331">
        <f>D231+D234+D237</f>
        <v>-247.90769017942182</v>
      </c>
      <c r="E245" s="331">
        <f t="shared" ref="E245:N245" si="157">E231+E234+E237</f>
        <v>342.22768589171164</v>
      </c>
      <c r="F245" s="331">
        <f t="shared" si="157"/>
        <v>888.80426901188503</v>
      </c>
      <c r="G245" s="331">
        <f t="shared" si="157"/>
        <v>536.95989125404049</v>
      </c>
      <c r="H245" s="402">
        <f t="shared" si="157"/>
        <v>-2.7000000000043656E-4</v>
      </c>
      <c r="I245" s="14">
        <f t="shared" si="157"/>
        <v>442.67283640087408</v>
      </c>
      <c r="J245" s="14">
        <f t="shared" si="157"/>
        <v>908.00690351921639</v>
      </c>
      <c r="K245" s="14">
        <f t="shared" si="157"/>
        <v>1445.8402435862199</v>
      </c>
      <c r="L245" s="14">
        <f t="shared" si="157"/>
        <v>2469.1609364163551</v>
      </c>
      <c r="M245" s="14">
        <f t="shared" si="157"/>
        <v>4223.8099690623058</v>
      </c>
      <c r="N245" s="187">
        <f t="shared" si="157"/>
        <v>6703.5145272428963</v>
      </c>
      <c r="O245" s="14">
        <f>O231+O234+O237</f>
        <v>6630.6578565269128</v>
      </c>
      <c r="P245" s="14">
        <f t="shared" ref="P245:AH245" si="158">P231+P234+P237</f>
        <v>6606.3192351637954</v>
      </c>
      <c r="Q245" s="14">
        <f t="shared" si="158"/>
        <v>6655.0311865996719</v>
      </c>
      <c r="R245" s="14">
        <f t="shared" si="158"/>
        <v>6709.4839677889286</v>
      </c>
      <c r="S245" s="14">
        <f t="shared" si="158"/>
        <v>6704.1084145824425</v>
      </c>
      <c r="T245" s="14">
        <f t="shared" si="158"/>
        <v>7231.1190812319182</v>
      </c>
      <c r="U245" s="14">
        <f t="shared" si="158"/>
        <v>7353.917323940459</v>
      </c>
      <c r="V245" s="14">
        <f t="shared" si="158"/>
        <v>7514.7050894747736</v>
      </c>
      <c r="W245" s="14">
        <f t="shared" si="158"/>
        <v>7620.1304750138224</v>
      </c>
      <c r="X245" s="187">
        <f t="shared" si="158"/>
        <v>7842.3732320338422</v>
      </c>
      <c r="Y245" s="158">
        <f t="shared" si="158"/>
        <v>8153.9637509162967</v>
      </c>
      <c r="Z245" s="158">
        <f t="shared" si="158"/>
        <v>8525.9001696779924</v>
      </c>
      <c r="AA245" s="158">
        <f t="shared" si="158"/>
        <v>8903.7292808940801</v>
      </c>
      <c r="AB245" s="158">
        <f t="shared" si="158"/>
        <v>9373.6649198850173</v>
      </c>
      <c r="AC245" s="158">
        <f t="shared" si="158"/>
        <v>9960.3887693935267</v>
      </c>
      <c r="AD245" s="158">
        <f t="shared" si="158"/>
        <v>10554.195294270368</v>
      </c>
      <c r="AE245" s="158">
        <f t="shared" si="158"/>
        <v>11248.153287445602</v>
      </c>
      <c r="AF245" s="158">
        <f t="shared" si="158"/>
        <v>12016.310419508412</v>
      </c>
      <c r="AG245" s="158">
        <f t="shared" si="158"/>
        <v>12807.697486233834</v>
      </c>
      <c r="AH245" s="187">
        <f t="shared" si="158"/>
        <v>13626.52218444441</v>
      </c>
    </row>
    <row r="246" spans="1:34" s="1" customFormat="1">
      <c r="A246" s="1" t="s">
        <v>448</v>
      </c>
      <c r="B246" s="13"/>
      <c r="C246" s="328"/>
      <c r="D246" s="341">
        <f>D243</f>
        <v>-165.3023099513739</v>
      </c>
      <c r="E246" s="341">
        <f>D246+E243</f>
        <v>-85.656773216225702</v>
      </c>
      <c r="F246" s="341">
        <f>E246+F243</f>
        <v>397.33758818850765</v>
      </c>
      <c r="G246" s="341">
        <f>F246+G243</f>
        <v>1002.7649110554958</v>
      </c>
      <c r="H246" s="405"/>
      <c r="I246" s="15">
        <f t="shared" ref="I246:X246" si="159">H246+I243</f>
        <v>1440.3993489985514</v>
      </c>
      <c r="J246" s="15">
        <f t="shared" si="159"/>
        <v>3304.56488103023</v>
      </c>
      <c r="K246" s="15">
        <f t="shared" si="159"/>
        <v>5663.4786816343403</v>
      </c>
      <c r="L246" s="15">
        <f t="shared" si="159"/>
        <v>8876.9218144249171</v>
      </c>
      <c r="M246" s="15">
        <f t="shared" si="159"/>
        <v>13434.035760739331</v>
      </c>
      <c r="N246" s="190">
        <f t="shared" si="159"/>
        <v>19931.789372522253</v>
      </c>
      <c r="O246" s="15">
        <f t="shared" si="159"/>
        <v>26293.522656910071</v>
      </c>
      <c r="P246" s="15">
        <f t="shared" si="159"/>
        <v>32547.597862050156</v>
      </c>
      <c r="Q246" s="15">
        <f t="shared" si="159"/>
        <v>38734.117555066114</v>
      </c>
      <c r="R246" s="15">
        <f t="shared" si="159"/>
        <v>44865.269039512743</v>
      </c>
      <c r="S246" s="15">
        <f t="shared" si="159"/>
        <v>50933.22991299822</v>
      </c>
      <c r="T246" s="15">
        <f t="shared" si="159"/>
        <v>57488.612764401412</v>
      </c>
      <c r="U246" s="15">
        <f t="shared" si="159"/>
        <v>64126.531521894278</v>
      </c>
      <c r="V246" s="15">
        <f t="shared" si="159"/>
        <v>70886.317287357902</v>
      </c>
      <c r="W246" s="15">
        <f t="shared" si="159"/>
        <v>77767.209868133723</v>
      </c>
      <c r="X246" s="190">
        <f t="shared" si="159"/>
        <v>84849.036924226035</v>
      </c>
      <c r="Y246" s="130">
        <f t="shared" ref="Y246:AH246" si="160">X246+Y243</f>
        <v>92247.96174387772</v>
      </c>
      <c r="Z246" s="130">
        <f t="shared" si="160"/>
        <v>100001.9732768689</v>
      </c>
      <c r="AA246" s="130">
        <f t="shared" si="160"/>
        <v>108108.61107571593</v>
      </c>
      <c r="AB246" s="130">
        <f t="shared" si="160"/>
        <v>116665.29663343547</v>
      </c>
      <c r="AC246" s="130">
        <f t="shared" si="160"/>
        <v>125785.62547656981</v>
      </c>
      <c r="AD246" s="130">
        <f t="shared" si="160"/>
        <v>135449.03154813065</v>
      </c>
      <c r="AE246" s="130">
        <f t="shared" si="160"/>
        <v>145685.43646712528</v>
      </c>
      <c r="AF246" s="130">
        <f t="shared" si="160"/>
        <v>156550.97037656271</v>
      </c>
      <c r="AG246" s="130">
        <f t="shared" si="160"/>
        <v>168082.3905178213</v>
      </c>
      <c r="AH246" s="190">
        <f t="shared" si="160"/>
        <v>180319.96555834668</v>
      </c>
    </row>
    <row r="247" spans="1:34">
      <c r="A247" t="s">
        <v>457</v>
      </c>
      <c r="D247" s="343" t="b">
        <f t="shared" ref="D247:AH247" si="161">IF(D185-D246&lt;1,TRUE,FALSE)</f>
        <v>1</v>
      </c>
      <c r="E247" s="343" t="b">
        <f t="shared" si="161"/>
        <v>1</v>
      </c>
      <c r="F247" s="343" t="b">
        <f t="shared" si="161"/>
        <v>1</v>
      </c>
      <c r="G247" s="343" t="b">
        <f t="shared" si="161"/>
        <v>1</v>
      </c>
      <c r="H247" s="408"/>
      <c r="I247" s="133" t="b">
        <f t="shared" si="161"/>
        <v>0</v>
      </c>
      <c r="J247" s="133" t="b">
        <f t="shared" si="161"/>
        <v>0</v>
      </c>
      <c r="K247" s="133" t="b">
        <f t="shared" si="161"/>
        <v>0</v>
      </c>
      <c r="L247" s="133" t="b">
        <f t="shared" si="161"/>
        <v>0</v>
      </c>
      <c r="M247" s="133" t="b">
        <f t="shared" si="161"/>
        <v>0</v>
      </c>
      <c r="N247" s="194" t="b">
        <f t="shared" si="161"/>
        <v>0</v>
      </c>
      <c r="O247" s="133" t="b">
        <f t="shared" si="161"/>
        <v>0</v>
      </c>
      <c r="P247" s="133" t="b">
        <f t="shared" si="161"/>
        <v>0</v>
      </c>
      <c r="Q247" s="133" t="b">
        <f t="shared" si="161"/>
        <v>0</v>
      </c>
      <c r="R247" s="133" t="b">
        <f t="shared" si="161"/>
        <v>0</v>
      </c>
      <c r="S247" s="133" t="b">
        <f t="shared" si="161"/>
        <v>0</v>
      </c>
      <c r="T247" s="133" t="b">
        <f t="shared" si="161"/>
        <v>0</v>
      </c>
      <c r="U247" s="133" t="b">
        <f t="shared" si="161"/>
        <v>0</v>
      </c>
      <c r="V247" s="133" t="b">
        <f t="shared" si="161"/>
        <v>0</v>
      </c>
      <c r="W247" s="133" t="b">
        <f t="shared" si="161"/>
        <v>0</v>
      </c>
      <c r="X247" s="194" t="b">
        <f t="shared" si="161"/>
        <v>0</v>
      </c>
      <c r="Y247" s="290" t="b">
        <f t="shared" si="161"/>
        <v>0</v>
      </c>
      <c r="Z247" s="290" t="b">
        <f t="shared" si="161"/>
        <v>0</v>
      </c>
      <c r="AA247" s="290" t="b">
        <f t="shared" si="161"/>
        <v>0</v>
      </c>
      <c r="AB247" s="290" t="b">
        <f t="shared" si="161"/>
        <v>0</v>
      </c>
      <c r="AC247" s="290" t="b">
        <f t="shared" si="161"/>
        <v>0</v>
      </c>
      <c r="AD247" s="290" t="b">
        <f t="shared" si="161"/>
        <v>0</v>
      </c>
      <c r="AE247" s="290" t="b">
        <f t="shared" si="161"/>
        <v>0</v>
      </c>
      <c r="AF247" s="290" t="b">
        <f t="shared" si="161"/>
        <v>0</v>
      </c>
      <c r="AG247" s="290" t="b">
        <f t="shared" si="161"/>
        <v>0</v>
      </c>
      <c r="AH247" s="194" t="b">
        <f t="shared" si="161"/>
        <v>0</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R3" activePane="bottomRight" state="frozen"/>
      <selection pane="topRight" activeCell="C1" sqref="C1"/>
      <selection pane="bottomLeft" activeCell="A3" sqref="A3"/>
      <selection pane="bottomRight" activeCell="AC13" sqref="AC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111802.99999999999</v>
      </c>
      <c r="D4" s="329">
        <f>EIA_electricity_aeo2014!F58 * 1000</f>
        <v>111542</v>
      </c>
      <c r="E4" s="329">
        <f>EIA_electricity_aeo2014!G58 * 1000</f>
        <v>114128.75976861686</v>
      </c>
      <c r="F4" s="329">
        <f>EIA_electricity_aeo2014!H58 * 1000</f>
        <v>115152.65221889417</v>
      </c>
      <c r="G4" s="329">
        <f>EIA_electricity_aeo2014!I58 * 1000</f>
        <v>115443.72106544011</v>
      </c>
      <c r="H4" s="21">
        <f>EIA_electricity_aeo2014!J58 * 1000</f>
        <v>117129.56084187319</v>
      </c>
      <c r="I4" s="21">
        <f>EIA_electricity_aeo2014!K58 * 1000</f>
        <v>120321.64470431587</v>
      </c>
      <c r="J4" s="21">
        <f>EIA_electricity_aeo2014!L58 * 1000</f>
        <v>124542.94565963518</v>
      </c>
      <c r="K4" s="21">
        <f>EIA_electricity_aeo2014!M58 * 1000</f>
        <v>125807.11553132175</v>
      </c>
      <c r="L4" s="21">
        <f>EIA_electricity_aeo2014!N58 * 1000</f>
        <v>126959.90096636266</v>
      </c>
      <c r="M4" s="21">
        <f>EIA_electricity_aeo2014!O58 * 1000</f>
        <v>128178.72203709368</v>
      </c>
      <c r="N4" s="388">
        <f>EIA_electricity_aeo2014!P58 * 1000</f>
        <v>129403.64554308457</v>
      </c>
      <c r="O4" s="21">
        <f>EIA_electricity_aeo2014!Q58 * 1000</f>
        <v>130461.16159898174</v>
      </c>
      <c r="P4" s="21">
        <f>EIA_electricity_aeo2014!R58 * 1000</f>
        <v>131769.89561552688</v>
      </c>
      <c r="Q4" s="21">
        <f>EIA_electricity_aeo2014!S58 * 1000</f>
        <v>133650.47624265865</v>
      </c>
      <c r="R4" s="21">
        <f>EIA_electricity_aeo2014!T58 * 1000</f>
        <v>135341.98396780144</v>
      </c>
      <c r="S4" s="21">
        <f>EIA_electricity_aeo2014!U58 * 1000</f>
        <v>136505.64872592504</v>
      </c>
      <c r="T4" s="21">
        <f>EIA_electricity_aeo2014!V58 * 1000</f>
        <v>137490.68822055735</v>
      </c>
      <c r="U4" s="21">
        <f>EIA_electricity_aeo2014!W58 * 1000</f>
        <v>138527.12784093965</v>
      </c>
      <c r="V4" s="21">
        <f>EIA_electricity_aeo2014!X58 * 1000</f>
        <v>139784.29093003334</v>
      </c>
      <c r="W4" s="21">
        <f>EIA_electricity_aeo2014!Y58 * 1000</f>
        <v>140511.72394895487</v>
      </c>
      <c r="X4" s="388">
        <f>EIA_electricity_aeo2014!Z58 * 1000</f>
        <v>141876.95022051357</v>
      </c>
      <c r="Y4" s="21">
        <f>EIA_electricity_aeo2014!AA58 * 1000</f>
        <v>142807.70815587565</v>
      </c>
      <c r="Z4" s="21">
        <f>EIA_electricity_aeo2014!AB58 * 1000</f>
        <v>143985.98319387477</v>
      </c>
      <c r="AA4" s="21">
        <f>EIA_electricity_aeo2014!AC58 * 1000</f>
        <v>144846.8696315561</v>
      </c>
      <c r="AB4" s="21">
        <f>EIA_electricity_aeo2014!AD58 * 1000</f>
        <v>146070.38559085462</v>
      </c>
      <c r="AC4" s="21">
        <f>EIA_electricity_aeo2014!AE58 * 1000</f>
        <v>147859.78886121625</v>
      </c>
      <c r="AD4" s="21">
        <f>EIA_electricity_aeo2014!AF58 * 1000</f>
        <v>149335.14061923881</v>
      </c>
      <c r="AE4" s="21">
        <f>EIA_electricity_aeo2014!AG58 * 1000</f>
        <v>151089.54194372855</v>
      </c>
      <c r="AF4" s="21">
        <f>EIA_electricity_aeo2014!AH58 * 1000</f>
        <v>152998.83965497641</v>
      </c>
      <c r="AG4" s="21">
        <f>EIA_electricity_aeo2014!AI58 * 1000</f>
        <v>154624.09708791989</v>
      </c>
      <c r="AH4" s="21">
        <f>EIA_electricity_aeo2014!AJ58 * 1000</f>
        <v>156026.99350687308</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6426.99</v>
      </c>
      <c r="D7" s="330">
        <f>EIA_RE_aeo2014!F73*1000-D15</f>
        <v>6621.99</v>
      </c>
      <c r="E7" s="330">
        <f>EIA_RE_aeo2014!G73*1000-E15</f>
        <v>7623.1623000000009</v>
      </c>
      <c r="F7" s="330">
        <f>EIA_RE_aeo2014!H73*1000-F15</f>
        <v>6202.2650700000013</v>
      </c>
      <c r="G7" s="330">
        <f>EIA_RE_aeo2014!I73*1000-G15</f>
        <v>7873.0383300000003</v>
      </c>
      <c r="H7" s="174">
        <f>EIA_RE_aeo2014!J73*1000-H15</f>
        <v>8062.3535600000014</v>
      </c>
      <c r="I7" s="174">
        <f>EIA_RE_aeo2014!K73*1000-I15</f>
        <v>8229.4491099999996</v>
      </c>
      <c r="J7" s="174">
        <f>EIA_RE_aeo2014!L73*1000-J15</f>
        <v>8373.82654</v>
      </c>
      <c r="K7" s="174">
        <f>EIA_RE_aeo2014!M73*1000-K15</f>
        <v>8471.7892100000008</v>
      </c>
      <c r="L7" s="174">
        <f>EIA_RE_aeo2014!N73*1000-L15</f>
        <v>8471.7849600000027</v>
      </c>
      <c r="M7" s="174">
        <f>EIA_RE_aeo2014!O73*1000-M15</f>
        <v>8471.7871700000014</v>
      </c>
      <c r="N7" s="184">
        <f>EIA_RE_aeo2014!P73*1000-N15</f>
        <v>8471.7849600000027</v>
      </c>
      <c r="O7" s="174">
        <f>EIA_RE_aeo2014!Q73*1000-O15</f>
        <v>8471.7870000000021</v>
      </c>
      <c r="P7" s="174">
        <f>EIA_RE_aeo2014!R73*1000-P15</f>
        <v>8471.7810499999996</v>
      </c>
      <c r="Q7" s="174">
        <f>EIA_RE_aeo2014!S73*1000-Q15</f>
        <v>8518.5526399999999</v>
      </c>
      <c r="R7" s="174">
        <f>EIA_RE_aeo2014!T73*1000-R15</f>
        <v>8518.5492400000003</v>
      </c>
      <c r="S7" s="83">
        <f>EIA_RE_aeo2014!U73*1000-S15</f>
        <v>8518.552810000001</v>
      </c>
      <c r="T7" s="83">
        <f>EIA_RE_aeo2014!V73*1000-T15</f>
        <v>8536.3273300000001</v>
      </c>
      <c r="U7" s="83">
        <f>EIA_RE_aeo2014!W73*1000-U15</f>
        <v>8546.9994200000001</v>
      </c>
      <c r="V7" s="83">
        <f>EIA_RE_aeo2014!X73*1000-V15</f>
        <v>8607.4172500000004</v>
      </c>
      <c r="W7" s="83">
        <f>EIA_RE_aeo2014!Y73*1000-W15</f>
        <v>8666.4349599999987</v>
      </c>
      <c r="X7" s="184">
        <f>EIA_RE_aeo2014!Z73*1000-X15</f>
        <v>8732.2890499999994</v>
      </c>
      <c r="Y7" s="174">
        <f>EIA_RE_aeo2014!AA73*1000-Y15</f>
        <v>8732.2902400000003</v>
      </c>
      <c r="Z7" s="174">
        <f>EIA_RE_aeo2014!AB73*1000-Z15</f>
        <v>8770.4877100000012</v>
      </c>
      <c r="AA7" s="174">
        <f>EIA_RE_aeo2014!AC73*1000-AA15</f>
        <v>8770.4895800000013</v>
      </c>
      <c r="AB7" s="174">
        <f>EIA_RE_aeo2014!AD73*1000-AB15</f>
        <v>8770.4895800000013</v>
      </c>
      <c r="AC7" s="174">
        <f>EIA_RE_aeo2014!AE73*1000-AC15</f>
        <v>8806.7415699999983</v>
      </c>
      <c r="AD7" s="174">
        <f>EIA_RE_aeo2014!AF73*1000-AD15</f>
        <v>8831.8510800000004</v>
      </c>
      <c r="AE7" s="174">
        <f>EIA_RE_aeo2014!AG73*1000-AE15</f>
        <v>8831.8544800000018</v>
      </c>
      <c r="AF7" s="174">
        <f>EIA_RE_aeo2014!AH73*1000-AF15</f>
        <v>8854.6360100000002</v>
      </c>
      <c r="AG7" s="174">
        <f>EIA_RE_aeo2014!AI73*1000-AG15</f>
        <v>8854.635839999999</v>
      </c>
      <c r="AH7" s="174">
        <f>EIA_RE_aeo2014!AJ73*1000-AH15</f>
        <v>8854.636690000003</v>
      </c>
    </row>
    <row r="8" spans="1:34">
      <c r="A8" s="9" t="s">
        <v>59</v>
      </c>
      <c r="B8" s="34">
        <v>0</v>
      </c>
      <c r="C8" s="330">
        <f>EIA_electricity_aeo2014!E52*1000</f>
        <v>30662</v>
      </c>
      <c r="D8" s="330">
        <f>EIA_electricity_aeo2014!F52*1000</f>
        <v>31200</v>
      </c>
      <c r="E8" s="330">
        <f>EIA_electricity_aeo2014!G52*1000</f>
        <v>28780.883109704355</v>
      </c>
      <c r="F8" s="330">
        <f>EIA_electricity_aeo2014!H52*1000</f>
        <v>28515.144319000119</v>
      </c>
      <c r="G8" s="330">
        <f>EIA_electricity_aeo2014!I52*1000</f>
        <v>28059.771926986563</v>
      </c>
      <c r="H8" s="3">
        <f>EIA_electricity_aeo2014!J52*1000</f>
        <v>28143.047573484851</v>
      </c>
      <c r="I8" s="3">
        <f>EIA_electricity_aeo2014!K52*1000</f>
        <v>29211.453059741612</v>
      </c>
      <c r="J8" s="3">
        <f>EIA_electricity_aeo2014!L52*1000</f>
        <v>30449.038405440788</v>
      </c>
      <c r="K8" s="3">
        <f>EIA_electricity_aeo2014!M52*1000</f>
        <v>31651.996463115451</v>
      </c>
      <c r="L8" s="3">
        <f>EIA_electricity_aeo2014!N52*1000</f>
        <v>32586.047077192681</v>
      </c>
      <c r="M8" s="3">
        <f>EIA_electricity_aeo2014!O52*1000</f>
        <v>32749.233384327461</v>
      </c>
      <c r="N8" s="388">
        <f>EIA_electricity_aeo2014!P52*1000</f>
        <v>32749.234204089335</v>
      </c>
      <c r="O8" s="3">
        <f>EIA_electricity_aeo2014!Q52*1000</f>
        <v>32749.234204089335</v>
      </c>
      <c r="P8" s="3">
        <f>EIA_electricity_aeo2014!R52*1000</f>
        <v>32749.23393083538</v>
      </c>
      <c r="Q8" s="3">
        <f>EIA_electricity_aeo2014!S52*1000</f>
        <v>32749.234204089335</v>
      </c>
      <c r="R8" s="3">
        <f>EIA_electricity_aeo2014!T52*1000</f>
        <v>32749.233384327461</v>
      </c>
      <c r="S8" s="3">
        <f>EIA_electricity_aeo2014!U52*1000</f>
        <v>32749.299648412198</v>
      </c>
      <c r="T8" s="3">
        <f>EIA_electricity_aeo2014!V52*1000</f>
        <v>32749.23393083538</v>
      </c>
      <c r="U8" s="3">
        <f>EIA_electricity_aeo2014!W52*1000</f>
        <v>32749.233657581422</v>
      </c>
      <c r="V8" s="3">
        <f>EIA_electricity_aeo2014!X52*1000</f>
        <v>32749.233657581422</v>
      </c>
      <c r="W8" s="3">
        <f>EIA_electricity_aeo2014!Y52*1000</f>
        <v>32749.234204089335</v>
      </c>
      <c r="X8" s="184">
        <f>EIA_electricity_aeo2014!Z52*1000</f>
        <v>32749.233657581422</v>
      </c>
      <c r="Y8" s="174">
        <f>EIA_electricity_aeo2014!AA52*1000</f>
        <v>32749.233657581422</v>
      </c>
      <c r="Z8" s="174">
        <f>EIA_electricity_aeo2014!AB52*1000</f>
        <v>32749.23393083538</v>
      </c>
      <c r="AA8" s="174">
        <f>EIA_electricity_aeo2014!AC52*1000</f>
        <v>32749.233247700489</v>
      </c>
      <c r="AB8" s="174">
        <f>EIA_electricity_aeo2014!AD52*1000</f>
        <v>32749.233657581422</v>
      </c>
      <c r="AC8" s="174">
        <f>EIA_electricity_aeo2014!AE52*1000</f>
        <v>32749.234204089335</v>
      </c>
      <c r="AD8" s="174">
        <f>EIA_electricity_aeo2014!AF52*1000</f>
        <v>32749.234204089335</v>
      </c>
      <c r="AE8" s="174">
        <f>EIA_electricity_aeo2014!AG52*1000</f>
        <v>32749.234204089335</v>
      </c>
      <c r="AF8" s="174">
        <f>EIA_electricity_aeo2014!AH52*1000</f>
        <v>32749.234204089335</v>
      </c>
      <c r="AG8" s="174">
        <f>EIA_electricity_aeo2014!AI52*1000</f>
        <v>32749.233657581422</v>
      </c>
      <c r="AH8" s="174">
        <f>EIA_electricity_aeo2014!AJ52*1000</f>
        <v>32749.233657581422</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137</v>
      </c>
      <c r="D10" s="330">
        <f>EIA_RE_aeo2014!F76*1000</f>
        <v>140</v>
      </c>
      <c r="E10" s="330">
        <f>EIA_RE_aeo2014!G76*1000</f>
        <v>80.646749399282896</v>
      </c>
      <c r="F10" s="330">
        <f>EIA_RE_aeo2014!H76*1000</f>
        <v>77.877344682244541</v>
      </c>
      <c r="G10" s="330">
        <f>EIA_RE_aeo2014!I76*1000</f>
        <v>86.261747465825991</v>
      </c>
      <c r="H10" s="83">
        <f>EIA_RE_aeo2014!J76*1000</f>
        <v>88.751587010343741</v>
      </c>
      <c r="I10" s="174">
        <f>EIA_RE_aeo2014!K76*1000</f>
        <v>92.010106667206813</v>
      </c>
      <c r="J10" s="174">
        <f>EIA_RE_aeo2014!L76*1000</f>
        <v>97.352090520915851</v>
      </c>
      <c r="K10" s="174">
        <f>EIA_RE_aeo2014!M76*1000</f>
        <v>105.57762443783234</v>
      </c>
      <c r="L10" s="174">
        <f>EIA_RE_aeo2014!N76*1000</f>
        <v>110.30390981602743</v>
      </c>
      <c r="M10" s="174">
        <f>EIA_RE_aeo2014!O76*1000</f>
        <v>114.73636252795305</v>
      </c>
      <c r="N10" s="184">
        <f>EIA_RE_aeo2014!P76*1000</f>
        <v>120.37901600503443</v>
      </c>
      <c r="O10" s="174">
        <f>EIA_RE_aeo2014!Q76*1000</f>
        <v>129.0882524955766</v>
      </c>
      <c r="P10" s="174">
        <f>EIA_RE_aeo2014!R76*1000</f>
        <v>134.99683500421654</v>
      </c>
      <c r="Q10" s="174">
        <f>EIA_RE_aeo2014!S76*1000</f>
        <v>151.93901436361062</v>
      </c>
      <c r="R10" s="174">
        <f>EIA_RE_aeo2014!T76*1000</f>
        <v>158.54210652257657</v>
      </c>
      <c r="S10" s="83">
        <f>EIA_RE_aeo2014!U76*1000</f>
        <v>179.02184188594302</v>
      </c>
      <c r="T10" s="83">
        <f>EIA_RE_aeo2014!V76*1000</f>
        <v>185.04603750107725</v>
      </c>
      <c r="U10" s="83">
        <f>EIA_RE_aeo2014!W76*1000</f>
        <v>189.14752105203584</v>
      </c>
      <c r="V10" s="83">
        <f>EIA_RE_aeo2014!X76*1000</f>
        <v>192.97276347591614</v>
      </c>
      <c r="W10" s="83">
        <f>EIA_RE_aeo2014!Y76*1000</f>
        <v>216.12786436813539</v>
      </c>
      <c r="X10" s="184">
        <f>EIA_RE_aeo2014!Z76*1000</f>
        <v>219.63973996259526</v>
      </c>
      <c r="Y10" s="174">
        <f>EIA_RE_aeo2014!AA76*1000</f>
        <v>222.58163889490527</v>
      </c>
      <c r="Z10" s="174">
        <f>EIA_RE_aeo2014!AB76*1000</f>
        <v>224.7895551372624</v>
      </c>
      <c r="AA10" s="174">
        <f>EIA_RE_aeo2014!AC76*1000</f>
        <v>227.74929922911386</v>
      </c>
      <c r="AB10" s="174">
        <f>EIA_RE_aeo2014!AD76*1000</f>
        <v>231.15325666643119</v>
      </c>
      <c r="AC10" s="174">
        <f>EIA_RE_aeo2014!AE76*1000</f>
        <v>234.05601172595192</v>
      </c>
      <c r="AD10" s="174">
        <f>EIA_RE_aeo2014!AF76*1000</f>
        <v>238.09773800543718</v>
      </c>
      <c r="AE10" s="174">
        <f>EIA_RE_aeo2014!AG76*1000</f>
        <v>242.46215570934973</v>
      </c>
      <c r="AF10" s="174">
        <f>EIA_RE_aeo2014!AH76*1000</f>
        <v>247.48791275947528</v>
      </c>
      <c r="AG10" s="174">
        <f>EIA_RE_aeo2014!AI76*1000</f>
        <v>252.72277169415875</v>
      </c>
      <c r="AH10" s="174">
        <f>EIA_RE_aeo2014!AJ76*1000</f>
        <v>257.43473022065064</v>
      </c>
    </row>
    <row r="11" spans="1:34" s="20" customFormat="1">
      <c r="A11" s="9" t="s">
        <v>50</v>
      </c>
      <c r="B11" s="35">
        <v>1</v>
      </c>
      <c r="C11" s="330">
        <f>EIA_RE_aeo2014!E74*1000</f>
        <v>0</v>
      </c>
      <c r="D11" s="330">
        <f>EIA_RE_aeo2014!F74*1000</f>
        <v>0</v>
      </c>
      <c r="E11" s="330">
        <f>EIA_RE_aeo2014!G74*1000</f>
        <v>4.0118829999999999E-3</v>
      </c>
      <c r="F11" s="330">
        <f>EIA_RE_aeo2014!H74*1000</f>
        <v>3.7581989999999998E-3</v>
      </c>
      <c r="G11" s="330">
        <f>EIA_RE_aeo2014!I74*1000</f>
        <v>4.109054E-3</v>
      </c>
      <c r="H11" s="83">
        <f>EIA_RE_aeo2014!J74*1000</f>
        <v>4.1090699999999994E-3</v>
      </c>
      <c r="I11" s="83">
        <f>EIA_RE_aeo2014!K74*1000</f>
        <v>4.1077979999999993E-3</v>
      </c>
      <c r="J11" s="83">
        <f>EIA_RE_aeo2014!L74*1000</f>
        <v>4.1001169999999995E-3</v>
      </c>
      <c r="K11" s="83">
        <f>EIA_RE_aeo2014!M74*1000</f>
        <v>4.5077809999999989E-3</v>
      </c>
      <c r="L11" s="83">
        <f>EIA_RE_aeo2014!N74*1000</f>
        <v>4.9009479999999996E-3</v>
      </c>
      <c r="M11" s="83">
        <f>EIA_RE_aeo2014!O74*1000</f>
        <v>4.9156639999999993E-3</v>
      </c>
      <c r="N11" s="388">
        <f>EIA_RE_aeo2014!P74*1000</f>
        <v>4.9143329999999999E-3</v>
      </c>
      <c r="O11" s="83">
        <f>EIA_RE_aeo2014!Q74*1000</f>
        <v>4.9132239999999999E-3</v>
      </c>
      <c r="P11" s="83">
        <f>EIA_RE_aeo2014!R74*1000</f>
        <v>4.9197499999999996E-3</v>
      </c>
      <c r="Q11" s="83">
        <f>EIA_RE_aeo2014!S74*1000</f>
        <v>4.9287999999999997E-3</v>
      </c>
      <c r="R11" s="83">
        <f>EIA_RE_aeo2014!T74*1000</f>
        <v>4.9247539999999999E-3</v>
      </c>
      <c r="S11" s="83">
        <f>EIA_RE_aeo2014!U74*1000</f>
        <v>4.9286719999999994E-3</v>
      </c>
      <c r="T11" s="83">
        <f>EIA_RE_aeo2014!V74*1000</f>
        <v>4.9275430000000004E-3</v>
      </c>
      <c r="U11" s="83">
        <f>EIA_RE_aeo2014!W74*1000</f>
        <v>5.3101979999999995E-3</v>
      </c>
      <c r="V11" s="83">
        <f>EIA_RE_aeo2014!X74*1000</f>
        <v>5.5501300000000003E-3</v>
      </c>
      <c r="W11" s="83">
        <f>EIA_RE_aeo2014!Y74*1000</f>
        <v>5.5720199999999996E-3</v>
      </c>
      <c r="X11" s="184">
        <f>EIA_RE_aeo2014!Z74*1000</f>
        <v>5.8294079999999995E-3</v>
      </c>
      <c r="Y11" s="174">
        <f>EIA_RE_aeo2014!AA74*1000</f>
        <v>6.0471729999999994E-3</v>
      </c>
      <c r="Z11" s="174">
        <f>EIA_RE_aeo2014!AB74*1000</f>
        <v>6.0445359999999997E-3</v>
      </c>
      <c r="AA11" s="174">
        <f>EIA_RE_aeo2014!AC74*1000</f>
        <v>6.0421289999999994E-3</v>
      </c>
      <c r="AB11" s="174">
        <f>EIA_RE_aeo2014!AD74*1000</f>
        <v>6.0397999999999997E-3</v>
      </c>
      <c r="AC11" s="174">
        <f>EIA_RE_aeo2014!AE74*1000</f>
        <v>6.0375639999999996E-3</v>
      </c>
      <c r="AD11" s="174">
        <f>EIA_RE_aeo2014!AF74*1000</f>
        <v>6.0354029999999999E-3</v>
      </c>
      <c r="AE11" s="174">
        <f>EIA_RE_aeo2014!AG74*1000</f>
        <v>6.0333230000000002E-3</v>
      </c>
      <c r="AF11" s="174">
        <f>EIA_RE_aeo2014!AH74*1000</f>
        <v>6.0313509999999999E-3</v>
      </c>
      <c r="AG11" s="174">
        <f>EIA_RE_aeo2014!AI74*1000</f>
        <v>6.0293979999999992E-3</v>
      </c>
      <c r="AH11" s="174">
        <f>EIA_RE_aeo2014!AJ74*1000</f>
        <v>6.0275829999999996E-3</v>
      </c>
    </row>
    <row r="12" spans="1:34" s="20" customFormat="1">
      <c r="A12" s="9" t="s">
        <v>51</v>
      </c>
      <c r="B12" s="35">
        <v>1</v>
      </c>
      <c r="C12" s="330">
        <f>EIA_RE_aeo2014!E75*1000</f>
        <v>18</v>
      </c>
      <c r="D12" s="330">
        <f>EIA_RE_aeo2014!F75*1000</f>
        <v>24</v>
      </c>
      <c r="E12" s="330">
        <f>EIA_RE_aeo2014!G75*1000</f>
        <v>58.891981590362192</v>
      </c>
      <c r="F12" s="330">
        <f>EIA_RE_aeo2014!H75*1000</f>
        <v>60.980007323519558</v>
      </c>
      <c r="G12" s="330">
        <f>EIA_RE_aeo2014!I75*1000</f>
        <v>49.599174411619671</v>
      </c>
      <c r="H12" s="83">
        <f>EIA_RE_aeo2014!J75*1000</f>
        <v>53.370257844527828</v>
      </c>
      <c r="I12" s="174">
        <f>EIA_RE_aeo2014!K75*1000</f>
        <v>48.852028176696209</v>
      </c>
      <c r="J12" s="174">
        <f>EIA_RE_aeo2014!L75*1000</f>
        <v>57.148244641306199</v>
      </c>
      <c r="K12" s="174">
        <f>EIA_RE_aeo2014!M75*1000</f>
        <v>57.540241385912054</v>
      </c>
      <c r="L12" s="174">
        <f>EIA_RE_aeo2014!N75*1000</f>
        <v>57.549958859894986</v>
      </c>
      <c r="M12" s="174">
        <f>EIA_RE_aeo2014!O75*1000</f>
        <v>57.172340459146241</v>
      </c>
      <c r="N12" s="184">
        <f>EIA_RE_aeo2014!P75*1000</f>
        <v>57.155587709881551</v>
      </c>
      <c r="O12" s="174">
        <f>EIA_RE_aeo2014!Q75*1000</f>
        <v>57.145650383546048</v>
      </c>
      <c r="P12" s="174">
        <f>EIA_RE_aeo2014!R75*1000</f>
        <v>57.514298808310549</v>
      </c>
      <c r="Q12" s="174">
        <f>EIA_RE_aeo2014!S75*1000</f>
        <v>57.127666461107026</v>
      </c>
      <c r="R12" s="174">
        <f>EIA_RE_aeo2014!T75*1000</f>
        <v>57.119048248886877</v>
      </c>
      <c r="S12" s="83">
        <f>EIA_RE_aeo2014!U75*1000</f>
        <v>57.488532112591074</v>
      </c>
      <c r="T12" s="83">
        <f>EIA_RE_aeo2014!V75*1000</f>
        <v>56.486093325880574</v>
      </c>
      <c r="U12" s="83">
        <f>EIA_RE_aeo2014!W75*1000</f>
        <v>57.078199681782124</v>
      </c>
      <c r="V12" s="83">
        <f>EIA_RE_aeo2014!X75*1000</f>
        <v>57.060655464048224</v>
      </c>
      <c r="W12" s="83">
        <f>EIA_RE_aeo2014!Y75*1000</f>
        <v>57.040429047613152</v>
      </c>
      <c r="X12" s="184">
        <f>EIA_RE_aeo2014!Z75*1000</f>
        <v>57.018619694239682</v>
      </c>
      <c r="Y12" s="174">
        <f>EIA_RE_aeo2014!AA75*1000</f>
        <v>56.996898281807226</v>
      </c>
      <c r="Z12" s="174">
        <f>EIA_RE_aeo2014!AB75*1000</f>
        <v>57.357675992350245</v>
      </c>
      <c r="AA12" s="174">
        <f>EIA_RE_aeo2014!AC75*1000</f>
        <v>57.87265814297546</v>
      </c>
      <c r="AB12" s="174">
        <f>EIA_RE_aeo2014!AD75*1000</f>
        <v>58.638403886925076</v>
      </c>
      <c r="AC12" s="174">
        <f>EIA_RE_aeo2014!AE75*1000</f>
        <v>58.623322015539792</v>
      </c>
      <c r="AD12" s="174">
        <f>EIA_RE_aeo2014!AF75*1000</f>
        <v>58.608547937448087</v>
      </c>
      <c r="AE12" s="174">
        <f>EIA_RE_aeo2014!AG75*1000</f>
        <v>59.718890258792655</v>
      </c>
      <c r="AF12" s="174">
        <f>EIA_RE_aeo2014!AH75*1000</f>
        <v>59.707501906930297</v>
      </c>
      <c r="AG12" s="174">
        <f>EIA_RE_aeo2014!AI75*1000</f>
        <v>59.695278116128243</v>
      </c>
      <c r="AH12" s="174">
        <f>EIA_RE_aeo2014!AJ75*1000</f>
        <v>59.683186236737697</v>
      </c>
    </row>
    <row r="13" spans="1:34">
      <c r="A13" s="9" t="s">
        <v>347</v>
      </c>
      <c r="B13" s="34">
        <v>1</v>
      </c>
      <c r="C13" s="330">
        <f>(EIA_RE_aeo2014!E34+EIA_RE_aeo2014!E54)*1000</f>
        <v>335.40899999999993</v>
      </c>
      <c r="D13" s="330">
        <f>(EIA_RE_aeo2014!F34+EIA_RE_aeo2014!F54)*1000</f>
        <v>557.71</v>
      </c>
      <c r="E13" s="330">
        <f>(EIA_RE_aeo2014!G34+EIA_RE_aeo2014!G54)*1000</f>
        <v>856.06569826462646</v>
      </c>
      <c r="F13" s="330">
        <f>(EIA_RE_aeo2014!H34+EIA_RE_aeo2014!H54)*1000</f>
        <v>1209.202848298389</v>
      </c>
      <c r="G13" s="330">
        <f>(EIA_RE_aeo2014!I34+EIA_RE_aeo2014!I54)*1000</f>
        <v>1385.4246527852813</v>
      </c>
      <c r="H13" s="83">
        <f>(EIA_RE_aeo2014!J34+EIA_RE_aeo2014!J54)*1000</f>
        <v>1581.349071365288</v>
      </c>
      <c r="I13" s="83">
        <f>(EIA_RE_aeo2014!K34+EIA_RE_aeo2014!K54)*1000</f>
        <v>1804.9246705647379</v>
      </c>
      <c r="J13" s="83">
        <f>(EIA_RE_aeo2014!L34+EIA_RE_aeo2014!L54)*1000</f>
        <v>2241.8730218734331</v>
      </c>
      <c r="K13" s="83">
        <f>(EIA_RE_aeo2014!M34+EIA_RE_aeo2014!M54)*1000</f>
        <v>2642.0494261577569</v>
      </c>
      <c r="L13" s="83">
        <f>(EIA_RE_aeo2014!N34+EIA_RE_aeo2014!N54)*1000</f>
        <v>3047.1376231927043</v>
      </c>
      <c r="M13" s="83">
        <f>(EIA_RE_aeo2014!O34+EIA_RE_aeo2014!O54)*1000</f>
        <v>3460.9254950015297</v>
      </c>
      <c r="N13" s="388">
        <f>(EIA_RE_aeo2014!P34+EIA_RE_aeo2014!P54)*1000</f>
        <v>3882.2093662925372</v>
      </c>
      <c r="O13" s="83">
        <f>(EIA_RE_aeo2014!Q34+EIA_RE_aeo2014!Q54)*1000</f>
        <v>4305.3183327663974</v>
      </c>
      <c r="P13" s="83">
        <f>(EIA_RE_aeo2014!R34+EIA_RE_aeo2014!R54)*1000</f>
        <v>4743.8162421589677</v>
      </c>
      <c r="Q13" s="83">
        <f>(EIA_RE_aeo2014!S34+EIA_RE_aeo2014!S54)*1000</f>
        <v>5212.4685734636869</v>
      </c>
      <c r="R13" s="83">
        <f>(EIA_RE_aeo2014!T34+EIA_RE_aeo2014!T54)*1000</f>
        <v>5684.4633266476612</v>
      </c>
      <c r="S13" s="83">
        <f>(EIA_RE_aeo2014!U34+EIA_RE_aeo2014!U54)*1000</f>
        <v>6142.8541926666276</v>
      </c>
      <c r="T13" s="83">
        <f>(EIA_RE_aeo2014!V34+EIA_RE_aeo2014!V54)*1000</f>
        <v>6242.0566393464569</v>
      </c>
      <c r="U13" s="83">
        <f>(EIA_RE_aeo2014!W34+EIA_RE_aeo2014!W54)*1000</f>
        <v>6638.0404815816682</v>
      </c>
      <c r="V13" s="83">
        <f>(EIA_RE_aeo2014!X34+EIA_RE_aeo2014!X54)*1000</f>
        <v>7050.378210434269</v>
      </c>
      <c r="W13" s="83">
        <f>(EIA_RE_aeo2014!Y34+EIA_RE_aeo2014!Y54)*1000</f>
        <v>7440.9969464354745</v>
      </c>
      <c r="X13" s="184">
        <f>(EIA_RE_aeo2014!Z34+EIA_RE_aeo2014!Z54)*1000</f>
        <v>7870.6615867504443</v>
      </c>
      <c r="Y13" s="174">
        <f>(EIA_RE_aeo2014!AA34+EIA_RE_aeo2014!AA54)*1000</f>
        <v>8282.0075486450296</v>
      </c>
      <c r="Z13" s="174">
        <f>(EIA_RE_aeo2014!AB34+EIA_RE_aeo2014!AB54)*1000</f>
        <v>8713.0202321458419</v>
      </c>
      <c r="AA13" s="174">
        <f>(EIA_RE_aeo2014!AC34+EIA_RE_aeo2014!AC54)*1000</f>
        <v>9129.9633691318249</v>
      </c>
      <c r="AB13" s="174">
        <f>(EIA_RE_aeo2014!AD34+EIA_RE_aeo2014!AD54)*1000</f>
        <v>9575.0137754805182</v>
      </c>
      <c r="AC13" s="174">
        <f>(EIA_RE_aeo2014!AE34+EIA_RE_aeo2014!AE54)*1000</f>
        <v>10064.74721574306</v>
      </c>
      <c r="AD13" s="174">
        <f>(EIA_RE_aeo2014!AF34+EIA_RE_aeo2014!AF54)*1000</f>
        <v>10541.326987394863</v>
      </c>
      <c r="AE13" s="174">
        <f>(EIA_RE_aeo2014!AG34+EIA_RE_aeo2014!AG54)*1000</f>
        <v>11045.739526230916</v>
      </c>
      <c r="AF13" s="174">
        <f>(EIA_RE_aeo2014!AH34+EIA_RE_aeo2014!AH54)*1000</f>
        <v>11570.704353661818</v>
      </c>
      <c r="AG13" s="174">
        <f>(EIA_RE_aeo2014!AI34+EIA_RE_aeo2014!AI54)*1000</f>
        <v>12083.091558797183</v>
      </c>
      <c r="AH13" s="174">
        <f>(EIA_RE_aeo2014!AJ34+EIA_RE_aeo2014!AJ54)*1000</f>
        <v>12585.730013085971</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30</v>
      </c>
      <c r="D16" s="330">
        <f>EIA_RE_aeo2014!F78*1000</f>
        <v>135</v>
      </c>
      <c r="E16" s="330">
        <f>EIA_RE_aeo2014!G78*1000</f>
        <v>116.95176300000001</v>
      </c>
      <c r="F16" s="330">
        <f>EIA_RE_aeo2014!H78*1000</f>
        <v>130.81776900000003</v>
      </c>
      <c r="G16" s="330">
        <f>EIA_RE_aeo2014!I78*1000</f>
        <v>140.34269399999999</v>
      </c>
      <c r="H16" s="3">
        <f>EIA_RE_aeo2014!J78*1000</f>
        <v>141.12225900000001</v>
      </c>
      <c r="I16" s="3">
        <f>EIA_RE_aeo2014!K78*1000</f>
        <v>178.11886200000001</v>
      </c>
      <c r="J16" s="3">
        <f>EIA_RE_aeo2014!L78*1000</f>
        <v>202.14192</v>
      </c>
      <c r="K16" s="3">
        <f>EIA_RE_aeo2014!M78*1000</f>
        <v>202.14290999999997</v>
      </c>
      <c r="L16" s="3">
        <f>EIA_RE_aeo2014!N78*1000</f>
        <v>202.11346199999997</v>
      </c>
      <c r="M16" s="3">
        <f>EIA_RE_aeo2014!O78*1000</f>
        <v>202.15088099999997</v>
      </c>
      <c r="N16" s="388">
        <f>EIA_RE_aeo2014!P78*1000</f>
        <v>202.16247000000001</v>
      </c>
      <c r="O16" s="3">
        <f>EIA_RE_aeo2014!Q78*1000</f>
        <v>202.18157399999998</v>
      </c>
      <c r="P16" s="3">
        <f>EIA_RE_aeo2014!R78*1000</f>
        <v>202.26333899999997</v>
      </c>
      <c r="Q16" s="3">
        <f>EIA_RE_aeo2014!S78*1000</f>
        <v>202.24115700000002</v>
      </c>
      <c r="R16" s="3">
        <f>EIA_RE_aeo2014!T78*1000</f>
        <v>202.22922599999998</v>
      </c>
      <c r="S16" s="3">
        <f>EIA_RE_aeo2014!U78*1000</f>
        <v>202.21848299999999</v>
      </c>
      <c r="T16" s="3">
        <f>EIA_RE_aeo2014!V78*1000</f>
        <v>202.24513800000003</v>
      </c>
      <c r="U16" s="3">
        <f>EIA_RE_aeo2014!W78*1000</f>
        <v>202.29363299999997</v>
      </c>
      <c r="V16" s="3">
        <f>EIA_RE_aeo2014!X78*1000</f>
        <v>202.28646599999999</v>
      </c>
      <c r="W16" s="3">
        <f>EIA_RE_aeo2014!Y78*1000</f>
        <v>202.50182100000001</v>
      </c>
      <c r="X16" s="184">
        <f>EIA_RE_aeo2014!Z78*1000</f>
        <v>202.78160400000002</v>
      </c>
      <c r="Y16" s="174">
        <f>EIA_RE_aeo2014!AA78*1000</f>
        <v>203.078643</v>
      </c>
      <c r="Z16" s="174">
        <f>EIA_RE_aeo2014!AB78*1000</f>
        <v>203.40803400000001</v>
      </c>
      <c r="AA16" s="174">
        <f>EIA_RE_aeo2014!AC78*1000</f>
        <v>203.79688800000002</v>
      </c>
      <c r="AB16" s="174">
        <f>EIA_RE_aeo2014!AD78*1000</f>
        <v>204.47139899999999</v>
      </c>
      <c r="AC16" s="174">
        <f>EIA_RE_aeo2014!AE78*1000</f>
        <v>204.79069200000004</v>
      </c>
      <c r="AD16" s="174">
        <f>EIA_RE_aeo2014!AF78*1000</f>
        <v>204.80538899999999</v>
      </c>
      <c r="AE16" s="174">
        <f>EIA_RE_aeo2014!AG78*1000</f>
        <v>205.74440100000001</v>
      </c>
      <c r="AF16" s="174">
        <f>EIA_RE_aeo2014!AH78*1000</f>
        <v>206.44152299999999</v>
      </c>
      <c r="AG16" s="174">
        <f>EIA_RE_aeo2014!AI78*1000</f>
        <v>207.626688</v>
      </c>
      <c r="AH16" s="174">
        <f>EIA_RE_aeo2014!AJ78*1000</f>
        <v>209.58201299999999</v>
      </c>
    </row>
    <row r="17" spans="1:34">
      <c r="A17" s="11" t="s">
        <v>327</v>
      </c>
      <c r="B17" s="36"/>
      <c r="C17" s="330">
        <f t="shared" ref="C17:AH17" si="0">SUM(C7:C16)</f>
        <v>37609.409</v>
      </c>
      <c r="D17" s="330">
        <f t="shared" si="0"/>
        <v>38678.71</v>
      </c>
      <c r="E17" s="330">
        <f t="shared" si="0"/>
        <v>37516.715613841625</v>
      </c>
      <c r="F17" s="330">
        <f t="shared" si="0"/>
        <v>36196.401116503272</v>
      </c>
      <c r="G17" s="330">
        <f t="shared" si="0"/>
        <v>37594.552634703294</v>
      </c>
      <c r="H17" s="3">
        <f t="shared" si="0"/>
        <v>38070.108417775024</v>
      </c>
      <c r="I17" s="3">
        <f t="shared" si="0"/>
        <v>39564.921944948255</v>
      </c>
      <c r="J17" s="3">
        <f t="shared" si="0"/>
        <v>41421.494322593448</v>
      </c>
      <c r="K17" s="3">
        <f t="shared" si="0"/>
        <v>43131.210382877958</v>
      </c>
      <c r="L17" s="3">
        <f t="shared" si="0"/>
        <v>44475.051892009316</v>
      </c>
      <c r="M17" s="3">
        <f t="shared" si="0"/>
        <v>45056.1205489801</v>
      </c>
      <c r="N17" s="388">
        <f t="shared" si="0"/>
        <v>45483.0405184298</v>
      </c>
      <c r="O17" s="3">
        <f t="shared" si="0"/>
        <v>45914.869926958854</v>
      </c>
      <c r="P17" s="3">
        <f t="shared" si="0"/>
        <v>46359.720615556871</v>
      </c>
      <c r="Q17" s="3">
        <f t="shared" si="0"/>
        <v>46891.678184177741</v>
      </c>
      <c r="R17" s="3">
        <f t="shared" si="0"/>
        <v>47370.251256500589</v>
      </c>
      <c r="S17" s="3">
        <f t="shared" si="0"/>
        <v>47849.550436749363</v>
      </c>
      <c r="T17" s="3">
        <f t="shared" si="0"/>
        <v>47971.5100965518</v>
      </c>
      <c r="U17" s="3">
        <f t="shared" si="0"/>
        <v>48382.908223094906</v>
      </c>
      <c r="V17" s="3">
        <f t="shared" si="0"/>
        <v>48859.464553085658</v>
      </c>
      <c r="W17" s="3">
        <f t="shared" si="0"/>
        <v>49332.451796960559</v>
      </c>
      <c r="X17" s="184">
        <f t="shared" si="0"/>
        <v>49831.740087396698</v>
      </c>
      <c r="Y17" s="174">
        <f t="shared" si="0"/>
        <v>50246.304673576167</v>
      </c>
      <c r="Z17" s="174">
        <f t="shared" si="0"/>
        <v>50718.413182646844</v>
      </c>
      <c r="AA17" s="174">
        <f t="shared" si="0"/>
        <v>51139.221084333403</v>
      </c>
      <c r="AB17" s="174">
        <f t="shared" si="0"/>
        <v>51589.116112415293</v>
      </c>
      <c r="AC17" s="174">
        <f t="shared" si="0"/>
        <v>52118.309053137891</v>
      </c>
      <c r="AD17" s="174">
        <f t="shared" si="0"/>
        <v>52624.039981830079</v>
      </c>
      <c r="AE17" s="174">
        <f t="shared" si="0"/>
        <v>53134.869690611398</v>
      </c>
      <c r="AF17" s="174">
        <f t="shared" si="0"/>
        <v>53688.327536768556</v>
      </c>
      <c r="AG17" s="174">
        <f t="shared" si="0"/>
        <v>54207.121823586887</v>
      </c>
      <c r="AH17" s="174">
        <f t="shared" si="0"/>
        <v>54716.416317707786</v>
      </c>
    </row>
    <row r="18" spans="1:34">
      <c r="A18" s="10" t="s">
        <v>126</v>
      </c>
      <c r="B18" s="37"/>
      <c r="C18" s="331">
        <f t="shared" ref="C18:AH18" si="1">SUMPRODUCT($B7:$B16,C7:C16)</f>
        <v>520.41899999999987</v>
      </c>
      <c r="D18" s="331">
        <f t="shared" si="1"/>
        <v>856.72</v>
      </c>
      <c r="E18" s="331">
        <f t="shared" si="1"/>
        <v>1112.6702041372714</v>
      </c>
      <c r="F18" s="331">
        <f t="shared" si="1"/>
        <v>1478.991727503153</v>
      </c>
      <c r="G18" s="331">
        <f t="shared" si="1"/>
        <v>1661.7423777167269</v>
      </c>
      <c r="H18" s="14">
        <f t="shared" si="1"/>
        <v>1864.7072842901594</v>
      </c>
      <c r="I18" s="14">
        <f t="shared" si="1"/>
        <v>2124.0197752066406</v>
      </c>
      <c r="J18" s="14">
        <f t="shared" si="1"/>
        <v>2598.6293771526553</v>
      </c>
      <c r="K18" s="14">
        <f t="shared" si="1"/>
        <v>3007.4247097625016</v>
      </c>
      <c r="L18" s="14">
        <f t="shared" si="1"/>
        <v>3417.2198548166266</v>
      </c>
      <c r="M18" s="14">
        <f t="shared" si="1"/>
        <v>3835.099994652629</v>
      </c>
      <c r="N18" s="190">
        <f t="shared" si="1"/>
        <v>4262.0213543404534</v>
      </c>
      <c r="O18" s="14">
        <f t="shared" si="1"/>
        <v>4693.8487228695212</v>
      </c>
      <c r="P18" s="14">
        <f t="shared" si="1"/>
        <v>5138.7056347214957</v>
      </c>
      <c r="Q18" s="14">
        <f t="shared" si="1"/>
        <v>5623.8913400884057</v>
      </c>
      <c r="R18" s="14">
        <f t="shared" si="1"/>
        <v>6102.468632173126</v>
      </c>
      <c r="S18" s="14">
        <f t="shared" si="1"/>
        <v>6581.6979783371617</v>
      </c>
      <c r="T18" s="14">
        <f t="shared" si="1"/>
        <v>6685.9488357164155</v>
      </c>
      <c r="U18" s="14">
        <f t="shared" si="1"/>
        <v>7086.6751455134872</v>
      </c>
      <c r="V18" s="14">
        <f t="shared" si="1"/>
        <v>7502.8136455042331</v>
      </c>
      <c r="W18" s="14">
        <f t="shared" si="1"/>
        <v>7916.7826328712235</v>
      </c>
      <c r="X18" s="187">
        <f t="shared" si="1"/>
        <v>8350.2173798152799</v>
      </c>
      <c r="Y18" s="14">
        <f t="shared" si="1"/>
        <v>8764.7807759947427</v>
      </c>
      <c r="Z18" s="14">
        <f t="shared" si="1"/>
        <v>9198.691541811455</v>
      </c>
      <c r="AA18" s="14">
        <f t="shared" si="1"/>
        <v>9619.4982566329163</v>
      </c>
      <c r="AB18" s="14">
        <f t="shared" si="1"/>
        <v>10069.392874833875</v>
      </c>
      <c r="AC18" s="14">
        <f t="shared" si="1"/>
        <v>10562.333279048553</v>
      </c>
      <c r="AD18" s="14">
        <f t="shared" si="1"/>
        <v>11042.954697740748</v>
      </c>
      <c r="AE18" s="14">
        <f t="shared" si="1"/>
        <v>11553.78100652206</v>
      </c>
      <c r="AF18" s="14">
        <f t="shared" si="1"/>
        <v>12084.457322679224</v>
      </c>
      <c r="AG18" s="14">
        <f t="shared" si="1"/>
        <v>12603.252326005471</v>
      </c>
      <c r="AH18" s="14">
        <f t="shared" si="1"/>
        <v>13112.545970126359</v>
      </c>
    </row>
    <row r="19" spans="1:34">
      <c r="A19" s="10" t="s">
        <v>112</v>
      </c>
      <c r="B19" s="37"/>
      <c r="C19" s="332">
        <f t="shared" ref="C19:AH19" si="2">C18/C4</f>
        <v>4.6547856497589505E-3</v>
      </c>
      <c r="D19" s="332">
        <f t="shared" si="2"/>
        <v>7.6806942676301308E-3</v>
      </c>
      <c r="E19" s="332">
        <f t="shared" si="2"/>
        <v>9.7492534431556453E-3</v>
      </c>
      <c r="F19" s="332">
        <f t="shared" si="2"/>
        <v>1.2843748702302846E-2</v>
      </c>
      <c r="G19" s="332">
        <f t="shared" si="2"/>
        <v>1.4394393756372043E-2</v>
      </c>
      <c r="H19" s="23">
        <f t="shared" si="2"/>
        <v>1.5920039918936812E-2</v>
      </c>
      <c r="I19" s="23">
        <f t="shared" si="2"/>
        <v>1.7652848582865598E-2</v>
      </c>
      <c r="J19" s="23">
        <f t="shared" si="2"/>
        <v>2.0865327726023751E-2</v>
      </c>
      <c r="K19" s="23">
        <f t="shared" si="2"/>
        <v>2.3905044615809144E-2</v>
      </c>
      <c r="L19" s="23">
        <f t="shared" si="2"/>
        <v>2.6915741338849976E-2</v>
      </c>
      <c r="M19" s="23">
        <f t="shared" si="2"/>
        <v>2.99199425123211E-2</v>
      </c>
      <c r="N19" s="183">
        <f t="shared" si="2"/>
        <v>3.2935867737369312E-2</v>
      </c>
      <c r="O19" s="23">
        <f t="shared" si="2"/>
        <v>3.5978897208486585E-2</v>
      </c>
      <c r="P19" s="23">
        <f t="shared" si="2"/>
        <v>3.8997569290902472E-2</v>
      </c>
      <c r="Q19" s="23">
        <f t="shared" si="2"/>
        <v>4.2079096896576323E-2</v>
      </c>
      <c r="R19" s="23">
        <f t="shared" si="2"/>
        <v>4.5089250602569374E-2</v>
      </c>
      <c r="S19" s="23">
        <f t="shared" si="2"/>
        <v>4.8215572320760458E-2</v>
      </c>
      <c r="T19" s="23">
        <f t="shared" si="2"/>
        <v>4.862837565400116E-2</v>
      </c>
      <c r="U19" s="23">
        <f t="shared" si="2"/>
        <v>5.1157309445198251E-2</v>
      </c>
      <c r="V19" s="23">
        <f t="shared" si="2"/>
        <v>5.3674226163651244E-2</v>
      </c>
      <c r="W19" s="23">
        <f t="shared" si="2"/>
        <v>5.634250588048606E-2</v>
      </c>
      <c r="X19" s="185">
        <f t="shared" si="2"/>
        <v>5.8855348714762175E-2</v>
      </c>
      <c r="Y19" s="172">
        <f t="shared" si="2"/>
        <v>6.1374703712967098E-2</v>
      </c>
      <c r="Z19" s="172">
        <f t="shared" si="2"/>
        <v>6.3886020970704963E-2</v>
      </c>
      <c r="AA19" s="172">
        <f t="shared" si="2"/>
        <v>6.6411502582705645E-2</v>
      </c>
      <c r="AB19" s="172">
        <f t="shared" si="2"/>
        <v>6.8935211159354345E-2</v>
      </c>
      <c r="AC19" s="172">
        <f t="shared" si="2"/>
        <v>7.143479211215796E-2</v>
      </c>
      <c r="AD19" s="172">
        <f t="shared" si="2"/>
        <v>7.3947462412059281E-2</v>
      </c>
      <c r="AE19" s="172">
        <f t="shared" si="2"/>
        <v>7.6469759970714091E-2</v>
      </c>
      <c r="AF19" s="172">
        <f t="shared" si="2"/>
        <v>7.8983980204886256E-2</v>
      </c>
      <c r="AG19" s="172">
        <f t="shared" si="2"/>
        <v>8.150897928179468E-2</v>
      </c>
      <c r="AH19" s="172">
        <f t="shared" si="2"/>
        <v>8.4040239931616342E-2</v>
      </c>
    </row>
    <row r="20" spans="1:34">
      <c r="A20" s="10" t="s">
        <v>142</v>
      </c>
      <c r="B20" s="37"/>
      <c r="C20" s="331">
        <f>EIA_electricity_aeo2014!E49*1000</f>
        <v>39707</v>
      </c>
      <c r="D20" s="331">
        <f>EIA_electricity_aeo2014!F49*1000</f>
        <v>43644</v>
      </c>
      <c r="E20" s="331">
        <f>EIA_electricity_aeo2014!G49*1000</f>
        <v>40704.651223884561</v>
      </c>
      <c r="F20" s="331">
        <f>EIA_electricity_aeo2014!H49*1000</f>
        <v>35066.815084048343</v>
      </c>
      <c r="G20" s="331">
        <f>EIA_electricity_aeo2014!I49*1000</f>
        <v>37496.509860781429</v>
      </c>
      <c r="H20" s="14">
        <f>EIA_electricity_aeo2014!J49*1000</f>
        <v>38625.49311063841</v>
      </c>
      <c r="I20" s="14">
        <f>EIA_electricity_aeo2014!K49*1000</f>
        <v>36604.565789639462</v>
      </c>
      <c r="J20" s="14">
        <f>EIA_electricity_aeo2014!L49*1000</f>
        <v>35169.920872993272</v>
      </c>
      <c r="K20" s="14">
        <f>EIA_electricity_aeo2014!M49*1000</f>
        <v>37024.42080938672</v>
      </c>
      <c r="L20" s="14">
        <f>EIA_electricity_aeo2014!N49*1000</f>
        <v>37692.112976703444</v>
      </c>
      <c r="M20" s="14">
        <f>EIA_electricity_aeo2014!O49*1000</f>
        <v>38036.516445646092</v>
      </c>
      <c r="N20" s="190">
        <f>EIA_electricity_aeo2014!P49*1000</f>
        <v>37939.251158444225</v>
      </c>
      <c r="O20" s="14">
        <f>EIA_electricity_aeo2014!Q49*1000</f>
        <v>38257.094270080044</v>
      </c>
      <c r="P20" s="14">
        <f>EIA_electricity_aeo2014!R49*1000</f>
        <v>38553.762654555117</v>
      </c>
      <c r="Q20" s="14">
        <f>EIA_electricity_aeo2014!S49*1000</f>
        <v>38570.310054462119</v>
      </c>
      <c r="R20" s="14">
        <f>EIA_electricity_aeo2014!T49*1000</f>
        <v>39069.38803921736</v>
      </c>
      <c r="S20" s="14">
        <f>EIA_electricity_aeo2014!U49*1000</f>
        <v>39453.328096551173</v>
      </c>
      <c r="T20" s="14">
        <f>EIA_electricity_aeo2014!V49*1000</f>
        <v>39425.373731267558</v>
      </c>
      <c r="U20" s="14">
        <f>EIA_electricity_aeo2014!W49*1000</f>
        <v>39433.649530734328</v>
      </c>
      <c r="V20" s="14">
        <f>EIA_electricity_aeo2014!X49*1000</f>
        <v>39428.054706462455</v>
      </c>
      <c r="W20" s="14">
        <f>EIA_electricity_aeo2014!Y49*1000</f>
        <v>39282.529869493737</v>
      </c>
      <c r="X20" s="187">
        <f>EIA_electricity_aeo2014!Z49*1000</f>
        <v>39314.737297976513</v>
      </c>
      <c r="Y20" s="14">
        <f>EIA_electricity_aeo2014!AA49*1000</f>
        <v>39297.281669278556</v>
      </c>
      <c r="Z20" s="14">
        <f>EIA_electricity_aeo2014!AB49*1000</f>
        <v>39284.174166987279</v>
      </c>
      <c r="AA20" s="14">
        <f>EIA_electricity_aeo2014!AC49*1000</f>
        <v>39244.773737194613</v>
      </c>
      <c r="AB20" s="14">
        <f>EIA_electricity_aeo2014!AD49*1000</f>
        <v>39212.466220439739</v>
      </c>
      <c r="AC20" s="14">
        <f>EIA_electricity_aeo2014!AE49*1000</f>
        <v>39177.337577374426</v>
      </c>
      <c r="AD20" s="14">
        <f>EIA_electricity_aeo2014!AF49*1000</f>
        <v>39142.478979901578</v>
      </c>
      <c r="AE20" s="14">
        <f>EIA_electricity_aeo2014!AG49*1000</f>
        <v>39109.815578437789</v>
      </c>
      <c r="AF20" s="14">
        <f>EIA_electricity_aeo2014!AH49*1000</f>
        <v>39076.852738195732</v>
      </c>
      <c r="AG20" s="14">
        <f>EIA_electricity_aeo2014!AI49*1000</f>
        <v>39076.542560923335</v>
      </c>
      <c r="AH20" s="14">
        <f>EIA_electricity_aeo2014!AJ49*1000</f>
        <v>39076.032551289238</v>
      </c>
    </row>
    <row r="21" spans="1:34">
      <c r="A21" s="10" t="s">
        <v>222</v>
      </c>
      <c r="B21" s="37"/>
      <c r="C21" s="331">
        <f>EIA_electricity_aeo2014!E51*1000</f>
        <v>34739</v>
      </c>
      <c r="D21" s="331">
        <f>EIA_electricity_aeo2014!F51*1000</f>
        <v>29676</v>
      </c>
      <c r="E21" s="331">
        <f>EIA_electricity_aeo2014!G51*1000</f>
        <v>35806.955270221355</v>
      </c>
      <c r="F21" s="331">
        <f>EIA_electricity_aeo2014!H51*1000</f>
        <v>42572.068144681667</v>
      </c>
      <c r="G21" s="331">
        <f>EIA_electricity_aeo2014!I51*1000</f>
        <v>38004.8014144927</v>
      </c>
      <c r="H21" s="14">
        <f>EIA_electricity_aeo2014!J51*1000</f>
        <v>36223.188887029966</v>
      </c>
      <c r="I21" s="14">
        <f>EIA_electricity_aeo2014!K51*1000</f>
        <v>39081.043844637745</v>
      </c>
      <c r="J21" s="14">
        <f>EIA_electricity_aeo2014!L51*1000</f>
        <v>42646.285862391451</v>
      </c>
      <c r="K21" s="14">
        <f>EIA_electricity_aeo2014!M51*1000</f>
        <v>40734.510084072077</v>
      </c>
      <c r="L21" s="14">
        <f>EIA_electricity_aeo2014!N51*1000</f>
        <v>40241.803727443497</v>
      </c>
      <c r="M21" s="14">
        <f>EIA_electricity_aeo2014!O51*1000</f>
        <v>40905.160588722109</v>
      </c>
      <c r="N21" s="190">
        <f>EIA_electricity_aeo2014!P51*1000</f>
        <v>42147.5403645025</v>
      </c>
      <c r="O21" s="14">
        <f>EIA_electricity_aeo2014!Q51*1000</f>
        <v>42787.168277505829</v>
      </c>
      <c r="P21" s="14">
        <f>EIA_electricity_aeo2014!R51*1000</f>
        <v>43686.098369854248</v>
      </c>
      <c r="Q21" s="14">
        <f>EIA_electricity_aeo2014!S51*1000</f>
        <v>45359.690986426795</v>
      </c>
      <c r="R21" s="14">
        <f>EIA_electricity_aeo2014!T51*1000</f>
        <v>46390.340658873843</v>
      </c>
      <c r="S21" s="14">
        <f>EIA_electricity_aeo2014!U51*1000</f>
        <v>46950.027108082788</v>
      </c>
      <c r="T21" s="14">
        <f>EIA_electricity_aeo2014!V51*1000</f>
        <v>47710.424675163275</v>
      </c>
      <c r="U21" s="14">
        <f>EIA_electricity_aeo2014!W51*1000</f>
        <v>48452.92107418416</v>
      </c>
      <c r="V21" s="14">
        <f>EIA_electricity_aeo2014!X51*1000</f>
        <v>49320.236092945677</v>
      </c>
      <c r="W21" s="14">
        <f>EIA_electricity_aeo2014!Y51*1000</f>
        <v>49725.57282423076</v>
      </c>
      <c r="X21" s="187">
        <f>EIA_electricity_aeo2014!Z51*1000</f>
        <v>50499.210225139555</v>
      </c>
      <c r="Y21" s="14">
        <f>EIA_electricity_aeo2014!AA51*1000</f>
        <v>50831.396634239136</v>
      </c>
      <c r="Z21" s="14">
        <f>EIA_electricity_aeo2014!AB51*1000</f>
        <v>51388.262325691088</v>
      </c>
      <c r="AA21" s="14">
        <f>EIA_electricity_aeo2014!AC51*1000</f>
        <v>51790.229828432464</v>
      </c>
      <c r="AB21" s="14">
        <f>EIA_electricity_aeo2014!AD51*1000</f>
        <v>52347.006436766213</v>
      </c>
      <c r="AC21" s="14">
        <f>EIA_electricity_aeo2014!AE51*1000</f>
        <v>53226.668144326723</v>
      </c>
      <c r="AD21" s="14">
        <f>EIA_electricity_aeo2014!AF51*1000</f>
        <v>54012.982046258359</v>
      </c>
      <c r="AE21" s="14">
        <f>EIA_electricity_aeo2014!AG51*1000</f>
        <v>55259.562166707292</v>
      </c>
      <c r="AF21" s="14">
        <f>EIA_electricity_aeo2014!AH51*1000</f>
        <v>56641.40454534642</v>
      </c>
      <c r="AG21" s="14">
        <f>EIA_electricity_aeo2014!AI51*1000</f>
        <v>57712.805606147136</v>
      </c>
      <c r="AH21" s="14">
        <f>EIA_electricity_aeo2014!AJ51*1000</f>
        <v>58546.04958047939</v>
      </c>
    </row>
    <row r="22" spans="1:34">
      <c r="A22" s="10" t="s">
        <v>350</v>
      </c>
      <c r="B22" s="37"/>
      <c r="C22" s="330">
        <f>SUM(C17,C20:C21)</f>
        <v>112055.409</v>
      </c>
      <c r="D22" s="330">
        <f t="shared" ref="D22:AH22" si="3">SUM(D17,D20:D21)</f>
        <v>111998.70999999999</v>
      </c>
      <c r="E22" s="330">
        <f t="shared" si="3"/>
        <v>114028.32210794753</v>
      </c>
      <c r="F22" s="330">
        <f t="shared" si="3"/>
        <v>113835.28434523329</v>
      </c>
      <c r="G22" s="330">
        <f t="shared" si="3"/>
        <v>113095.86390997742</v>
      </c>
      <c r="H22" s="79">
        <f t="shared" si="3"/>
        <v>112918.79041544339</v>
      </c>
      <c r="I22" s="79">
        <f t="shared" si="3"/>
        <v>115250.53157922547</v>
      </c>
      <c r="J22" s="79">
        <f t="shared" si="3"/>
        <v>119237.70105797816</v>
      </c>
      <c r="K22" s="79">
        <f t="shared" si="3"/>
        <v>120890.14127633674</v>
      </c>
      <c r="L22" s="79">
        <f t="shared" si="3"/>
        <v>122408.96859615625</v>
      </c>
      <c r="M22" s="79">
        <f t="shared" si="3"/>
        <v>123997.79758334831</v>
      </c>
      <c r="N22" s="388">
        <f t="shared" si="3"/>
        <v>125569.83204137653</v>
      </c>
      <c r="O22" s="79">
        <f t="shared" si="3"/>
        <v>126959.13247454473</v>
      </c>
      <c r="P22" s="79">
        <f t="shared" si="3"/>
        <v>128599.58163996623</v>
      </c>
      <c r="Q22" s="79">
        <f t="shared" si="3"/>
        <v>130821.67922506666</v>
      </c>
      <c r="R22" s="79">
        <f t="shared" si="3"/>
        <v>132829.97995459178</v>
      </c>
      <c r="S22" s="79">
        <f t="shared" si="3"/>
        <v>134252.90564138332</v>
      </c>
      <c r="T22" s="79">
        <f t="shared" si="3"/>
        <v>135107.30850298263</v>
      </c>
      <c r="U22" s="79">
        <f t="shared" si="3"/>
        <v>136269.47882801338</v>
      </c>
      <c r="V22" s="79">
        <f t="shared" si="3"/>
        <v>137607.75535249378</v>
      </c>
      <c r="W22" s="79">
        <f t="shared" si="3"/>
        <v>138340.55449068506</v>
      </c>
      <c r="X22" s="184">
        <f t="shared" si="3"/>
        <v>139645.68761051277</v>
      </c>
      <c r="Y22" s="174">
        <f t="shared" si="3"/>
        <v>140374.98297709384</v>
      </c>
      <c r="Z22" s="174">
        <f t="shared" si="3"/>
        <v>141390.84967532521</v>
      </c>
      <c r="AA22" s="174">
        <f t="shared" si="3"/>
        <v>142174.22464996047</v>
      </c>
      <c r="AB22" s="174">
        <f t="shared" si="3"/>
        <v>143148.58876962124</v>
      </c>
      <c r="AC22" s="174">
        <f t="shared" si="3"/>
        <v>144522.31477483903</v>
      </c>
      <c r="AD22" s="174">
        <f t="shared" si="3"/>
        <v>145779.50100799004</v>
      </c>
      <c r="AE22" s="174">
        <f t="shared" si="3"/>
        <v>147504.24743575649</v>
      </c>
      <c r="AF22" s="174">
        <f t="shared" si="3"/>
        <v>149406.5848203107</v>
      </c>
      <c r="AG22" s="174">
        <f t="shared" si="3"/>
        <v>150996.46999065735</v>
      </c>
      <c r="AH22" s="174">
        <f t="shared" si="3"/>
        <v>152338.49844947641</v>
      </c>
    </row>
    <row r="23" spans="1:34">
      <c r="A23" s="10" t="s">
        <v>328</v>
      </c>
      <c r="B23" s="37"/>
      <c r="C23" s="330">
        <f>EIA_electricity_aeo2014!E50*1000+EIA_electricity_aeo2014!E55*1000</f>
        <v>65</v>
      </c>
      <c r="D23" s="330">
        <f>EIA_electricity_aeo2014!F50*1000+EIA_electricity_aeo2014!F55*1000</f>
        <v>81</v>
      </c>
      <c r="E23" s="330">
        <f>EIA_electricity_aeo2014!G50*1000+EIA_electricity_aeo2014!G55*1000</f>
        <v>62.126389236976649</v>
      </c>
      <c r="F23" s="330">
        <f>EIA_electricity_aeo2014!H50*1000+EIA_electricity_aeo2014!H55*1000</f>
        <v>40.415153777458755</v>
      </c>
      <c r="G23" s="330">
        <f>EIA_electricity_aeo2014!I50*1000+EIA_electricity_aeo2014!I55*1000</f>
        <v>28.142793096447345</v>
      </c>
      <c r="H23" s="330">
        <f>EIA_electricity_aeo2014!J50*1000+EIA_electricity_aeo2014!J55*1000</f>
        <v>28.587641734471568</v>
      </c>
      <c r="I23" s="330">
        <f>EIA_electricity_aeo2014!K50*1000+EIA_electricity_aeo2014!K55*1000</f>
        <v>27.624689594535678</v>
      </c>
      <c r="J23" s="330">
        <f>EIA_electricity_aeo2014!L50*1000+EIA_electricity_aeo2014!L55*1000</f>
        <v>26.258570500128258</v>
      </c>
      <c r="K23" s="330">
        <f>EIA_electricity_aeo2014!M50*1000+EIA_electricity_aeo2014!M55*1000</f>
        <v>14.636673567005563</v>
      </c>
      <c r="L23" s="330">
        <f>EIA_electricity_aeo2014!N50*1000+EIA_electricity_aeo2014!N55*1000</f>
        <v>14.940182793049296</v>
      </c>
      <c r="M23" s="330">
        <f>EIA_electricity_aeo2014!O50*1000+EIA_electricity_aeo2014!O55*1000</f>
        <v>15.103774504509463</v>
      </c>
      <c r="N23" s="330">
        <f>EIA_electricity_aeo2014!P50*1000+EIA_electricity_aeo2014!P55*1000</f>
        <v>15.081655879389704</v>
      </c>
      <c r="O23" s="330">
        <f>EIA_electricity_aeo2014!Q50*1000+EIA_electricity_aeo2014!Q55*1000</f>
        <v>15.254805688257141</v>
      </c>
      <c r="P23" s="330">
        <f>EIA_electricity_aeo2014!R50*1000+EIA_electricity_aeo2014!R55*1000</f>
        <v>15.382907113550816</v>
      </c>
      <c r="Q23" s="330">
        <f>EIA_electricity_aeo2014!S50*1000+EIA_electricity_aeo2014!S55*1000</f>
        <v>15.468545601133677</v>
      </c>
      <c r="R23" s="330">
        <f>EIA_electricity_aeo2014!T50*1000+EIA_electricity_aeo2014!T55*1000</f>
        <v>15.705180766418804</v>
      </c>
      <c r="S23" s="330">
        <f>EIA_electricity_aeo2014!U50*1000+EIA_electricity_aeo2014!U55*1000</f>
        <v>15.973110541704523</v>
      </c>
      <c r="T23" s="330">
        <f>EIA_electricity_aeo2014!V50*1000+EIA_electricity_aeo2014!V55*1000</f>
        <v>15.787796315121833</v>
      </c>
      <c r="U23" s="330">
        <f>EIA_electricity_aeo2014!W50*1000+EIA_electricity_aeo2014!W55*1000</f>
        <v>15.741274810946436</v>
      </c>
      <c r="V23" s="330">
        <f>EIA_electricity_aeo2014!X50*1000+EIA_electricity_aeo2014!X55*1000</f>
        <v>15.752500095028513</v>
      </c>
      <c r="W23" s="330">
        <f>EIA_electricity_aeo2014!Y50*1000+EIA_electricity_aeo2014!Y55*1000</f>
        <v>15.738563796191945</v>
      </c>
      <c r="X23" s="330">
        <f>EIA_electricity_aeo2014!Z50*1000+EIA_electricity_aeo2014!Z55*1000</f>
        <v>15.761886145181563</v>
      </c>
      <c r="Y23" s="330">
        <f>EIA_electricity_aeo2014!AA50*1000+EIA_electricity_aeo2014!AA55*1000</f>
        <v>15.76068197227915</v>
      </c>
      <c r="Z23" s="330">
        <f>EIA_electricity_aeo2014!AB50*1000+EIA_electricity_aeo2014!AB55*1000</f>
        <v>15.75818251359998</v>
      </c>
      <c r="AA23" s="330">
        <f>EIA_electricity_aeo2014!AC50*1000+EIA_electricity_aeo2014!AC55*1000</f>
        <v>15.74066133348671</v>
      </c>
      <c r="AB23" s="330">
        <f>EIA_electricity_aeo2014!AD50*1000+EIA_electricity_aeo2014!AD55*1000</f>
        <v>15.727111865415656</v>
      </c>
      <c r="AC23" s="330">
        <f>EIA_electricity_aeo2014!AE50*1000+EIA_electricity_aeo2014!AE55*1000</f>
        <v>15.712324847553056</v>
      </c>
      <c r="AD23" s="330">
        <f>EIA_electricity_aeo2014!AF50*1000+EIA_electricity_aeo2014!AF55*1000</f>
        <v>15.698189552754304</v>
      </c>
      <c r="AE23" s="330">
        <f>EIA_electricity_aeo2014!AG50*1000+EIA_electricity_aeo2014!AG55*1000</f>
        <v>15.687329657508361</v>
      </c>
      <c r="AF23" s="330">
        <f>EIA_electricity_aeo2014!AH50*1000+EIA_electricity_aeo2014!AH55*1000</f>
        <v>15.671271660868957</v>
      </c>
      <c r="AG23" s="330">
        <f>EIA_electricity_aeo2014!AI50*1000+EIA_electricity_aeo2014!AI55*1000</f>
        <v>15.670057574894791</v>
      </c>
      <c r="AH23" s="330">
        <f>EIA_electricity_aeo2014!AJ50*1000+EIA_electricity_aeo2014!AJ55*1000</f>
        <v>15.672115937214727</v>
      </c>
    </row>
    <row r="24" spans="1:34">
      <c r="A24" s="10" t="s">
        <v>345</v>
      </c>
      <c r="B24" s="37"/>
      <c r="C24" s="330">
        <f>SUM(C22:C23)</f>
        <v>112120.409</v>
      </c>
      <c r="D24" s="330">
        <f t="shared" ref="D24:AH24" si="4">SUM(D22:D23)</f>
        <v>112079.70999999999</v>
      </c>
      <c r="E24" s="330">
        <f t="shared" si="4"/>
        <v>114090.44849718451</v>
      </c>
      <c r="F24" s="330">
        <f t="shared" si="4"/>
        <v>113875.69949901075</v>
      </c>
      <c r="G24" s="330">
        <f t="shared" si="4"/>
        <v>113124.00670307386</v>
      </c>
      <c r="H24" s="83">
        <f t="shared" si="4"/>
        <v>112947.37805717786</v>
      </c>
      <c r="I24" s="83">
        <f t="shared" si="4"/>
        <v>115278.15626882001</v>
      </c>
      <c r="J24" s="83">
        <f t="shared" si="4"/>
        <v>119263.95962847829</v>
      </c>
      <c r="K24" s="83">
        <f t="shared" si="4"/>
        <v>120904.77794990374</v>
      </c>
      <c r="L24" s="83">
        <f t="shared" si="4"/>
        <v>122423.90877894931</v>
      </c>
      <c r="M24" s="83">
        <f t="shared" si="4"/>
        <v>124012.90135785281</v>
      </c>
      <c r="N24" s="388">
        <f t="shared" si="4"/>
        <v>125584.91369725592</v>
      </c>
      <c r="O24" s="83">
        <f t="shared" si="4"/>
        <v>126974.38728023299</v>
      </c>
      <c r="P24" s="83">
        <f t="shared" si="4"/>
        <v>128614.96454707978</v>
      </c>
      <c r="Q24" s="83">
        <f t="shared" si="4"/>
        <v>130837.1477706678</v>
      </c>
      <c r="R24" s="83">
        <f t="shared" si="4"/>
        <v>132845.68513535819</v>
      </c>
      <c r="S24" s="83">
        <f t="shared" si="4"/>
        <v>134268.87875192502</v>
      </c>
      <c r="T24" s="83">
        <f t="shared" si="4"/>
        <v>135123.09629929776</v>
      </c>
      <c r="U24" s="83">
        <f t="shared" si="4"/>
        <v>136285.22010282433</v>
      </c>
      <c r="V24" s="83">
        <f t="shared" si="4"/>
        <v>137623.50785258881</v>
      </c>
      <c r="W24" s="83">
        <f t="shared" si="4"/>
        <v>138356.29305448124</v>
      </c>
      <c r="X24" s="184">
        <f t="shared" si="4"/>
        <v>139661.44949665797</v>
      </c>
      <c r="Y24" s="174">
        <f t="shared" si="4"/>
        <v>140390.74365906612</v>
      </c>
      <c r="Z24" s="174">
        <f t="shared" si="4"/>
        <v>141406.6078578388</v>
      </c>
      <c r="AA24" s="174">
        <f t="shared" si="4"/>
        <v>142189.96531129396</v>
      </c>
      <c r="AB24" s="174">
        <f t="shared" si="4"/>
        <v>143164.31588148666</v>
      </c>
      <c r="AC24" s="174">
        <f t="shared" si="4"/>
        <v>144538.02709968659</v>
      </c>
      <c r="AD24" s="174">
        <f t="shared" si="4"/>
        <v>145795.1991975428</v>
      </c>
      <c r="AE24" s="174">
        <f t="shared" si="4"/>
        <v>147519.93476541401</v>
      </c>
      <c r="AF24" s="174">
        <f t="shared" si="4"/>
        <v>149422.25609197156</v>
      </c>
      <c r="AG24" s="174">
        <f t="shared" si="4"/>
        <v>151012.14004823225</v>
      </c>
      <c r="AH24" s="174">
        <f t="shared" si="4"/>
        <v>152354.17056541363</v>
      </c>
    </row>
    <row r="25" spans="1:34">
      <c r="A25" s="10" t="s">
        <v>346</v>
      </c>
      <c r="B25" s="37"/>
      <c r="C25" s="332">
        <f t="shared" ref="C25:AH25" si="5">C24/C4-1</f>
        <v>2.8390025312381439E-3</v>
      </c>
      <c r="D25" s="332">
        <f t="shared" si="5"/>
        <v>4.8206953434579702E-3</v>
      </c>
      <c r="E25" s="332">
        <f t="shared" si="5"/>
        <v>-3.3568463821054273E-4</v>
      </c>
      <c r="F25" s="332">
        <f t="shared" si="5"/>
        <v>-1.1089216750788E-2</v>
      </c>
      <c r="G25" s="332">
        <f t="shared" si="5"/>
        <v>-2.0093898056623649E-2</v>
      </c>
      <c r="H25" s="82">
        <f t="shared" si="5"/>
        <v>-3.5705613123072633E-2</v>
      </c>
      <c r="I25" s="82">
        <f t="shared" si="5"/>
        <v>-4.1916717876405163E-2</v>
      </c>
      <c r="J25" s="82">
        <f t="shared" si="5"/>
        <v>-4.2386873083794629E-2</v>
      </c>
      <c r="K25" s="82">
        <f t="shared" si="5"/>
        <v>-3.8967093083041804E-2</v>
      </c>
      <c r="L25" s="82">
        <f t="shared" si="5"/>
        <v>-3.5727754612971396E-2</v>
      </c>
      <c r="M25" s="82">
        <f t="shared" si="5"/>
        <v>-3.250009528130049E-2</v>
      </c>
      <c r="N25" s="199">
        <f t="shared" si="5"/>
        <v>-2.9510233887168225E-2</v>
      </c>
      <c r="O25" s="82">
        <f t="shared" si="5"/>
        <v>-2.6726531298767453E-2</v>
      </c>
      <c r="P25" s="82">
        <f t="shared" si="5"/>
        <v>-2.3942730270140267E-2</v>
      </c>
      <c r="Q25" s="82">
        <f t="shared" si="5"/>
        <v>-2.1049894853220841E-2</v>
      </c>
      <c r="R25" s="82">
        <f t="shared" si="5"/>
        <v>-1.8444378893079705E-2</v>
      </c>
      <c r="S25" s="82">
        <f t="shared" si="5"/>
        <v>-1.638591512422316E-2</v>
      </c>
      <c r="T25" s="82">
        <f t="shared" si="5"/>
        <v>-1.7220016510947955E-2</v>
      </c>
      <c r="U25" s="82">
        <f t="shared" si="5"/>
        <v>-1.6183889560530962E-2</v>
      </c>
      <c r="V25" s="82">
        <f t="shared" si="5"/>
        <v>-1.5457982174306495E-2</v>
      </c>
      <c r="W25" s="82">
        <f t="shared" si="5"/>
        <v>-1.5339865129379904E-2</v>
      </c>
      <c r="X25" s="185">
        <f t="shared" si="5"/>
        <v>-1.5615649479440719E-2</v>
      </c>
      <c r="Y25" s="172">
        <f t="shared" si="5"/>
        <v>-1.692460811829144E-2</v>
      </c>
      <c r="Z25" s="172">
        <f t="shared" si="5"/>
        <v>-1.7914072459142671E-2</v>
      </c>
      <c r="AA25" s="172">
        <f t="shared" si="5"/>
        <v>-1.8342849431406072E-2</v>
      </c>
      <c r="AB25" s="172">
        <f t="shared" si="5"/>
        <v>-1.9894995810498584E-2</v>
      </c>
      <c r="AC25" s="172">
        <f t="shared" si="5"/>
        <v>-2.2465619538030945E-2</v>
      </c>
      <c r="AD25" s="172">
        <f t="shared" si="5"/>
        <v>-2.3704677994858758E-2</v>
      </c>
      <c r="AE25" s="172">
        <f t="shared" si="5"/>
        <v>-2.3625772719888083E-2</v>
      </c>
      <c r="AF25" s="172">
        <f t="shared" si="5"/>
        <v>-2.3376540443511229E-2</v>
      </c>
      <c r="AG25" s="172">
        <f t="shared" si="5"/>
        <v>-2.3359599879402171E-2</v>
      </c>
      <c r="AH25" s="172">
        <f t="shared" si="5"/>
        <v>-2.3539663611461314E-2</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0.26324942017874065</v>
      </c>
      <c r="D28" s="332">
        <f t="shared" si="6"/>
        <v>0.16341395088243532</v>
      </c>
      <c r="E28" s="332">
        <f t="shared" si="6"/>
        <v>7.2480371182235243E-2</v>
      </c>
      <c r="F28" s="332">
        <f t="shared" si="6"/>
        <v>5.2655699984013954E-2</v>
      </c>
      <c r="G28" s="332">
        <f t="shared" si="6"/>
        <v>5.1910421628863834E-2</v>
      </c>
      <c r="H28" s="164">
        <f t="shared" si="6"/>
        <v>4.7595452518505568E-2</v>
      </c>
      <c r="I28" s="164">
        <f t="shared" si="6"/>
        <v>4.3318855945329124E-2</v>
      </c>
      <c r="J28" s="164">
        <f t="shared" si="6"/>
        <v>3.7462860759153553E-2</v>
      </c>
      <c r="K28" s="164">
        <f t="shared" si="6"/>
        <v>3.5105658371135044E-2</v>
      </c>
      <c r="L28" s="164">
        <f t="shared" ref="L28:L34" si="7">L10/L$18</f>
        <v>3.2278844938979354E-2</v>
      </c>
      <c r="M28" s="164">
        <f t="shared" ref="M28:AH28" si="8">M10/M$18</f>
        <v>2.9917437012837392E-2</v>
      </c>
      <c r="N28" s="185">
        <f t="shared" si="8"/>
        <v>2.8244583026887028E-2</v>
      </c>
      <c r="O28" s="164">
        <f t="shared" si="8"/>
        <v>2.7501579219336287E-2</v>
      </c>
      <c r="P28" s="164">
        <f t="shared" si="8"/>
        <v>2.6270591195584801E-2</v>
      </c>
      <c r="Q28" s="164">
        <f t="shared" si="8"/>
        <v>2.7016705191395499E-2</v>
      </c>
      <c r="R28" s="164">
        <f t="shared" si="8"/>
        <v>2.5979995322994193E-2</v>
      </c>
      <c r="S28" s="164">
        <f t="shared" si="8"/>
        <v>2.7199947866822678E-2</v>
      </c>
      <c r="T28" s="164">
        <f t="shared" si="8"/>
        <v>2.7676855155181444E-2</v>
      </c>
      <c r="U28" s="164">
        <f t="shared" si="8"/>
        <v>2.6690587217305071E-2</v>
      </c>
      <c r="V28" s="164">
        <f t="shared" si="8"/>
        <v>2.5720052848646653E-2</v>
      </c>
      <c r="W28" s="164">
        <f t="shared" si="8"/>
        <v>2.7299961915179059E-2</v>
      </c>
      <c r="X28" s="185">
        <f t="shared" si="8"/>
        <v>2.6303475702743207E-2</v>
      </c>
      <c r="Y28" s="172">
        <f t="shared" si="8"/>
        <v>2.53950035469819E-2</v>
      </c>
      <c r="Z28" s="172">
        <f t="shared" si="8"/>
        <v>2.4437122835950172E-2</v>
      </c>
      <c r="AA28" s="172">
        <f t="shared" si="8"/>
        <v>2.3675798170873858E-2</v>
      </c>
      <c r="AB28" s="172">
        <f t="shared" si="8"/>
        <v>2.2956027194464271E-2</v>
      </c>
      <c r="AC28" s="172">
        <f t="shared" si="8"/>
        <v>2.2159498809815582E-2</v>
      </c>
      <c r="AD28" s="172">
        <f t="shared" si="8"/>
        <v>2.1561053587781993E-2</v>
      </c>
      <c r="AE28" s="172">
        <f t="shared" si="8"/>
        <v>2.0985524615057261E-2</v>
      </c>
      <c r="AF28" s="172">
        <f t="shared" si="8"/>
        <v>2.0479853265318593E-2</v>
      </c>
      <c r="AG28" s="172">
        <f t="shared" si="8"/>
        <v>2.0052186940087851E-2</v>
      </c>
      <c r="AH28" s="172">
        <f t="shared" si="8"/>
        <v>1.9632703733291079E-2</v>
      </c>
    </row>
    <row r="29" spans="1:34">
      <c r="A29" s="9" t="s">
        <v>50</v>
      </c>
      <c r="B29" s="37"/>
      <c r="C29" s="332">
        <f t="shared" ref="C29:K29" si="9">C11/C$18</f>
        <v>0</v>
      </c>
      <c r="D29" s="332">
        <f t="shared" si="9"/>
        <v>0</v>
      </c>
      <c r="E29" s="332">
        <f t="shared" si="9"/>
        <v>3.6056353311902374E-6</v>
      </c>
      <c r="F29" s="332">
        <f t="shared" si="9"/>
        <v>2.5410547808435851E-6</v>
      </c>
      <c r="G29" s="332">
        <f t="shared" si="9"/>
        <v>2.4727382866927525E-6</v>
      </c>
      <c r="H29" s="164">
        <f t="shared" si="9"/>
        <v>2.203600551474332E-6</v>
      </c>
      <c r="I29" s="164">
        <f t="shared" si="9"/>
        <v>1.9339735194322106E-6</v>
      </c>
      <c r="J29" s="164">
        <f t="shared" si="9"/>
        <v>1.5777998340388731E-6</v>
      </c>
      <c r="K29" s="164">
        <f t="shared" si="9"/>
        <v>1.4988840735953059E-6</v>
      </c>
      <c r="L29" s="164">
        <f t="shared" si="7"/>
        <v>1.4341915967426077E-6</v>
      </c>
      <c r="M29" s="164">
        <f t="shared" ref="M29:AH29" si="10">M11/M$18</f>
        <v>1.2817564097035349E-6</v>
      </c>
      <c r="N29" s="185">
        <f t="shared" si="10"/>
        <v>1.1530521767553395E-6</v>
      </c>
      <c r="O29" s="164">
        <f t="shared" si="10"/>
        <v>1.0467367591251143E-6</v>
      </c>
      <c r="P29" s="164">
        <f t="shared" si="10"/>
        <v>9.5739089757505389E-7</v>
      </c>
      <c r="Q29" s="164">
        <f t="shared" si="10"/>
        <v>8.7640384601074468E-7</v>
      </c>
      <c r="R29" s="164">
        <f t="shared" si="10"/>
        <v>8.070101293165132E-7</v>
      </c>
      <c r="S29" s="164">
        <f t="shared" si="10"/>
        <v>7.488450573426658E-7</v>
      </c>
      <c r="T29" s="164">
        <f t="shared" si="10"/>
        <v>7.3699980677043314E-7</v>
      </c>
      <c r="U29" s="164">
        <f t="shared" si="10"/>
        <v>7.4932149293760703E-7</v>
      </c>
      <c r="V29" s="164">
        <f t="shared" si="10"/>
        <v>7.3973981791826832E-7</v>
      </c>
      <c r="W29" s="164">
        <f t="shared" si="10"/>
        <v>7.038237953969394E-7</v>
      </c>
      <c r="X29" s="185">
        <f t="shared" si="10"/>
        <v>6.9811452023886772E-7</v>
      </c>
      <c r="Y29" s="172">
        <f t="shared" si="10"/>
        <v>6.8994001727484012E-7</v>
      </c>
      <c r="Z29" s="172">
        <f t="shared" si="10"/>
        <v>6.571082389843543E-7</v>
      </c>
      <c r="AA29" s="172">
        <f t="shared" si="10"/>
        <v>6.2811269764863048E-7</v>
      </c>
      <c r="AB29" s="172">
        <f t="shared" si="10"/>
        <v>5.998176925934717E-7</v>
      </c>
      <c r="AC29" s="172">
        <f t="shared" si="10"/>
        <v>5.7161271477544767E-7</v>
      </c>
      <c r="AD29" s="172">
        <f t="shared" si="10"/>
        <v>5.4653878107774624E-7</v>
      </c>
      <c r="AE29" s="172">
        <f t="shared" si="10"/>
        <v>5.221946821213086E-7</v>
      </c>
      <c r="AF29" s="172">
        <f t="shared" si="10"/>
        <v>4.9909986348173056E-7</v>
      </c>
      <c r="AG29" s="172">
        <f t="shared" si="10"/>
        <v>4.7840016561113968E-7</v>
      </c>
      <c r="AH29" s="172">
        <f t="shared" si="10"/>
        <v>4.5968060007052275E-7</v>
      </c>
    </row>
    <row r="30" spans="1:34">
      <c r="A30" s="9" t="s">
        <v>51</v>
      </c>
      <c r="B30" s="37"/>
      <c r="C30" s="332">
        <f t="shared" ref="C30:K30" si="11">C12/C$18</f>
        <v>3.4587515059980527E-2</v>
      </c>
      <c r="D30" s="332">
        <f t="shared" si="11"/>
        <v>2.8013820151274627E-2</v>
      </c>
      <c r="E30" s="332">
        <f t="shared" si="11"/>
        <v>5.2928515000565814E-2</v>
      </c>
      <c r="F30" s="332">
        <f t="shared" si="11"/>
        <v>4.1230796758049859E-2</v>
      </c>
      <c r="G30" s="332">
        <f t="shared" si="11"/>
        <v>2.9847691842444377E-2</v>
      </c>
      <c r="H30" s="164">
        <f t="shared" si="11"/>
        <v>2.8621252404687398E-2</v>
      </c>
      <c r="I30" s="164">
        <f t="shared" si="11"/>
        <v>2.2999799129433018E-2</v>
      </c>
      <c r="J30" s="164">
        <f t="shared" si="11"/>
        <v>2.1991687288598311E-2</v>
      </c>
      <c r="K30" s="164">
        <f t="shared" si="11"/>
        <v>1.9132728809179746E-2</v>
      </c>
      <c r="L30" s="164">
        <f t="shared" si="7"/>
        <v>1.6841163666650651E-2</v>
      </c>
      <c r="M30" s="164">
        <f t="shared" ref="M30:AH30" si="12">M12/M$18</f>
        <v>1.4907653135214987E-2</v>
      </c>
      <c r="N30" s="185">
        <f t="shared" si="12"/>
        <v>1.3410441421574333E-2</v>
      </c>
      <c r="O30" s="164">
        <f t="shared" si="12"/>
        <v>1.2174582897211655E-2</v>
      </c>
      <c r="P30" s="164">
        <f t="shared" si="12"/>
        <v>1.1192370782964233E-2</v>
      </c>
      <c r="Q30" s="164">
        <f t="shared" si="12"/>
        <v>1.0158031691310913E-2</v>
      </c>
      <c r="R30" s="164">
        <f t="shared" si="12"/>
        <v>9.3599904713555955E-3</v>
      </c>
      <c r="S30" s="164">
        <f t="shared" si="12"/>
        <v>8.7346050064599449E-3</v>
      </c>
      <c r="T30" s="164">
        <f t="shared" si="12"/>
        <v>8.4484782510047367E-3</v>
      </c>
      <c r="U30" s="164">
        <f t="shared" si="12"/>
        <v>8.0542988792025889E-3</v>
      </c>
      <c r="V30" s="164">
        <f t="shared" si="12"/>
        <v>7.6052342707778149E-3</v>
      </c>
      <c r="W30" s="164">
        <f t="shared" si="12"/>
        <v>7.2050012855949773E-3</v>
      </c>
      <c r="X30" s="185">
        <f t="shared" si="12"/>
        <v>6.8283994416802867E-3</v>
      </c>
      <c r="Y30" s="172">
        <f t="shared" si="12"/>
        <v>6.5029462502829644E-3</v>
      </c>
      <c r="Z30" s="172">
        <f t="shared" si="12"/>
        <v>6.2354168233208383E-3</v>
      </c>
      <c r="AA30" s="172">
        <f t="shared" si="12"/>
        <v>6.0161826115068557E-3</v>
      </c>
      <c r="AB30" s="172">
        <f t="shared" si="12"/>
        <v>5.8234299342394555E-3</v>
      </c>
      <c r="AC30" s="172">
        <f t="shared" si="12"/>
        <v>5.5502246015873245E-3</v>
      </c>
      <c r="AD30" s="172">
        <f t="shared" si="12"/>
        <v>5.3073248547726697E-3</v>
      </c>
      <c r="AE30" s="172">
        <f t="shared" si="12"/>
        <v>5.1687746396683124E-3</v>
      </c>
      <c r="AF30" s="172">
        <f t="shared" si="12"/>
        <v>4.9408509056402252E-3</v>
      </c>
      <c r="AG30" s="172">
        <f t="shared" si="12"/>
        <v>4.7364978953054349E-3</v>
      </c>
      <c r="AH30" s="172">
        <f t="shared" si="12"/>
        <v>4.5516093039986924E-3</v>
      </c>
    </row>
    <row r="31" spans="1:34">
      <c r="A31" s="9" t="s">
        <v>347</v>
      </c>
      <c r="B31" s="37"/>
      <c r="C31" s="332">
        <f t="shared" ref="C31:K31" si="13">C13/C$18</f>
        <v>0.64449799104183358</v>
      </c>
      <c r="D31" s="332">
        <f t="shared" si="13"/>
        <v>0.65098281819030723</v>
      </c>
      <c r="E31" s="332">
        <f t="shared" si="13"/>
        <v>0.76937954757977201</v>
      </c>
      <c r="F31" s="332">
        <f t="shared" si="13"/>
        <v>0.81758594440536592</v>
      </c>
      <c r="G31" s="332">
        <f t="shared" si="13"/>
        <v>0.83371807288737942</v>
      </c>
      <c r="H31" s="164">
        <f t="shared" si="13"/>
        <v>0.84804145116388185</v>
      </c>
      <c r="I31" s="164">
        <f t="shared" si="13"/>
        <v>0.84976829859747482</v>
      </c>
      <c r="J31" s="164">
        <f t="shared" si="13"/>
        <v>0.86271364496382175</v>
      </c>
      <c r="K31" s="164">
        <f t="shared" si="13"/>
        <v>0.87850891747391457</v>
      </c>
      <c r="L31" s="164">
        <f t="shared" si="7"/>
        <v>0.89170078386900231</v>
      </c>
      <c r="M31" s="164">
        <f t="shared" ref="M31:AH31" si="14">M13/M$18</f>
        <v>0.90243422592036204</v>
      </c>
      <c r="N31" s="185">
        <f t="shared" si="14"/>
        <v>0.91088454128435681</v>
      </c>
      <c r="O31" s="164">
        <f t="shared" si="14"/>
        <v>0.91722562591118173</v>
      </c>
      <c r="P31" s="164">
        <f t="shared" si="14"/>
        <v>0.92315391839253891</v>
      </c>
      <c r="Q31" s="164">
        <f t="shared" si="14"/>
        <v>0.92684375608539915</v>
      </c>
      <c r="R31" s="164">
        <f t="shared" si="14"/>
        <v>0.93150226068812902</v>
      </c>
      <c r="S31" s="164">
        <f t="shared" si="14"/>
        <v>0.93332362148568138</v>
      </c>
      <c r="T31" s="164">
        <f t="shared" si="14"/>
        <v>0.933608197239159</v>
      </c>
      <c r="U31" s="164">
        <f t="shared" si="14"/>
        <v>0.93669320877282691</v>
      </c>
      <c r="V31" s="164">
        <f t="shared" si="14"/>
        <v>0.93969789782249646</v>
      </c>
      <c r="W31" s="164">
        <f t="shared" si="14"/>
        <v>0.93990163574022578</v>
      </c>
      <c r="X31" s="185">
        <f t="shared" si="14"/>
        <v>0.94256966360851269</v>
      </c>
      <c r="Y31" s="172">
        <f t="shared" si="14"/>
        <v>0.94491896150192967</v>
      </c>
      <c r="Z31" s="172">
        <f t="shared" si="14"/>
        <v>0.94720213114462448</v>
      </c>
      <c r="AA31" s="172">
        <f t="shared" si="14"/>
        <v>0.94911014333169164</v>
      </c>
      <c r="AB31" s="172">
        <f t="shared" si="14"/>
        <v>0.95090278972141973</v>
      </c>
      <c r="AC31" s="172">
        <f t="shared" si="14"/>
        <v>0.95289051669175173</v>
      </c>
      <c r="AD31" s="172">
        <f t="shared" si="14"/>
        <v>0.95457486478247422</v>
      </c>
      <c r="AE31" s="172">
        <f t="shared" si="14"/>
        <v>0.95602811927936349</v>
      </c>
      <c r="AF31" s="172">
        <f t="shared" si="14"/>
        <v>0.95748646750953137</v>
      </c>
      <c r="AG31" s="172">
        <f t="shared" si="14"/>
        <v>0.95872805258885507</v>
      </c>
      <c r="AH31" s="172">
        <f t="shared" si="14"/>
        <v>0.95982351877045047</v>
      </c>
    </row>
    <row r="32" spans="1:34">
      <c r="A32" s="9" t="s">
        <v>348</v>
      </c>
      <c r="B32" s="37"/>
      <c r="C32" s="332">
        <f t="shared" ref="C32:K32" si="15">C14/C$18</f>
        <v>0</v>
      </c>
      <c r="D32" s="332">
        <f t="shared" si="15"/>
        <v>0</v>
      </c>
      <c r="E32" s="332">
        <f t="shared" si="15"/>
        <v>8.9873890419791351E-5</v>
      </c>
      <c r="F32" s="332">
        <f t="shared" si="15"/>
        <v>6.7613630381030529E-5</v>
      </c>
      <c r="G32" s="332">
        <f t="shared" si="15"/>
        <v>6.0177799724529116E-5</v>
      </c>
      <c r="H32" s="164">
        <f t="shared" si="15"/>
        <v>5.3627719933569703E-5</v>
      </c>
      <c r="I32" s="164">
        <f t="shared" si="15"/>
        <v>4.7080540947539553E-5</v>
      </c>
      <c r="J32" s="164">
        <f t="shared" si="15"/>
        <v>3.848182464156202E-5</v>
      </c>
      <c r="K32" s="164">
        <f t="shared" si="15"/>
        <v>3.3251040225674372E-5</v>
      </c>
      <c r="L32" s="164">
        <f t="shared" si="7"/>
        <v>2.9263554658049989E-5</v>
      </c>
      <c r="M32" s="164">
        <f t="shared" ref="M32:AH32" si="16">M14/M$18</f>
        <v>2.6074939412122861E-5</v>
      </c>
      <c r="N32" s="185">
        <f t="shared" si="16"/>
        <v>2.3463045275021852E-5</v>
      </c>
      <c r="O32" s="164">
        <f t="shared" si="16"/>
        <v>2.1304478670728517E-5</v>
      </c>
      <c r="P32" s="164">
        <f t="shared" si="16"/>
        <v>1.9460153413792449E-5</v>
      </c>
      <c r="Q32" s="164">
        <f t="shared" si="16"/>
        <v>1.7781282381324962E-5</v>
      </c>
      <c r="R32" s="164">
        <f t="shared" si="16"/>
        <v>1.6386810982163032E-5</v>
      </c>
      <c r="S32" s="164">
        <f t="shared" si="16"/>
        <v>1.5193647646722401E-5</v>
      </c>
      <c r="T32" s="164">
        <f t="shared" si="16"/>
        <v>1.4956740240936163E-5</v>
      </c>
      <c r="U32" s="164">
        <f t="shared" si="16"/>
        <v>1.4110989702033843E-5</v>
      </c>
      <c r="V32" s="164">
        <f t="shared" si="16"/>
        <v>1.3328333172705294E-5</v>
      </c>
      <c r="W32" s="164">
        <f t="shared" si="16"/>
        <v>1.2631393918129144E-5</v>
      </c>
      <c r="X32" s="185">
        <f t="shared" si="16"/>
        <v>1.1975736133735499E-5</v>
      </c>
      <c r="Y32" s="172">
        <f t="shared" si="16"/>
        <v>1.1409298481701122E-5</v>
      </c>
      <c r="Z32" s="172">
        <f t="shared" si="16"/>
        <v>1.0871111347245749E-5</v>
      </c>
      <c r="AA32" s="172">
        <f t="shared" si="16"/>
        <v>1.039555258831168E-5</v>
      </c>
      <c r="AB32" s="172">
        <f t="shared" si="16"/>
        <v>9.9310853437774724E-6</v>
      </c>
      <c r="AC32" s="172">
        <f t="shared" si="16"/>
        <v>9.4676050601773788E-6</v>
      </c>
      <c r="AD32" s="172">
        <f t="shared" si="16"/>
        <v>9.0555474270358788E-6</v>
      </c>
      <c r="AE32" s="172">
        <f t="shared" si="16"/>
        <v>8.6551753009296639E-6</v>
      </c>
      <c r="AF32" s="172">
        <f t="shared" si="16"/>
        <v>8.2750923214671245E-6</v>
      </c>
      <c r="AG32" s="172">
        <f t="shared" si="16"/>
        <v>7.9344598849029343E-6</v>
      </c>
      <c r="AH32" s="172">
        <f t="shared" si="16"/>
        <v>7.6262840357490363E-6</v>
      </c>
    </row>
    <row r="33" spans="1:36">
      <c r="A33" s="9" t="s">
        <v>344</v>
      </c>
      <c r="B33" s="37"/>
      <c r="C33" s="332">
        <f t="shared" ref="C33:K33" si="17">C15/C$18</f>
        <v>1.9215286144433626E-5</v>
      </c>
      <c r="D33" s="332">
        <f t="shared" si="17"/>
        <v>1.1672425063031095E-5</v>
      </c>
      <c r="E33" s="332">
        <f t="shared" si="17"/>
        <v>8.9873890419791354E-6</v>
      </c>
      <c r="F33" s="332">
        <f t="shared" si="17"/>
        <v>6.7613630381030519E-6</v>
      </c>
      <c r="G33" s="332">
        <f t="shared" si="17"/>
        <v>6.017779972452911E-6</v>
      </c>
      <c r="H33" s="164">
        <f t="shared" si="17"/>
        <v>5.3627719933569703E-6</v>
      </c>
      <c r="I33" s="164">
        <f t="shared" si="17"/>
        <v>4.7080540947539555E-6</v>
      </c>
      <c r="J33" s="164">
        <f t="shared" si="17"/>
        <v>3.848182464156202E-6</v>
      </c>
      <c r="K33" s="164">
        <f t="shared" si="17"/>
        <v>3.3251040225674368E-6</v>
      </c>
      <c r="L33" s="164">
        <f t="shared" si="7"/>
        <v>2.9263554658049991E-6</v>
      </c>
      <c r="M33" s="164">
        <f t="shared" ref="M33:AH33" si="18">M15/M$18</f>
        <v>2.6074939412122859E-6</v>
      </c>
      <c r="N33" s="185">
        <f t="shared" si="18"/>
        <v>2.346304527502185E-6</v>
      </c>
      <c r="O33" s="164">
        <f t="shared" si="18"/>
        <v>2.1304478670728517E-6</v>
      </c>
      <c r="P33" s="164">
        <f t="shared" si="18"/>
        <v>1.9460153413792448E-6</v>
      </c>
      <c r="Q33" s="164">
        <f t="shared" si="18"/>
        <v>1.7781282381324962E-6</v>
      </c>
      <c r="R33" s="164">
        <f t="shared" si="18"/>
        <v>1.6386810982163033E-6</v>
      </c>
      <c r="S33" s="164">
        <f t="shared" si="18"/>
        <v>1.5193647646722402E-6</v>
      </c>
      <c r="T33" s="164">
        <f t="shared" si="18"/>
        <v>1.4956740240936163E-6</v>
      </c>
      <c r="U33" s="164">
        <f t="shared" si="18"/>
        <v>1.4110989702033843E-6</v>
      </c>
      <c r="V33" s="164">
        <f t="shared" si="18"/>
        <v>1.3328333172705292E-6</v>
      </c>
      <c r="W33" s="164">
        <f t="shared" si="18"/>
        <v>1.2631393918129143E-6</v>
      </c>
      <c r="X33" s="185">
        <f t="shared" si="18"/>
        <v>1.1975736133735499E-6</v>
      </c>
      <c r="Y33" s="172">
        <f t="shared" si="18"/>
        <v>1.1409298481701122E-6</v>
      </c>
      <c r="Z33" s="172">
        <f t="shared" si="18"/>
        <v>1.0871111347245749E-6</v>
      </c>
      <c r="AA33" s="172">
        <f t="shared" si="18"/>
        <v>1.0395552588311679E-6</v>
      </c>
      <c r="AB33" s="172">
        <f t="shared" si="18"/>
        <v>9.9310853437774716E-7</v>
      </c>
      <c r="AC33" s="172">
        <f t="shared" si="18"/>
        <v>9.467605060177379E-7</v>
      </c>
      <c r="AD33" s="172">
        <f t="shared" si="18"/>
        <v>9.0555474270358792E-7</v>
      </c>
      <c r="AE33" s="172">
        <f t="shared" si="18"/>
        <v>8.6551753009296639E-7</v>
      </c>
      <c r="AF33" s="172">
        <f t="shared" si="18"/>
        <v>8.275092321467124E-7</v>
      </c>
      <c r="AG33" s="172">
        <f t="shared" si="18"/>
        <v>7.9344598849029333E-7</v>
      </c>
      <c r="AH33" s="172">
        <f t="shared" si="18"/>
        <v>7.6262840357490352E-7</v>
      </c>
    </row>
    <row r="34" spans="1:36">
      <c r="A34" s="9" t="s">
        <v>53</v>
      </c>
      <c r="B34" s="37"/>
      <c r="C34" s="332">
        <f t="shared" ref="C34:K34" si="19">C16/C$18</f>
        <v>5.7645858433300876E-2</v>
      </c>
      <c r="D34" s="332">
        <f t="shared" si="19"/>
        <v>0.15757773835091979</v>
      </c>
      <c r="E34" s="332">
        <f t="shared" si="19"/>
        <v>0.1051090993226341</v>
      </c>
      <c r="F34" s="332">
        <f t="shared" si="19"/>
        <v>8.8450642804370344E-2</v>
      </c>
      <c r="G34" s="332">
        <f t="shared" si="19"/>
        <v>8.4455145323328734E-2</v>
      </c>
      <c r="H34" s="164">
        <f t="shared" si="19"/>
        <v>7.5680649820446866E-2</v>
      </c>
      <c r="I34" s="164">
        <f t="shared" si="19"/>
        <v>8.3859323759201479E-2</v>
      </c>
      <c r="J34" s="164">
        <f t="shared" si="19"/>
        <v>7.7787899181486569E-2</v>
      </c>
      <c r="K34" s="164">
        <f t="shared" si="19"/>
        <v>6.7214620317448723E-2</v>
      </c>
      <c r="L34" s="164">
        <f t="shared" si="7"/>
        <v>5.9145583423647084E-2</v>
      </c>
      <c r="M34" s="164">
        <f t="shared" ref="M34:AH34" si="20">M16/M$18</f>
        <v>5.2710719741822572E-2</v>
      </c>
      <c r="N34" s="185">
        <f t="shared" si="20"/>
        <v>4.743347186520247E-2</v>
      </c>
      <c r="O34" s="164">
        <f t="shared" si="20"/>
        <v>4.3073730308973185E-2</v>
      </c>
      <c r="P34" s="164">
        <f t="shared" si="20"/>
        <v>3.9360756069259088E-2</v>
      </c>
      <c r="Q34" s="164">
        <f t="shared" si="20"/>
        <v>3.596107121742876E-2</v>
      </c>
      <c r="R34" s="164">
        <f t="shared" si="20"/>
        <v>3.3138921015311296E-2</v>
      </c>
      <c r="S34" s="164">
        <f t="shared" si="20"/>
        <v>3.0724363783567236E-2</v>
      </c>
      <c r="T34" s="164">
        <f t="shared" si="20"/>
        <v>3.0249279940582879E-2</v>
      </c>
      <c r="U34" s="164">
        <f t="shared" si="20"/>
        <v>2.8545633720500129E-2</v>
      </c>
      <c r="V34" s="164">
        <f t="shared" si="20"/>
        <v>2.6961414151771213E-2</v>
      </c>
      <c r="W34" s="164">
        <f t="shared" si="20"/>
        <v>2.5578802701894766E-2</v>
      </c>
      <c r="X34" s="185">
        <f t="shared" si="20"/>
        <v>2.428458982279643E-2</v>
      </c>
      <c r="Y34" s="172">
        <f t="shared" si="20"/>
        <v>2.3169848532458241E-2</v>
      </c>
      <c r="Z34" s="172">
        <f t="shared" si="20"/>
        <v>2.2112713865383493E-2</v>
      </c>
      <c r="AA34" s="172">
        <f t="shared" si="20"/>
        <v>2.1185812665382657E-2</v>
      </c>
      <c r="AB34" s="172">
        <f t="shared" si="20"/>
        <v>2.0306229138305754E-2</v>
      </c>
      <c r="AC34" s="172">
        <f t="shared" si="20"/>
        <v>1.9388773918564271E-2</v>
      </c>
      <c r="AD34" s="172">
        <f t="shared" si="20"/>
        <v>1.854624913402032E-2</v>
      </c>
      <c r="AE34" s="172">
        <f t="shared" si="20"/>
        <v>1.7807538578397685E-2</v>
      </c>
      <c r="AF34" s="172">
        <f t="shared" si="20"/>
        <v>1.7083226618092785E-2</v>
      </c>
      <c r="AG34" s="172">
        <f t="shared" si="20"/>
        <v>1.6474056269712573E-2</v>
      </c>
      <c r="AH34" s="172">
        <f t="shared" si="20"/>
        <v>1.5983319599220468E-2</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964.04849999999988</v>
      </c>
      <c r="D42" s="331">
        <f>D7*Inputs!$C$48</f>
        <v>993.29849999999988</v>
      </c>
      <c r="E42" s="331">
        <f>E7*Inputs!$C$48</f>
        <v>1143.4743450000001</v>
      </c>
      <c r="F42" s="331">
        <f>F7*Inputs!$C$48</f>
        <v>930.33976050000012</v>
      </c>
      <c r="G42" s="331">
        <f>G7*Inputs!$C$48</f>
        <v>1180.9557494999999</v>
      </c>
      <c r="H42" s="14">
        <f>H7*Inputs!$C$48</f>
        <v>1209.3530340000002</v>
      </c>
      <c r="I42" s="14">
        <f>I7*Inputs!$C$48</f>
        <v>1234.4173664999998</v>
      </c>
      <c r="J42" s="14">
        <f>J7*Inputs!$C$48</f>
        <v>1256.073981</v>
      </c>
      <c r="K42" s="14">
        <f>K7*Inputs!$C$48</f>
        <v>1270.7683815</v>
      </c>
      <c r="L42" s="14">
        <f>L7*Inputs!$C$48</f>
        <v>1270.7677440000004</v>
      </c>
      <c r="M42" s="14">
        <f>M7*Inputs!$C$48</f>
        <v>1270.7680755000001</v>
      </c>
      <c r="N42" s="190">
        <f>N7*Inputs!$C$48</f>
        <v>1270.7677440000004</v>
      </c>
      <c r="O42" s="14">
        <f>O7*Inputs!$C$48</f>
        <v>1270.7680500000004</v>
      </c>
      <c r="P42" s="14">
        <f>P7*Inputs!$C$48</f>
        <v>1270.7671574999999</v>
      </c>
      <c r="Q42" s="14">
        <f>Q7*Inputs!$C$48</f>
        <v>1277.7828959999999</v>
      </c>
      <c r="R42" s="14">
        <f>R7*Inputs!$C$48</f>
        <v>1277.7823860000001</v>
      </c>
      <c r="S42" s="14">
        <f>S7*Inputs!$C$48</f>
        <v>1277.7829215000002</v>
      </c>
      <c r="T42" s="14">
        <f>T7*Inputs!$C$48</f>
        <v>1280.4490994999999</v>
      </c>
      <c r="U42" s="14">
        <f>U7*Inputs!$C$48</f>
        <v>1282.0499130000001</v>
      </c>
      <c r="V42" s="14">
        <f>V7*Inputs!$C$48</f>
        <v>1291.1125875</v>
      </c>
      <c r="W42" s="14">
        <f>W7*Inputs!$C$48</f>
        <v>1299.9652439999998</v>
      </c>
      <c r="X42" s="187">
        <f>X7*Inputs!$C$48</f>
        <v>1309.8433574999999</v>
      </c>
      <c r="Y42" s="14">
        <f>Y7*Inputs!$C$48</f>
        <v>1309.8435360000001</v>
      </c>
      <c r="Z42" s="14">
        <f>Z7*Inputs!$C$48</f>
        <v>1315.5731565000001</v>
      </c>
      <c r="AA42" s="14">
        <f>AA7*Inputs!$C$48</f>
        <v>1315.5734370000002</v>
      </c>
      <c r="AB42" s="14">
        <f>AB7*Inputs!$C$48</f>
        <v>1315.5734370000002</v>
      </c>
      <c r="AC42" s="14">
        <f>AC7*Inputs!$C$48</f>
        <v>1321.0112354999997</v>
      </c>
      <c r="AD42" s="14">
        <f>AD7*Inputs!$C$48</f>
        <v>1324.777662</v>
      </c>
      <c r="AE42" s="14">
        <f>AE7*Inputs!$C$48</f>
        <v>1324.7781720000003</v>
      </c>
      <c r="AF42" s="14">
        <f>AF7*Inputs!$C$48</f>
        <v>1328.1954014999999</v>
      </c>
      <c r="AG42" s="14">
        <f>AG7*Inputs!$C$48</f>
        <v>1328.1953759999999</v>
      </c>
      <c r="AH42" s="14">
        <f>AH7*Inputs!$C$48</f>
        <v>1328.1955035000003</v>
      </c>
    </row>
    <row r="43" spans="1:36" ht="15">
      <c r="A43" s="8" t="s">
        <v>59</v>
      </c>
      <c r="B43" s="34">
        <v>0</v>
      </c>
      <c r="C43" s="331">
        <f>C8*Inputs!$C$53</f>
        <v>4292.68</v>
      </c>
      <c r="D43" s="331">
        <f>D8*Inputs!$C$53</f>
        <v>4368</v>
      </c>
      <c r="E43" s="331">
        <f>E8*Inputs!$C$53</f>
        <v>4029.3236353586099</v>
      </c>
      <c r="F43" s="331">
        <f>F8*Inputs!$C$53</f>
        <v>3992.120204660017</v>
      </c>
      <c r="G43" s="331">
        <f>G8*Inputs!$C$53</f>
        <v>3928.3680697781192</v>
      </c>
      <c r="H43" s="14">
        <f>H8*Inputs!$C$53</f>
        <v>3940.0266602878796</v>
      </c>
      <c r="I43" s="14">
        <f>I8*Inputs!$C$53</f>
        <v>4089.603428363826</v>
      </c>
      <c r="J43" s="14">
        <f>J8*Inputs!$C$53</f>
        <v>4262.8653767617106</v>
      </c>
      <c r="K43" s="14">
        <f>K8*Inputs!$C$53</f>
        <v>4431.2795048361631</v>
      </c>
      <c r="L43" s="14">
        <f>L8*Inputs!$C$53</f>
        <v>4562.0465908069755</v>
      </c>
      <c r="M43" s="14">
        <f>M8*Inputs!$C$53</f>
        <v>4584.8926738058453</v>
      </c>
      <c r="N43" s="190">
        <f>N8*Inputs!$C$53</f>
        <v>4584.892788572507</v>
      </c>
      <c r="O43" s="14">
        <f>O8*Inputs!$C$53</f>
        <v>4584.892788572507</v>
      </c>
      <c r="P43" s="14">
        <f>P8*Inputs!$C$53</f>
        <v>4584.8927503169534</v>
      </c>
      <c r="Q43" s="14">
        <f>Q8*Inputs!$C$53</f>
        <v>4584.892788572507</v>
      </c>
      <c r="R43" s="14">
        <f>R8*Inputs!$C$53</f>
        <v>4584.8926738058453</v>
      </c>
      <c r="S43" s="14">
        <f>S8*Inputs!$C$53</f>
        <v>4584.9019507777084</v>
      </c>
      <c r="T43" s="14">
        <f>T8*Inputs!$C$53</f>
        <v>4584.8927503169534</v>
      </c>
      <c r="U43" s="14">
        <f>U8*Inputs!$C$53</f>
        <v>4584.8927120613998</v>
      </c>
      <c r="V43" s="14">
        <f>V8*Inputs!$C$53</f>
        <v>4584.8927120613998</v>
      </c>
      <c r="W43" s="14">
        <f>W8*Inputs!$C$53</f>
        <v>4584.892788572507</v>
      </c>
      <c r="X43" s="187">
        <f>X8*Inputs!$C$53</f>
        <v>4584.8927120613998</v>
      </c>
      <c r="Y43" s="14">
        <f>Y8*Inputs!$C$53</f>
        <v>4584.8927120613998</v>
      </c>
      <c r="Z43" s="14">
        <f>Z8*Inputs!$C$53</f>
        <v>4584.8927503169534</v>
      </c>
      <c r="AA43" s="14">
        <f>AA8*Inputs!$C$53</f>
        <v>4584.8926546780685</v>
      </c>
      <c r="AB43" s="14">
        <f>AB8*Inputs!$C$53</f>
        <v>4584.8927120613998</v>
      </c>
      <c r="AC43" s="14">
        <f>AC8*Inputs!$C$53</f>
        <v>4584.892788572507</v>
      </c>
      <c r="AD43" s="14">
        <f>AD8*Inputs!$C$53</f>
        <v>4584.892788572507</v>
      </c>
      <c r="AE43" s="14">
        <f>AE8*Inputs!$C$53</f>
        <v>4584.892788572507</v>
      </c>
      <c r="AF43" s="14">
        <f>AF8*Inputs!$C$53</f>
        <v>4584.892788572507</v>
      </c>
      <c r="AG43" s="14">
        <f>AG8*Inputs!$C$53</f>
        <v>4584.8927120613998</v>
      </c>
      <c r="AH43" s="14">
        <f>AH8*Inputs!$C$53</f>
        <v>4584.8927120613998</v>
      </c>
    </row>
    <row r="44" spans="1:36" ht="15">
      <c r="A44" s="8" t="s">
        <v>121</v>
      </c>
      <c r="B44" s="34">
        <v>1</v>
      </c>
      <c r="C44" s="331">
        <f>C10*Inputs!$C$46</f>
        <v>28.77</v>
      </c>
      <c r="D44" s="331">
        <f>D10*Inputs!$C$46</f>
        <v>29.4</v>
      </c>
      <c r="E44" s="331">
        <f>E10*Inputs!$C$46</f>
        <v>16.935817373849407</v>
      </c>
      <c r="F44" s="331">
        <f>F10*Inputs!$C$46</f>
        <v>16.354242383271352</v>
      </c>
      <c r="G44" s="331">
        <f>G10*Inputs!$C$46</f>
        <v>18.114966967823456</v>
      </c>
      <c r="H44" s="14">
        <f>H10*Inputs!$C$46</f>
        <v>18.637833272172184</v>
      </c>
      <c r="I44" s="14">
        <f>I10*Inputs!$C$46</f>
        <v>19.322122400113429</v>
      </c>
      <c r="J44" s="14">
        <f>J10*Inputs!$C$46</f>
        <v>20.443939009392327</v>
      </c>
      <c r="K44" s="14">
        <f>K10*Inputs!$C$46</f>
        <v>22.171301131944791</v>
      </c>
      <c r="L44" s="14">
        <f>L10*Inputs!$C$46</f>
        <v>23.163821061365759</v>
      </c>
      <c r="M44" s="14">
        <f>M10*Inputs!$C$46</f>
        <v>24.094636130870139</v>
      </c>
      <c r="N44" s="190">
        <f>N10*Inputs!$C$46</f>
        <v>25.279593361057231</v>
      </c>
      <c r="O44" s="14">
        <f>O10*Inputs!$C$46</f>
        <v>27.108533024071086</v>
      </c>
      <c r="P44" s="14">
        <f>P10*Inputs!$C$46</f>
        <v>28.349335350885472</v>
      </c>
      <c r="Q44" s="14">
        <f>Q10*Inputs!$C$46</f>
        <v>31.907193016358232</v>
      </c>
      <c r="R44" s="14">
        <f>R10*Inputs!$C$46</f>
        <v>33.293842369741078</v>
      </c>
      <c r="S44" s="14">
        <f>S10*Inputs!$C$46</f>
        <v>37.594586796048034</v>
      </c>
      <c r="T44" s="14">
        <f>T10*Inputs!$C$46</f>
        <v>38.859667875226222</v>
      </c>
      <c r="U44" s="14">
        <f>U10*Inputs!$C$46</f>
        <v>39.720979420927527</v>
      </c>
      <c r="V44" s="14">
        <f>V10*Inputs!$C$46</f>
        <v>40.524280329942385</v>
      </c>
      <c r="W44" s="14">
        <f>W10*Inputs!$C$46</f>
        <v>45.386851517308429</v>
      </c>
      <c r="X44" s="187">
        <f>X10*Inputs!$C$46</f>
        <v>46.124345392145003</v>
      </c>
      <c r="Y44" s="14">
        <f>Y10*Inputs!$C$46</f>
        <v>46.742144167930107</v>
      </c>
      <c r="Z44" s="14">
        <f>Z10*Inputs!$C$46</f>
        <v>47.205806578825104</v>
      </c>
      <c r="AA44" s="14">
        <f>AA10*Inputs!$C$46</f>
        <v>47.82735283811391</v>
      </c>
      <c r="AB44" s="14">
        <f>AB10*Inputs!$C$46</f>
        <v>48.542183899950551</v>
      </c>
      <c r="AC44" s="14">
        <f>AC10*Inputs!$C$46</f>
        <v>49.151762462449902</v>
      </c>
      <c r="AD44" s="14">
        <f>AD10*Inputs!$C$46</f>
        <v>50.000524981141808</v>
      </c>
      <c r="AE44" s="14">
        <f>AE10*Inputs!$C$46</f>
        <v>50.917052698963438</v>
      </c>
      <c r="AF44" s="14">
        <f>AF10*Inputs!$C$46</f>
        <v>51.972461679489804</v>
      </c>
      <c r="AG44" s="14">
        <f>AG10*Inputs!$C$46</f>
        <v>53.071782055773333</v>
      </c>
      <c r="AH44" s="14">
        <f>AH10*Inputs!$C$46</f>
        <v>54.061293346336633</v>
      </c>
    </row>
    <row r="45" spans="1:36" ht="15">
      <c r="A45" s="8" t="s">
        <v>50</v>
      </c>
      <c r="B45" s="34">
        <v>1</v>
      </c>
      <c r="C45" s="331">
        <f>C11*Inputs!$C$49</f>
        <v>0</v>
      </c>
      <c r="D45" s="331">
        <f>D11*Inputs!$C$49</f>
        <v>0</v>
      </c>
      <c r="E45" s="331">
        <f>E11*Inputs!$C$49</f>
        <v>1.00297075E-3</v>
      </c>
      <c r="F45" s="331">
        <f>F11*Inputs!$C$49</f>
        <v>9.3954974999999996E-4</v>
      </c>
      <c r="G45" s="331">
        <f>G11*Inputs!$C$49</f>
        <v>1.0272635E-3</v>
      </c>
      <c r="H45" s="14">
        <f>H11*Inputs!$C$49</f>
        <v>1.0272674999999998E-3</v>
      </c>
      <c r="I45" s="14">
        <f>I11*Inputs!$C$49</f>
        <v>1.0269494999999998E-3</v>
      </c>
      <c r="J45" s="14">
        <f>J11*Inputs!$C$49</f>
        <v>1.0250292499999999E-3</v>
      </c>
      <c r="K45" s="14">
        <f>K11*Inputs!$C$49</f>
        <v>1.1269452499999997E-3</v>
      </c>
      <c r="L45" s="14">
        <f>L11*Inputs!$C$49</f>
        <v>1.2252369999999999E-3</v>
      </c>
      <c r="M45" s="14">
        <f>M11*Inputs!$C$49</f>
        <v>1.2289159999999998E-3</v>
      </c>
      <c r="N45" s="190">
        <f>N11*Inputs!$C$49</f>
        <v>1.22858325E-3</v>
      </c>
      <c r="O45" s="14">
        <f>O11*Inputs!$C$49</f>
        <v>1.228306E-3</v>
      </c>
      <c r="P45" s="14">
        <f>P11*Inputs!$C$49</f>
        <v>1.2299374999999999E-3</v>
      </c>
      <c r="Q45" s="14">
        <f>Q11*Inputs!$C$49</f>
        <v>1.2321999999999999E-3</v>
      </c>
      <c r="R45" s="14">
        <f>R11*Inputs!$C$49</f>
        <v>1.2311885E-3</v>
      </c>
      <c r="S45" s="14">
        <f>S11*Inputs!$C$49</f>
        <v>1.2321679999999998E-3</v>
      </c>
      <c r="T45" s="14">
        <f>T11*Inputs!$C$49</f>
        <v>1.2318857500000001E-3</v>
      </c>
      <c r="U45" s="14">
        <f>U11*Inputs!$C$49</f>
        <v>1.3275494999999999E-3</v>
      </c>
      <c r="V45" s="14">
        <f>V11*Inputs!$C$49</f>
        <v>1.3875325000000001E-3</v>
      </c>
      <c r="W45" s="14">
        <f>W11*Inputs!$C$49</f>
        <v>1.3930049999999999E-3</v>
      </c>
      <c r="X45" s="187">
        <f>X11*Inputs!$C$49</f>
        <v>1.4573519999999999E-3</v>
      </c>
      <c r="Y45" s="14">
        <f>Y11*Inputs!$C$49</f>
        <v>1.5117932499999999E-3</v>
      </c>
      <c r="Z45" s="14">
        <f>Z11*Inputs!$C$49</f>
        <v>1.5111339999999999E-3</v>
      </c>
      <c r="AA45" s="14">
        <f>AA11*Inputs!$C$49</f>
        <v>1.5105322499999998E-3</v>
      </c>
      <c r="AB45" s="14">
        <f>AB11*Inputs!$C$49</f>
        <v>1.5099499999999999E-3</v>
      </c>
      <c r="AC45" s="14">
        <f>AC11*Inputs!$C$49</f>
        <v>1.5093909999999999E-3</v>
      </c>
      <c r="AD45" s="14">
        <f>AD11*Inputs!$C$49</f>
        <v>1.50885075E-3</v>
      </c>
      <c r="AE45" s="14">
        <f>AE11*Inputs!$C$49</f>
        <v>1.50833075E-3</v>
      </c>
      <c r="AF45" s="14">
        <f>AF11*Inputs!$C$49</f>
        <v>1.50783775E-3</v>
      </c>
      <c r="AG45" s="14">
        <f>AG11*Inputs!$C$49</f>
        <v>1.5073494999999998E-3</v>
      </c>
      <c r="AH45" s="14">
        <f>AH11*Inputs!$C$49</f>
        <v>1.5068957499999999E-3</v>
      </c>
    </row>
    <row r="46" spans="1:36" ht="15">
      <c r="A46" s="8" t="s">
        <v>51</v>
      </c>
      <c r="B46" s="34">
        <v>1</v>
      </c>
      <c r="C46" s="331">
        <f>C12*Inputs!$C$52</f>
        <v>2.6999999999999997</v>
      </c>
      <c r="D46" s="331">
        <f>D12*Inputs!$C$52</f>
        <v>3.5999999999999996</v>
      </c>
      <c r="E46" s="331">
        <f>E12*Inputs!$C$52</f>
        <v>8.8337972385543289</v>
      </c>
      <c r="F46" s="331">
        <f>F12*Inputs!$C$52</f>
        <v>9.1470010985279337</v>
      </c>
      <c r="G46" s="331">
        <f>G12*Inputs!$C$52</f>
        <v>7.4398761617429505</v>
      </c>
      <c r="H46" s="14">
        <f>H12*Inputs!$C$52</f>
        <v>8.0055386766791745</v>
      </c>
      <c r="I46" s="14">
        <f>I12*Inputs!$C$52</f>
        <v>7.3278042265044308</v>
      </c>
      <c r="J46" s="14">
        <f>J12*Inputs!$C$52</f>
        <v>8.5722366961959295</v>
      </c>
      <c r="K46" s="14">
        <f>K12*Inputs!$C$52</f>
        <v>8.6310362078868081</v>
      </c>
      <c r="L46" s="14">
        <f>L12*Inputs!$C$52</f>
        <v>8.6324938289842468</v>
      </c>
      <c r="M46" s="14">
        <f>M12*Inputs!$C$52</f>
        <v>8.5758510688719358</v>
      </c>
      <c r="N46" s="190">
        <f>N12*Inputs!$C$52</f>
        <v>8.5733381564822331</v>
      </c>
      <c r="O46" s="14">
        <f>O12*Inputs!$C$52</f>
        <v>8.5718475575319069</v>
      </c>
      <c r="P46" s="14">
        <f>P12*Inputs!$C$52</f>
        <v>8.6271448212465813</v>
      </c>
      <c r="Q46" s="14">
        <f>Q12*Inputs!$C$52</f>
        <v>8.5691499691660535</v>
      </c>
      <c r="R46" s="14">
        <f>R12*Inputs!$C$52</f>
        <v>8.5678572373330315</v>
      </c>
      <c r="S46" s="14">
        <f>S12*Inputs!$C$52</f>
        <v>8.62327981688866</v>
      </c>
      <c r="T46" s="14">
        <f>T12*Inputs!$C$52</f>
        <v>8.4729139988820865</v>
      </c>
      <c r="U46" s="14">
        <f>U12*Inputs!$C$52</f>
        <v>8.5617299522673189</v>
      </c>
      <c r="V46" s="14">
        <f>V12*Inputs!$C$52</f>
        <v>8.5590983196072337</v>
      </c>
      <c r="W46" s="14">
        <f>W12*Inputs!$C$52</f>
        <v>8.5560643571419721</v>
      </c>
      <c r="X46" s="187">
        <f>X12*Inputs!$C$52</f>
        <v>8.5527929541359526</v>
      </c>
      <c r="Y46" s="14">
        <f>Y12*Inputs!$C$52</f>
        <v>8.5495347422710832</v>
      </c>
      <c r="Z46" s="14">
        <f>Z12*Inputs!$C$52</f>
        <v>8.603651398852536</v>
      </c>
      <c r="AA46" s="14">
        <f>AA12*Inputs!$C$52</f>
        <v>8.6808987214463187</v>
      </c>
      <c r="AB46" s="14">
        <f>AB12*Inputs!$C$52</f>
        <v>8.7957605830387617</v>
      </c>
      <c r="AC46" s="14">
        <f>AC12*Inputs!$C$52</f>
        <v>8.7934983023309687</v>
      </c>
      <c r="AD46" s="14">
        <f>AD12*Inputs!$C$52</f>
        <v>8.7912821906172134</v>
      </c>
      <c r="AE46" s="14">
        <f>AE12*Inputs!$C$52</f>
        <v>8.9578335388188979</v>
      </c>
      <c r="AF46" s="14">
        <f>AF12*Inputs!$C$52</f>
        <v>8.9561252860395442</v>
      </c>
      <c r="AG46" s="14">
        <f>AG12*Inputs!$C$52</f>
        <v>8.9542917174192365</v>
      </c>
      <c r="AH46" s="14">
        <f>AH12*Inputs!$C$52</f>
        <v>8.9524779355106539</v>
      </c>
    </row>
    <row r="47" spans="1:36" ht="15">
      <c r="A47" s="8" t="s">
        <v>347</v>
      </c>
      <c r="B47" s="34">
        <v>1</v>
      </c>
      <c r="C47" s="331">
        <f>C13*Inputs!$C$54</f>
        <v>264.97310999999996</v>
      </c>
      <c r="D47" s="331">
        <f>D13*Inputs!$C$54</f>
        <v>440.59090000000003</v>
      </c>
      <c r="E47" s="331">
        <f>E13*Inputs!$C$54</f>
        <v>676.29190162905491</v>
      </c>
      <c r="F47" s="331">
        <f>F13*Inputs!$C$54</f>
        <v>955.27025015572735</v>
      </c>
      <c r="G47" s="331">
        <f>G13*Inputs!$C$54</f>
        <v>1094.4854757003723</v>
      </c>
      <c r="H47" s="14">
        <f>H13*Inputs!$C$54</f>
        <v>1249.2657663785776</v>
      </c>
      <c r="I47" s="14">
        <f>I13*Inputs!$C$54</f>
        <v>1425.890489746143</v>
      </c>
      <c r="J47" s="14">
        <f>J13*Inputs!$C$54</f>
        <v>1771.0796872800122</v>
      </c>
      <c r="K47" s="14">
        <f>K13*Inputs!$C$54</f>
        <v>2087.219046664628</v>
      </c>
      <c r="L47" s="14">
        <f>L13*Inputs!$C$54</f>
        <v>2407.2387223222363</v>
      </c>
      <c r="M47" s="14">
        <f>M13*Inputs!$C$54</f>
        <v>2734.1311410512085</v>
      </c>
      <c r="N47" s="190">
        <f>N13*Inputs!$C$54</f>
        <v>3066.9453993711045</v>
      </c>
      <c r="O47" s="14">
        <f>O13*Inputs!$C$54</f>
        <v>3401.201482885454</v>
      </c>
      <c r="P47" s="14">
        <f>P13*Inputs!$C$54</f>
        <v>3747.6148313055846</v>
      </c>
      <c r="Q47" s="14">
        <f>Q13*Inputs!$C$54</f>
        <v>4117.8501730363132</v>
      </c>
      <c r="R47" s="14">
        <f>R13*Inputs!$C$54</f>
        <v>4490.726028051653</v>
      </c>
      <c r="S47" s="14">
        <f>S13*Inputs!$C$54</f>
        <v>4852.8548122066359</v>
      </c>
      <c r="T47" s="14">
        <f>T13*Inputs!$C$54</f>
        <v>4931.2247450837012</v>
      </c>
      <c r="U47" s="14">
        <f>U13*Inputs!$C$54</f>
        <v>5244.0519804495179</v>
      </c>
      <c r="V47" s="14">
        <f>V13*Inputs!$C$54</f>
        <v>5569.7987862430728</v>
      </c>
      <c r="W47" s="14">
        <f>W13*Inputs!$C$54</f>
        <v>5878.3875876840248</v>
      </c>
      <c r="X47" s="187">
        <f>X13*Inputs!$C$54</f>
        <v>6217.8226535328513</v>
      </c>
      <c r="Y47" s="14">
        <f>Y13*Inputs!$C$54</f>
        <v>6542.7859634295737</v>
      </c>
      <c r="Z47" s="14">
        <f>Z13*Inputs!$C$54</f>
        <v>6883.2859833952152</v>
      </c>
      <c r="AA47" s="14">
        <f>AA13*Inputs!$C$54</f>
        <v>7212.6710616141418</v>
      </c>
      <c r="AB47" s="14">
        <f>AB13*Inputs!$C$54</f>
        <v>7564.26088262961</v>
      </c>
      <c r="AC47" s="14">
        <f>AC13*Inputs!$C$54</f>
        <v>7951.1503004370179</v>
      </c>
      <c r="AD47" s="14">
        <f>AD13*Inputs!$C$54</f>
        <v>8327.6483200419425</v>
      </c>
      <c r="AE47" s="14">
        <f>AE13*Inputs!$C$54</f>
        <v>8726.1342257224242</v>
      </c>
      <c r="AF47" s="14">
        <f>AF13*Inputs!$C$54</f>
        <v>9140.8564393928373</v>
      </c>
      <c r="AG47" s="14">
        <f>AG13*Inputs!$C$54</f>
        <v>9545.6423314497752</v>
      </c>
      <c r="AH47" s="14">
        <f>AH13*Inputs!$C$54</f>
        <v>9942.7267103379181</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5.1000000000000005</v>
      </c>
      <c r="D50" s="331">
        <f>D16*Inputs!$C$57</f>
        <v>22.950000000000003</v>
      </c>
      <c r="E50" s="331">
        <f>E16*Inputs!$C$57</f>
        <v>19.881799710000003</v>
      </c>
      <c r="F50" s="331">
        <f>F16*Inputs!$C$57</f>
        <v>22.239020730000007</v>
      </c>
      <c r="G50" s="331">
        <f>G16*Inputs!$C$57</f>
        <v>23.858257980000001</v>
      </c>
      <c r="H50" s="14">
        <f>H16*Inputs!$C$57</f>
        <v>23.990784030000004</v>
      </c>
      <c r="I50" s="14">
        <f>I16*Inputs!$C$57</f>
        <v>30.280206540000002</v>
      </c>
      <c r="J50" s="14">
        <f>J16*Inputs!$C$57</f>
        <v>34.364126400000004</v>
      </c>
      <c r="K50" s="14">
        <f>K16*Inputs!$C$57</f>
        <v>34.364294699999995</v>
      </c>
      <c r="L50" s="14">
        <f>L16*Inputs!$C$57</f>
        <v>34.359288539999994</v>
      </c>
      <c r="M50" s="14">
        <f>M16*Inputs!$C$57</f>
        <v>34.365649769999997</v>
      </c>
      <c r="N50" s="190">
        <f>N16*Inputs!$C$57</f>
        <v>34.367619900000008</v>
      </c>
      <c r="O50" s="14">
        <f>O16*Inputs!$C$57</f>
        <v>34.370867580000002</v>
      </c>
      <c r="P50" s="14">
        <f>P16*Inputs!$C$57</f>
        <v>34.384767629999999</v>
      </c>
      <c r="Q50" s="14">
        <f>Q16*Inputs!$C$57</f>
        <v>34.380996690000003</v>
      </c>
      <c r="R50" s="14">
        <f>R16*Inputs!$C$57</f>
        <v>34.37896842</v>
      </c>
      <c r="S50" s="14">
        <f>S16*Inputs!$C$57</f>
        <v>34.377142110000001</v>
      </c>
      <c r="T50" s="14">
        <f>T16*Inputs!$C$57</f>
        <v>34.381673460000009</v>
      </c>
      <c r="U50" s="14">
        <f>U16*Inputs!$C$57</f>
        <v>34.389917609999998</v>
      </c>
      <c r="V50" s="14">
        <f>V16*Inputs!$C$57</f>
        <v>34.388699219999999</v>
      </c>
      <c r="W50" s="14">
        <f>W16*Inputs!$C$57</f>
        <v>34.425309570000003</v>
      </c>
      <c r="X50" s="187">
        <f>X16*Inputs!$C$57</f>
        <v>34.472872680000002</v>
      </c>
      <c r="Y50" s="14">
        <f>Y16*Inputs!$C$57</f>
        <v>34.52336931</v>
      </c>
      <c r="Z50" s="14">
        <f>Z16*Inputs!$C$57</f>
        <v>34.579365780000003</v>
      </c>
      <c r="AA50" s="14">
        <f>AA16*Inputs!$C$57</f>
        <v>34.645470960000004</v>
      </c>
      <c r="AB50" s="14">
        <f>AB16*Inputs!$C$57</f>
        <v>34.760137829999998</v>
      </c>
      <c r="AC50" s="14">
        <f>AC16*Inputs!$C$57</f>
        <v>34.814417640000009</v>
      </c>
      <c r="AD50" s="14">
        <f>AD16*Inputs!$C$57</f>
        <v>34.816916130000003</v>
      </c>
      <c r="AE50" s="14">
        <f>AE16*Inputs!$C$57</f>
        <v>34.976548170000001</v>
      </c>
      <c r="AF50" s="14">
        <f>AF16*Inputs!$C$57</f>
        <v>35.095058909999999</v>
      </c>
      <c r="AG50" s="14">
        <f>AG16*Inputs!$C$57</f>
        <v>35.296536960000005</v>
      </c>
      <c r="AH50" s="14">
        <f>AH16*Inputs!$C$57</f>
        <v>35.628942209999998</v>
      </c>
    </row>
    <row r="51" spans="1:34" s="20" customFormat="1" ht="15">
      <c r="A51" s="8" t="s">
        <v>128</v>
      </c>
      <c r="B51" s="38"/>
      <c r="C51" s="334">
        <f t="shared" ref="C51:AH51" si="21">SUMPRODUCT($B42:$B50,C42:C50)</f>
        <v>301.54580999999996</v>
      </c>
      <c r="D51" s="334">
        <f t="shared" si="21"/>
        <v>496.54360000000003</v>
      </c>
      <c r="E51" s="334">
        <f t="shared" si="21"/>
        <v>721.97001892220862</v>
      </c>
      <c r="F51" s="334">
        <f t="shared" si="21"/>
        <v>1003.0371539172767</v>
      </c>
      <c r="G51" s="334">
        <f t="shared" si="21"/>
        <v>1143.9253040734386</v>
      </c>
      <c r="H51" s="19">
        <f t="shared" si="21"/>
        <v>1299.9266496249288</v>
      </c>
      <c r="I51" s="19">
        <f t="shared" si="21"/>
        <v>1482.8473498622609</v>
      </c>
      <c r="J51" s="19">
        <f t="shared" si="21"/>
        <v>1834.4867144148504</v>
      </c>
      <c r="K51" s="19">
        <f t="shared" si="21"/>
        <v>2152.4125056497096</v>
      </c>
      <c r="L51" s="19">
        <f t="shared" si="21"/>
        <v>2473.4212509895865</v>
      </c>
      <c r="M51" s="19">
        <f t="shared" si="21"/>
        <v>2801.1942069369506</v>
      </c>
      <c r="N51" s="190">
        <f t="shared" si="21"/>
        <v>3135.1928793718944</v>
      </c>
      <c r="O51" s="19">
        <f t="shared" si="21"/>
        <v>3471.279659353057</v>
      </c>
      <c r="P51" s="19">
        <f t="shared" si="21"/>
        <v>3819.0030090452169</v>
      </c>
      <c r="Q51" s="19">
        <f t="shared" si="21"/>
        <v>4192.7344449118373</v>
      </c>
      <c r="R51" s="19">
        <f t="shared" si="21"/>
        <v>4566.9936272672276</v>
      </c>
      <c r="S51" s="19">
        <f t="shared" si="21"/>
        <v>4933.4767530975723</v>
      </c>
      <c r="T51" s="19">
        <f t="shared" si="21"/>
        <v>5012.9659323035603</v>
      </c>
      <c r="U51" s="19">
        <f t="shared" si="21"/>
        <v>5326.7516349822135</v>
      </c>
      <c r="V51" s="19">
        <f t="shared" si="21"/>
        <v>5653.2979516451223</v>
      </c>
      <c r="W51" s="19">
        <f t="shared" si="21"/>
        <v>5966.7829061334751</v>
      </c>
      <c r="X51" s="182">
        <f t="shared" si="21"/>
        <v>6306.999821911133</v>
      </c>
      <c r="Y51" s="19">
        <f t="shared" si="21"/>
        <v>6632.6282234430246</v>
      </c>
      <c r="Z51" s="19">
        <f t="shared" si="21"/>
        <v>6973.7020182868937</v>
      </c>
      <c r="AA51" s="19">
        <f t="shared" si="21"/>
        <v>7303.8519946659526</v>
      </c>
      <c r="AB51" s="19">
        <f t="shared" si="21"/>
        <v>7656.3861748925992</v>
      </c>
      <c r="AC51" s="19">
        <f t="shared" si="21"/>
        <v>8043.9371882327987</v>
      </c>
      <c r="AD51" s="19">
        <f t="shared" si="21"/>
        <v>8421.2842521944494</v>
      </c>
      <c r="AE51" s="19">
        <f t="shared" si="21"/>
        <v>8821.0128684609554</v>
      </c>
      <c r="AF51" s="19">
        <f t="shared" si="21"/>
        <v>9236.9072931061146</v>
      </c>
      <c r="AG51" s="19">
        <f t="shared" si="21"/>
        <v>9642.992149532467</v>
      </c>
      <c r="AH51" s="19">
        <f t="shared" si="21"/>
        <v>10041.396630725514</v>
      </c>
    </row>
    <row r="52" spans="1:34" s="20" customFormat="1" ht="15">
      <c r="A52" s="27" t="s">
        <v>329</v>
      </c>
      <c r="B52" s="39"/>
      <c r="C52" s="334">
        <f>SUM(C40:C50)</f>
        <v>5558.2743100000007</v>
      </c>
      <c r="D52" s="334">
        <f t="shared" ref="D52:I52" si="22">SUM(D42:D50)</f>
        <v>5857.8420999999998</v>
      </c>
      <c r="E52" s="334">
        <f t="shared" si="22"/>
        <v>5894.7679992808189</v>
      </c>
      <c r="F52" s="334">
        <f t="shared" si="22"/>
        <v>5925.4971190772949</v>
      </c>
      <c r="G52" s="334">
        <f t="shared" si="22"/>
        <v>6253.2491233515584</v>
      </c>
      <c r="H52" s="19">
        <f t="shared" si="22"/>
        <v>6449.3063439128091</v>
      </c>
      <c r="I52" s="19">
        <f t="shared" si="22"/>
        <v>6806.8681447260869</v>
      </c>
      <c r="J52" s="19">
        <f t="shared" ref="J52:AH52" si="23">SUM(J42:J50)</f>
        <v>7353.4260721765604</v>
      </c>
      <c r="K52" s="19">
        <f t="shared" si="23"/>
        <v>7854.4603919858719</v>
      </c>
      <c r="L52" s="19">
        <f t="shared" si="23"/>
        <v>8306.2355857965595</v>
      </c>
      <c r="M52" s="19">
        <f t="shared" si="23"/>
        <v>8656.8549562427943</v>
      </c>
      <c r="N52" s="190">
        <f t="shared" si="23"/>
        <v>8990.8534119443993</v>
      </c>
      <c r="O52" s="19">
        <f t="shared" si="23"/>
        <v>9326.9404979255632</v>
      </c>
      <c r="P52" s="19">
        <f t="shared" si="23"/>
        <v>9674.6629168621675</v>
      </c>
      <c r="Q52" s="19">
        <f t="shared" si="23"/>
        <v>10055.410129484342</v>
      </c>
      <c r="R52" s="19">
        <f t="shared" si="23"/>
        <v>10429.668687073072</v>
      </c>
      <c r="S52" s="19">
        <f t="shared" si="23"/>
        <v>10796.161625375278</v>
      </c>
      <c r="T52" s="19">
        <f t="shared" si="23"/>
        <v>10878.307782120512</v>
      </c>
      <c r="U52" s="19">
        <f t="shared" si="23"/>
        <v>11193.69426004361</v>
      </c>
      <c r="V52" s="19">
        <f t="shared" si="23"/>
        <v>11529.30325120652</v>
      </c>
      <c r="W52" s="19">
        <f t="shared" si="23"/>
        <v>11851.640938705979</v>
      </c>
      <c r="X52" s="182">
        <f t="shared" si="23"/>
        <v>12201.735891472532</v>
      </c>
      <c r="Y52" s="19">
        <f t="shared" si="23"/>
        <v>12527.364471504423</v>
      </c>
      <c r="Z52" s="19">
        <f t="shared" si="23"/>
        <v>12874.167925103846</v>
      </c>
      <c r="AA52" s="19">
        <f t="shared" si="23"/>
        <v>13204.318086344019</v>
      </c>
      <c r="AB52" s="19">
        <f t="shared" si="23"/>
        <v>13556.852323953999</v>
      </c>
      <c r="AC52" s="19">
        <f t="shared" si="23"/>
        <v>13949.841212305304</v>
      </c>
      <c r="AD52" s="19">
        <f t="shared" si="23"/>
        <v>14330.954702766956</v>
      </c>
      <c r="AE52" s="19">
        <f t="shared" si="23"/>
        <v>14730.683829033462</v>
      </c>
      <c r="AF52" s="19">
        <f t="shared" si="23"/>
        <v>15149.995483178622</v>
      </c>
      <c r="AG52" s="19">
        <f t="shared" si="23"/>
        <v>15556.080237593866</v>
      </c>
      <c r="AH52" s="19">
        <f t="shared" si="23"/>
        <v>15954.484846286914</v>
      </c>
    </row>
    <row r="53" spans="1:34" s="20" customFormat="1" ht="15">
      <c r="A53" s="27" t="s">
        <v>330</v>
      </c>
      <c r="B53" s="39"/>
      <c r="C53" s="334">
        <f>C20*Inputs!$C$60</f>
        <v>4367.7700000000004</v>
      </c>
      <c r="D53" s="334">
        <f>D20*Inputs!$C$60</f>
        <v>4800.84</v>
      </c>
      <c r="E53" s="334">
        <f>E20*Inputs!$C$60</f>
        <v>4477.5116346273016</v>
      </c>
      <c r="F53" s="334">
        <f>F20*Inputs!$C$60</f>
        <v>3857.349659245318</v>
      </c>
      <c r="G53" s="334">
        <f>G20*Inputs!$C$60</f>
        <v>4124.6160846859575</v>
      </c>
      <c r="H53" s="19">
        <f>H20*Inputs!$C$60</f>
        <v>4248.8042421702248</v>
      </c>
      <c r="I53" s="19">
        <f>I20*Inputs!$C$60</f>
        <v>4026.5022368603409</v>
      </c>
      <c r="J53" s="19">
        <f>J20*Inputs!$C$60</f>
        <v>3868.6912960292598</v>
      </c>
      <c r="K53" s="19">
        <f>K20*Inputs!$C$60</f>
        <v>4072.6862890325392</v>
      </c>
      <c r="L53" s="19">
        <f>L20*Inputs!$C$60</f>
        <v>4146.1324274373792</v>
      </c>
      <c r="M53" s="19">
        <f>M20*Inputs!$C$60</f>
        <v>4184.01680902107</v>
      </c>
      <c r="N53" s="190">
        <f>N20*Inputs!$C$60</f>
        <v>4173.3176274288644</v>
      </c>
      <c r="O53" s="19">
        <f>O20*Inputs!$C$60</f>
        <v>4208.2803697088048</v>
      </c>
      <c r="P53" s="19">
        <f>P20*Inputs!$C$60</f>
        <v>4240.9138920010628</v>
      </c>
      <c r="Q53" s="19">
        <f>Q20*Inputs!$C$60</f>
        <v>4242.7341059908331</v>
      </c>
      <c r="R53" s="19">
        <f>R20*Inputs!$C$60</f>
        <v>4297.6326843139095</v>
      </c>
      <c r="S53" s="19">
        <f>S20*Inputs!$C$60</f>
        <v>4339.8660906206287</v>
      </c>
      <c r="T53" s="19">
        <f>T20*Inputs!$C$60</f>
        <v>4336.7911104394316</v>
      </c>
      <c r="U53" s="19">
        <f>U20*Inputs!$C$60</f>
        <v>4337.7014483807761</v>
      </c>
      <c r="V53" s="19">
        <f>V20*Inputs!$C$60</f>
        <v>4337.0860177108698</v>
      </c>
      <c r="W53" s="19">
        <f>W20*Inputs!$C$60</f>
        <v>4321.0782856443111</v>
      </c>
      <c r="X53" s="182">
        <f>X20*Inputs!$C$60</f>
        <v>4324.6211027774161</v>
      </c>
      <c r="Y53" s="19">
        <f>Y20*Inputs!$C$60</f>
        <v>4322.7009836206416</v>
      </c>
      <c r="Z53" s="19">
        <f>Z20*Inputs!$C$60</f>
        <v>4321.2591583686008</v>
      </c>
      <c r="AA53" s="19">
        <f>AA20*Inputs!$C$60</f>
        <v>4316.9251110914074</v>
      </c>
      <c r="AB53" s="19">
        <f>AB20*Inputs!$C$60</f>
        <v>4313.371284248371</v>
      </c>
      <c r="AC53" s="19">
        <f>AC20*Inputs!$C$60</f>
        <v>4309.507133511187</v>
      </c>
      <c r="AD53" s="19">
        <f>AD20*Inputs!$C$60</f>
        <v>4305.6726877891733</v>
      </c>
      <c r="AE53" s="19">
        <f>AE20*Inputs!$C$60</f>
        <v>4302.0797136281572</v>
      </c>
      <c r="AF53" s="19">
        <f>AF20*Inputs!$C$60</f>
        <v>4298.453801201531</v>
      </c>
      <c r="AG53" s="19">
        <f>AG20*Inputs!$C$60</f>
        <v>4298.4196817015672</v>
      </c>
      <c r="AH53" s="19">
        <f>AH20*Inputs!$C$60</f>
        <v>4298.363580641816</v>
      </c>
    </row>
    <row r="54" spans="1:34" s="20" customFormat="1" ht="15">
      <c r="A54" s="27" t="s">
        <v>222</v>
      </c>
      <c r="B54" s="39"/>
      <c r="C54" s="334">
        <f>C21*Inputs!$C$61</f>
        <v>3821.29</v>
      </c>
      <c r="D54" s="334">
        <f>D21*Inputs!$C$61</f>
        <v>3264.36</v>
      </c>
      <c r="E54" s="334">
        <f>E21*Inputs!$C$61</f>
        <v>3938.7650797243491</v>
      </c>
      <c r="F54" s="334">
        <f>F21*Inputs!$C$61</f>
        <v>4682.9274959149834</v>
      </c>
      <c r="G54" s="334">
        <f>G21*Inputs!$C$61</f>
        <v>4180.5281555941974</v>
      </c>
      <c r="H54" s="19">
        <f>H21*Inputs!$C$61</f>
        <v>3984.5507775732963</v>
      </c>
      <c r="I54" s="19">
        <f>I21*Inputs!$C$61</f>
        <v>4298.914822910152</v>
      </c>
      <c r="J54" s="19">
        <f>J21*Inputs!$C$61</f>
        <v>4691.0914448630592</v>
      </c>
      <c r="K54" s="19">
        <f>K21*Inputs!$C$61</f>
        <v>4480.7961092479281</v>
      </c>
      <c r="L54" s="19">
        <f>L21*Inputs!$C$61</f>
        <v>4426.5984100187843</v>
      </c>
      <c r="M54" s="19">
        <f>M21*Inputs!$C$61</f>
        <v>4499.5676647594319</v>
      </c>
      <c r="N54" s="190">
        <f>N21*Inputs!$C$61</f>
        <v>4636.2294400952751</v>
      </c>
      <c r="O54" s="19">
        <f>O21*Inputs!$C$61</f>
        <v>4706.5885105256411</v>
      </c>
      <c r="P54" s="19">
        <f>P21*Inputs!$C$61</f>
        <v>4805.4708206839668</v>
      </c>
      <c r="Q54" s="19">
        <f>Q21*Inputs!$C$61</f>
        <v>4989.5660085069476</v>
      </c>
      <c r="R54" s="19">
        <f>R21*Inputs!$C$61</f>
        <v>5102.9374724761228</v>
      </c>
      <c r="S54" s="19">
        <f>S21*Inputs!$C$61</f>
        <v>5164.5029818891071</v>
      </c>
      <c r="T54" s="19">
        <f>T21*Inputs!$C$61</f>
        <v>5248.1467142679603</v>
      </c>
      <c r="U54" s="19">
        <f>U21*Inputs!$C$61</f>
        <v>5329.8213181602578</v>
      </c>
      <c r="V54" s="19">
        <f>V21*Inputs!$C$61</f>
        <v>5425.2259702240244</v>
      </c>
      <c r="W54" s="19">
        <f>W21*Inputs!$C$61</f>
        <v>5469.8130106653834</v>
      </c>
      <c r="X54" s="182">
        <f>X21*Inputs!$C$61</f>
        <v>5554.9131247653513</v>
      </c>
      <c r="Y54" s="19">
        <f>Y21*Inputs!$C$61</f>
        <v>5591.4536297663053</v>
      </c>
      <c r="Z54" s="19">
        <f>Z21*Inputs!$C$61</f>
        <v>5652.7088558260193</v>
      </c>
      <c r="AA54" s="19">
        <f>AA21*Inputs!$C$61</f>
        <v>5696.925281127571</v>
      </c>
      <c r="AB54" s="19">
        <f>AB21*Inputs!$C$61</f>
        <v>5758.1707080442839</v>
      </c>
      <c r="AC54" s="19">
        <f>AC21*Inputs!$C$61</f>
        <v>5854.9334958759391</v>
      </c>
      <c r="AD54" s="19">
        <f>AD21*Inputs!$C$61</f>
        <v>5941.4280250884194</v>
      </c>
      <c r="AE54" s="19">
        <f>AE21*Inputs!$C$61</f>
        <v>6078.5518383378021</v>
      </c>
      <c r="AF54" s="19">
        <f>AF21*Inputs!$C$61</f>
        <v>6230.5544999881067</v>
      </c>
      <c r="AG54" s="19">
        <f>AG21*Inputs!$C$61</f>
        <v>6348.4086166761854</v>
      </c>
      <c r="AH54" s="19">
        <f>AH21*Inputs!$C$61</f>
        <v>6440.0654538527333</v>
      </c>
    </row>
    <row r="55" spans="1:34" s="20" customFormat="1" ht="15">
      <c r="A55" s="27" t="s">
        <v>58</v>
      </c>
      <c r="B55" s="39"/>
      <c r="C55" s="334">
        <f>SUM(C52:C54)</f>
        <v>13747.334310000002</v>
      </c>
      <c r="D55" s="334">
        <f t="shared" ref="D55:AH55" si="24">SUM(D52:D54)</f>
        <v>13923.042100000001</v>
      </c>
      <c r="E55" s="334">
        <f t="shared" si="24"/>
        <v>14311.044713632471</v>
      </c>
      <c r="F55" s="334">
        <f t="shared" si="24"/>
        <v>14465.774274237596</v>
      </c>
      <c r="G55" s="334">
        <f t="shared" si="24"/>
        <v>14558.393363631712</v>
      </c>
      <c r="H55" s="19">
        <f t="shared" si="24"/>
        <v>14682.661363656331</v>
      </c>
      <c r="I55" s="19">
        <f t="shared" si="24"/>
        <v>15132.28520449658</v>
      </c>
      <c r="J55" s="19">
        <f t="shared" si="24"/>
        <v>15913.208813068879</v>
      </c>
      <c r="K55" s="19">
        <f t="shared" si="24"/>
        <v>16407.942790266337</v>
      </c>
      <c r="L55" s="19">
        <f t="shared" si="24"/>
        <v>16878.966423252725</v>
      </c>
      <c r="M55" s="19">
        <f t="shared" si="24"/>
        <v>17340.439430023296</v>
      </c>
      <c r="N55" s="190">
        <f t="shared" si="24"/>
        <v>17800.400479468539</v>
      </c>
      <c r="O55" s="19">
        <f t="shared" si="24"/>
        <v>18241.809378160011</v>
      </c>
      <c r="P55" s="19">
        <f t="shared" si="24"/>
        <v>18721.047629547196</v>
      </c>
      <c r="Q55" s="19">
        <f t="shared" si="24"/>
        <v>19287.710243982121</v>
      </c>
      <c r="R55" s="19">
        <f t="shared" si="24"/>
        <v>19830.238843863102</v>
      </c>
      <c r="S55" s="19">
        <f t="shared" si="24"/>
        <v>20300.530697885013</v>
      </c>
      <c r="T55" s="19">
        <f t="shared" si="24"/>
        <v>20463.245606827903</v>
      </c>
      <c r="U55" s="19">
        <f t="shared" si="24"/>
        <v>20861.217026584643</v>
      </c>
      <c r="V55" s="19">
        <f t="shared" si="24"/>
        <v>21291.615239141414</v>
      </c>
      <c r="W55" s="19">
        <f t="shared" si="24"/>
        <v>21642.532235015675</v>
      </c>
      <c r="X55" s="182">
        <f t="shared" si="24"/>
        <v>22081.270119015302</v>
      </c>
      <c r="Y55" s="19">
        <f t="shared" si="24"/>
        <v>22441.51908489137</v>
      </c>
      <c r="Z55" s="19">
        <f t="shared" si="24"/>
        <v>22848.135939298463</v>
      </c>
      <c r="AA55" s="19">
        <f t="shared" si="24"/>
        <v>23218.168478562999</v>
      </c>
      <c r="AB55" s="19">
        <f t="shared" si="24"/>
        <v>23628.394316246653</v>
      </c>
      <c r="AC55" s="19">
        <f t="shared" si="24"/>
        <v>24114.281841692431</v>
      </c>
      <c r="AD55" s="19">
        <f t="shared" si="24"/>
        <v>24578.055415644547</v>
      </c>
      <c r="AE55" s="19">
        <f t="shared" si="24"/>
        <v>25111.315380999418</v>
      </c>
      <c r="AF55" s="19">
        <f t="shared" si="24"/>
        <v>25679.003784368258</v>
      </c>
      <c r="AG55" s="19">
        <f t="shared" si="24"/>
        <v>26202.908535971619</v>
      </c>
      <c r="AH55" s="19">
        <f t="shared" si="24"/>
        <v>26692.913880781463</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867.64364999999987</v>
      </c>
      <c r="D60" s="331">
        <f>D42*Inputs!$H48</f>
        <v>893.96864999999991</v>
      </c>
      <c r="E60" s="331">
        <f>E42*Inputs!$H48</f>
        <v>1029.1269105000001</v>
      </c>
      <c r="F60" s="331">
        <f>F42*Inputs!$H48</f>
        <v>837.30578445000015</v>
      </c>
      <c r="G60" s="331">
        <f>G42*Inputs!$H48</f>
        <v>1062.86017455</v>
      </c>
      <c r="H60" s="14">
        <f>H42*Inputs!$H48</f>
        <v>1088.4177306000001</v>
      </c>
      <c r="I60" s="14">
        <f>I42*Inputs!$H48</f>
        <v>1110.9756298499999</v>
      </c>
      <c r="J60" s="14">
        <f>J42*Inputs!$H48</f>
        <v>1130.4665829</v>
      </c>
      <c r="K60" s="14">
        <f>K42*Inputs!$H48</f>
        <v>1143.6915433500001</v>
      </c>
      <c r="L60" s="14">
        <f>L42*Inputs!$H48</f>
        <v>1143.6909696000005</v>
      </c>
      <c r="M60" s="14">
        <f>M42*Inputs!$H48</f>
        <v>1143.6912679500001</v>
      </c>
      <c r="N60" s="190">
        <f>N42*Inputs!$H48</f>
        <v>1143.6909696000005</v>
      </c>
      <c r="O60" s="14">
        <f>O42*Inputs!$H48</f>
        <v>1143.6912450000004</v>
      </c>
      <c r="P60" s="14">
        <f>P42*Inputs!$H48</f>
        <v>1143.69044175</v>
      </c>
      <c r="Q60" s="14">
        <f>Q42*Inputs!$H48</f>
        <v>1150.0046064000001</v>
      </c>
      <c r="R60" s="14">
        <f>R42*Inputs!$H48</f>
        <v>1150.0041474000002</v>
      </c>
      <c r="S60" s="14">
        <f>S42*Inputs!$H48</f>
        <v>1150.0046293500002</v>
      </c>
      <c r="T60" s="14">
        <f>T42*Inputs!$H48</f>
        <v>1152.40418955</v>
      </c>
      <c r="U60" s="14">
        <f>U42*Inputs!$H48</f>
        <v>1153.8449217</v>
      </c>
      <c r="V60" s="14">
        <f>V42*Inputs!$H48</f>
        <v>1162.0013287500001</v>
      </c>
      <c r="W60" s="14">
        <f>W42*Inputs!$H48</f>
        <v>1169.9687195999998</v>
      </c>
      <c r="X60" s="187">
        <f>X42*Inputs!$H48</f>
        <v>1178.85902175</v>
      </c>
      <c r="Y60" s="14">
        <f>Y42*Inputs!$H48</f>
        <v>1178.8591824</v>
      </c>
      <c r="Z60" s="14">
        <f>Z42*Inputs!$H48</f>
        <v>1184.0158408500001</v>
      </c>
      <c r="AA60" s="14">
        <f>AA42*Inputs!$H48</f>
        <v>1184.0160933000002</v>
      </c>
      <c r="AB60" s="14">
        <f>AB42*Inputs!$H48</f>
        <v>1184.0160933000002</v>
      </c>
      <c r="AC60" s="14">
        <f>AC42*Inputs!$H48</f>
        <v>1188.9101119499996</v>
      </c>
      <c r="AD60" s="14">
        <f>AD42*Inputs!$H48</f>
        <v>1192.2998958000001</v>
      </c>
      <c r="AE60" s="14">
        <f>AE42*Inputs!$H48</f>
        <v>1192.3003548000004</v>
      </c>
      <c r="AF60" s="14">
        <f>AF42*Inputs!$H48</f>
        <v>1195.3758613499999</v>
      </c>
      <c r="AG60" s="14">
        <f>AG42*Inputs!$H48</f>
        <v>1195.3758384</v>
      </c>
      <c r="AH60" s="14">
        <f>AH42*Inputs!$H48</f>
        <v>1195.3759531500002</v>
      </c>
    </row>
    <row r="61" spans="1:34" ht="15">
      <c r="A61" s="8" t="s">
        <v>59</v>
      </c>
      <c r="B61" s="34">
        <v>0</v>
      </c>
      <c r="C61" s="331">
        <f>C43*Inputs!$H53</f>
        <v>3863.4120000000003</v>
      </c>
      <c r="D61" s="331">
        <f>D43*Inputs!$H53</f>
        <v>3931.2000000000003</v>
      </c>
      <c r="E61" s="331">
        <f>E43*Inputs!$H53</f>
        <v>3626.3912718227489</v>
      </c>
      <c r="F61" s="331">
        <f>F43*Inputs!$H53</f>
        <v>3592.9081841940151</v>
      </c>
      <c r="G61" s="331">
        <f>G43*Inputs!$H53</f>
        <v>3535.5312628003076</v>
      </c>
      <c r="H61" s="14">
        <f>H43*Inputs!$H53</f>
        <v>3546.0239942590915</v>
      </c>
      <c r="I61" s="14">
        <f>I43*Inputs!$H53</f>
        <v>3680.6430855274434</v>
      </c>
      <c r="J61" s="14">
        <f>J43*Inputs!$H53</f>
        <v>3836.5788390855396</v>
      </c>
      <c r="K61" s="14">
        <f>K43*Inputs!$H53</f>
        <v>3988.151554352547</v>
      </c>
      <c r="L61" s="14">
        <f>L43*Inputs!$H53</f>
        <v>4105.8419317262778</v>
      </c>
      <c r="M61" s="14">
        <f>M43*Inputs!$H53</f>
        <v>4126.403406425261</v>
      </c>
      <c r="N61" s="190">
        <f>N43*Inputs!$H53</f>
        <v>4126.4035097152564</v>
      </c>
      <c r="O61" s="14">
        <f>O43*Inputs!$H53</f>
        <v>4126.4035097152564</v>
      </c>
      <c r="P61" s="14">
        <f>P43*Inputs!$H53</f>
        <v>4126.4034752852585</v>
      </c>
      <c r="Q61" s="14">
        <f>Q43*Inputs!$H53</f>
        <v>4126.4035097152564</v>
      </c>
      <c r="R61" s="14">
        <f>R43*Inputs!$H53</f>
        <v>4126.403406425261</v>
      </c>
      <c r="S61" s="14">
        <f>S43*Inputs!$H53</f>
        <v>4126.4117556999381</v>
      </c>
      <c r="T61" s="14">
        <f>T43*Inputs!$H53</f>
        <v>4126.4034752852585</v>
      </c>
      <c r="U61" s="14">
        <f>U43*Inputs!$H53</f>
        <v>4126.4034408552598</v>
      </c>
      <c r="V61" s="14">
        <f>V43*Inputs!$H53</f>
        <v>4126.4034408552598</v>
      </c>
      <c r="W61" s="14">
        <f>W43*Inputs!$H53</f>
        <v>4126.4035097152564</v>
      </c>
      <c r="X61" s="187">
        <f>X43*Inputs!$H53</f>
        <v>4126.4034408552598</v>
      </c>
      <c r="Y61" s="14">
        <f>Y43*Inputs!$H53</f>
        <v>4126.4034408552598</v>
      </c>
      <c r="Z61" s="14">
        <f>Z43*Inputs!$H53</f>
        <v>4126.4034752852585</v>
      </c>
      <c r="AA61" s="14">
        <f>AA43*Inputs!$H53</f>
        <v>4126.4033892102616</v>
      </c>
      <c r="AB61" s="14">
        <f>AB43*Inputs!$H53</f>
        <v>4126.4034408552598</v>
      </c>
      <c r="AC61" s="14">
        <f>AC43*Inputs!$H53</f>
        <v>4126.4035097152564</v>
      </c>
      <c r="AD61" s="14">
        <f>AD43*Inputs!$H53</f>
        <v>4126.4035097152564</v>
      </c>
      <c r="AE61" s="14">
        <f>AE43*Inputs!$H53</f>
        <v>4126.4035097152564</v>
      </c>
      <c r="AF61" s="14">
        <f>AF43*Inputs!$H53</f>
        <v>4126.4035097152564</v>
      </c>
      <c r="AG61" s="14">
        <f>AG43*Inputs!$H53</f>
        <v>4126.4034408552598</v>
      </c>
      <c r="AH61" s="14">
        <f>AH43*Inputs!$H53</f>
        <v>4126.4034408552598</v>
      </c>
    </row>
    <row r="62" spans="1:34" ht="15">
      <c r="A62" s="8" t="s">
        <v>121</v>
      </c>
      <c r="B62" s="34">
        <v>1</v>
      </c>
      <c r="C62" s="331">
        <f>C44*Inputs!$H46</f>
        <v>25.893000000000001</v>
      </c>
      <c r="D62" s="331">
        <f>D44*Inputs!$H46</f>
        <v>26.46</v>
      </c>
      <c r="E62" s="331">
        <f>E44*Inputs!$H46</f>
        <v>15.242235636464466</v>
      </c>
      <c r="F62" s="331">
        <f>F44*Inputs!$H46</f>
        <v>14.718818144944217</v>
      </c>
      <c r="G62" s="331">
        <f>G44*Inputs!$H46</f>
        <v>16.30347027104111</v>
      </c>
      <c r="H62" s="14">
        <f>H44*Inputs!$H46</f>
        <v>16.774049944954967</v>
      </c>
      <c r="I62" s="14">
        <f>I44*Inputs!$H46</f>
        <v>17.389910160102087</v>
      </c>
      <c r="J62" s="14">
        <f>J44*Inputs!$H46</f>
        <v>18.399545108453093</v>
      </c>
      <c r="K62" s="14">
        <f>K44*Inputs!$H46</f>
        <v>19.954171018750312</v>
      </c>
      <c r="L62" s="14">
        <f>L44*Inputs!$H46</f>
        <v>20.847438955229183</v>
      </c>
      <c r="M62" s="14">
        <f>M44*Inputs!$H46</f>
        <v>21.685172517783126</v>
      </c>
      <c r="N62" s="190">
        <f>N44*Inputs!$H46</f>
        <v>22.751634024951507</v>
      </c>
      <c r="O62" s="14">
        <f>O44*Inputs!$H46</f>
        <v>24.397679721663977</v>
      </c>
      <c r="P62" s="14">
        <f>P44*Inputs!$H46</f>
        <v>25.514401815796926</v>
      </c>
      <c r="Q62" s="14">
        <f>Q44*Inputs!$H46</f>
        <v>28.716473714722408</v>
      </c>
      <c r="R62" s="14">
        <f>R44*Inputs!$H46</f>
        <v>29.964458132766971</v>
      </c>
      <c r="S62" s="14">
        <f>S44*Inputs!$H46</f>
        <v>33.835128116443229</v>
      </c>
      <c r="T62" s="14">
        <f>T44*Inputs!$H46</f>
        <v>34.973701087703603</v>
      </c>
      <c r="U62" s="14">
        <f>U44*Inputs!$H46</f>
        <v>35.748881478834775</v>
      </c>
      <c r="V62" s="14">
        <f>V44*Inputs!$H46</f>
        <v>36.47185229694815</v>
      </c>
      <c r="W62" s="14">
        <f>W44*Inputs!$H46</f>
        <v>40.84816636557759</v>
      </c>
      <c r="X62" s="187">
        <f>X44*Inputs!$H46</f>
        <v>41.511910852930505</v>
      </c>
      <c r="Y62" s="14">
        <f>Y44*Inputs!$H46</f>
        <v>42.0679297511371</v>
      </c>
      <c r="Z62" s="14">
        <f>Z44*Inputs!$H46</f>
        <v>42.485225920942597</v>
      </c>
      <c r="AA62" s="14">
        <f>AA44*Inputs!$H46</f>
        <v>43.044617554302519</v>
      </c>
      <c r="AB62" s="14">
        <f>AB44*Inputs!$H46</f>
        <v>43.687965509955497</v>
      </c>
      <c r="AC62" s="14">
        <f>AC44*Inputs!$H46</f>
        <v>44.236586216204913</v>
      </c>
      <c r="AD62" s="14">
        <f>AD44*Inputs!$H46</f>
        <v>45.000472483027629</v>
      </c>
      <c r="AE62" s="14">
        <f>AE44*Inputs!$H46</f>
        <v>45.825347429067094</v>
      </c>
      <c r="AF62" s="14">
        <f>AF44*Inputs!$H46</f>
        <v>46.775215511540821</v>
      </c>
      <c r="AG62" s="14">
        <f>AG44*Inputs!$H46</f>
        <v>47.764603850196004</v>
      </c>
      <c r="AH62" s="14">
        <f>AH44*Inputs!$H46</f>
        <v>48.655164011702972</v>
      </c>
    </row>
    <row r="63" spans="1:34" ht="15">
      <c r="A63" s="8" t="s">
        <v>50</v>
      </c>
      <c r="B63" s="34">
        <v>1</v>
      </c>
      <c r="C63" s="331">
        <f>C45*Inputs!$H49</f>
        <v>0</v>
      </c>
      <c r="D63" s="331">
        <f>D45*Inputs!$H49</f>
        <v>0</v>
      </c>
      <c r="E63" s="331">
        <f>E45*Inputs!$H49</f>
        <v>9.0267367500000001E-4</v>
      </c>
      <c r="F63" s="331">
        <f>F45*Inputs!$H49</f>
        <v>8.4559477500000002E-4</v>
      </c>
      <c r="G63" s="331">
        <f>G45*Inputs!$H49</f>
        <v>9.2453715000000007E-4</v>
      </c>
      <c r="H63" s="14">
        <f>H45*Inputs!$H49</f>
        <v>9.2454074999999988E-4</v>
      </c>
      <c r="I63" s="14">
        <f>I45*Inputs!$H49</f>
        <v>9.2425454999999987E-4</v>
      </c>
      <c r="J63" s="14">
        <f>J45*Inputs!$H49</f>
        <v>9.225263249999999E-4</v>
      </c>
      <c r="K63" s="14">
        <f>K45*Inputs!$H49</f>
        <v>1.0142507249999999E-3</v>
      </c>
      <c r="L63" s="14">
        <f>L45*Inputs!$H49</f>
        <v>1.1027132999999998E-3</v>
      </c>
      <c r="M63" s="14">
        <f>M45*Inputs!$H49</f>
        <v>1.1060243999999999E-3</v>
      </c>
      <c r="N63" s="190">
        <f>N45*Inputs!$H49</f>
        <v>1.105724925E-3</v>
      </c>
      <c r="O63" s="14">
        <f>O45*Inputs!$H49</f>
        <v>1.1054754E-3</v>
      </c>
      <c r="P63" s="14">
        <f>P45*Inputs!$H49</f>
        <v>1.10694375E-3</v>
      </c>
      <c r="Q63" s="14">
        <f>Q45*Inputs!$H49</f>
        <v>1.1089799999999999E-3</v>
      </c>
      <c r="R63" s="14">
        <f>R45*Inputs!$H49</f>
        <v>1.1080696499999999E-3</v>
      </c>
      <c r="S63" s="14">
        <f>S45*Inputs!$H49</f>
        <v>1.1089511999999998E-3</v>
      </c>
      <c r="T63" s="14">
        <f>T45*Inputs!$H49</f>
        <v>1.108697175E-3</v>
      </c>
      <c r="U63" s="14">
        <f>U45*Inputs!$H49</f>
        <v>1.1947945499999999E-3</v>
      </c>
      <c r="V63" s="14">
        <f>V45*Inputs!$H49</f>
        <v>1.2487792500000001E-3</v>
      </c>
      <c r="W63" s="14">
        <f>W45*Inputs!$H49</f>
        <v>1.2537045E-3</v>
      </c>
      <c r="X63" s="187">
        <f>X45*Inputs!$H49</f>
        <v>1.3116167999999999E-3</v>
      </c>
      <c r="Y63" s="14">
        <f>Y45*Inputs!$H49</f>
        <v>1.3606139249999999E-3</v>
      </c>
      <c r="Z63" s="14">
        <f>Z45*Inputs!$H49</f>
        <v>1.3600206E-3</v>
      </c>
      <c r="AA63" s="14">
        <f>AA45*Inputs!$H49</f>
        <v>1.3594790249999999E-3</v>
      </c>
      <c r="AB63" s="14">
        <f>AB45*Inputs!$H49</f>
        <v>1.358955E-3</v>
      </c>
      <c r="AC63" s="14">
        <f>AC45*Inputs!$H49</f>
        <v>1.3584519E-3</v>
      </c>
      <c r="AD63" s="14">
        <f>AD45*Inputs!$H49</f>
        <v>1.3579656749999999E-3</v>
      </c>
      <c r="AE63" s="14">
        <f>AE45*Inputs!$H49</f>
        <v>1.3574976750000002E-3</v>
      </c>
      <c r="AF63" s="14">
        <f>AF45*Inputs!$H49</f>
        <v>1.357053975E-3</v>
      </c>
      <c r="AG63" s="14">
        <f>AG45*Inputs!$H49</f>
        <v>1.3566145499999999E-3</v>
      </c>
      <c r="AH63" s="14">
        <f>AH45*Inputs!$H49</f>
        <v>1.3562061749999999E-3</v>
      </c>
    </row>
    <row r="64" spans="1:34" ht="15">
      <c r="A64" s="8" t="s">
        <v>51</v>
      </c>
      <c r="B64" s="34">
        <v>1</v>
      </c>
      <c r="C64" s="331">
        <f>C46*Inputs!$H52</f>
        <v>2.4299999999999997</v>
      </c>
      <c r="D64" s="331">
        <f>D46*Inputs!$H52</f>
        <v>3.2399999999999998</v>
      </c>
      <c r="E64" s="331">
        <f>E46*Inputs!$H52</f>
        <v>7.9504175146988958</v>
      </c>
      <c r="F64" s="331">
        <f>F46*Inputs!$H52</f>
        <v>8.2323009886751404</v>
      </c>
      <c r="G64" s="331">
        <f>G46*Inputs!$H52</f>
        <v>6.6958885455686552</v>
      </c>
      <c r="H64" s="14">
        <f>H46*Inputs!$H52</f>
        <v>7.2049848090112576</v>
      </c>
      <c r="I64" s="14">
        <f>I46*Inputs!$H52</f>
        <v>6.5950238038539881</v>
      </c>
      <c r="J64" s="14">
        <f>J46*Inputs!$H52</f>
        <v>7.7150130265763366</v>
      </c>
      <c r="K64" s="14">
        <f>K46*Inputs!$H52</f>
        <v>7.7679325870981275</v>
      </c>
      <c r="L64" s="14">
        <f>L46*Inputs!$H52</f>
        <v>7.7692444460858221</v>
      </c>
      <c r="M64" s="14">
        <f>M46*Inputs!$H52</f>
        <v>7.7182659619847422</v>
      </c>
      <c r="N64" s="190">
        <f>N46*Inputs!$H52</f>
        <v>7.7160043408340098</v>
      </c>
      <c r="O64" s="14">
        <f>O46*Inputs!$H52</f>
        <v>7.714662801778716</v>
      </c>
      <c r="P64" s="14">
        <f>P46*Inputs!$H52</f>
        <v>7.7644303391219234</v>
      </c>
      <c r="Q64" s="14">
        <f>Q46*Inputs!$H52</f>
        <v>7.7122349722494485</v>
      </c>
      <c r="R64" s="14">
        <f>R46*Inputs!$H52</f>
        <v>7.7110715135997285</v>
      </c>
      <c r="S64" s="14">
        <f>S46*Inputs!$H52</f>
        <v>7.7609518351997941</v>
      </c>
      <c r="T64" s="14">
        <f>T46*Inputs!$H52</f>
        <v>7.6256225989938784</v>
      </c>
      <c r="U64" s="14">
        <f>U46*Inputs!$H52</f>
        <v>7.7055569570405869</v>
      </c>
      <c r="V64" s="14">
        <f>V46*Inputs!$H52</f>
        <v>7.7031884876465107</v>
      </c>
      <c r="W64" s="14">
        <f>W46*Inputs!$H52</f>
        <v>7.7004579214277751</v>
      </c>
      <c r="X64" s="187">
        <f>X46*Inputs!$H52</f>
        <v>7.6975136587223574</v>
      </c>
      <c r="Y64" s="14">
        <f>Y46*Inputs!$H52</f>
        <v>7.6945812680439749</v>
      </c>
      <c r="Z64" s="14">
        <f>Z46*Inputs!$H52</f>
        <v>7.7432862589672826</v>
      </c>
      <c r="AA64" s="14">
        <f>AA46*Inputs!$H52</f>
        <v>7.8128088493016872</v>
      </c>
      <c r="AB64" s="14">
        <f>AB46*Inputs!$H52</f>
        <v>7.9161845247348861</v>
      </c>
      <c r="AC64" s="14">
        <f>AC46*Inputs!$H52</f>
        <v>7.9141484720978719</v>
      </c>
      <c r="AD64" s="14">
        <f>AD46*Inputs!$H52</f>
        <v>7.912153971555492</v>
      </c>
      <c r="AE64" s="14">
        <f>AE46*Inputs!$H52</f>
        <v>8.062050184937009</v>
      </c>
      <c r="AF64" s="14">
        <f>AF46*Inputs!$H52</f>
        <v>8.0605127574355908</v>
      </c>
      <c r="AG64" s="14">
        <f>AG46*Inputs!$H52</f>
        <v>8.0588625456773126</v>
      </c>
      <c r="AH64" s="14">
        <f>AH46*Inputs!$H52</f>
        <v>8.0572301419595895</v>
      </c>
    </row>
    <row r="65" spans="1:34" ht="15">
      <c r="A65" s="8" t="s">
        <v>347</v>
      </c>
      <c r="B65" s="34">
        <v>1</v>
      </c>
      <c r="C65" s="331">
        <f>C47*Inputs!$H54</f>
        <v>238.47579899999997</v>
      </c>
      <c r="D65" s="331">
        <f>D47*Inputs!$H54</f>
        <v>396.53181000000006</v>
      </c>
      <c r="E65" s="331">
        <f>E47*Inputs!$H54</f>
        <v>608.6627114661494</v>
      </c>
      <c r="F65" s="331">
        <f>F47*Inputs!$H54</f>
        <v>859.74322514015466</v>
      </c>
      <c r="G65" s="331">
        <f>G47*Inputs!$H54</f>
        <v>985.03692813033501</v>
      </c>
      <c r="H65" s="14">
        <f>H47*Inputs!$H54</f>
        <v>1124.3391897407198</v>
      </c>
      <c r="I65" s="14">
        <f>I47*Inputs!$H54</f>
        <v>1283.3014407715286</v>
      </c>
      <c r="J65" s="14">
        <f>J47*Inputs!$H54</f>
        <v>1593.971718552011</v>
      </c>
      <c r="K65" s="14">
        <f>K47*Inputs!$H54</f>
        <v>1878.4971419981653</v>
      </c>
      <c r="L65" s="14">
        <f>L47*Inputs!$H54</f>
        <v>2166.5148500900127</v>
      </c>
      <c r="M65" s="14">
        <f>M47*Inputs!$H54</f>
        <v>2460.7180269460878</v>
      </c>
      <c r="N65" s="190">
        <f>N47*Inputs!$H54</f>
        <v>2760.2508594339943</v>
      </c>
      <c r="O65" s="14">
        <f>O47*Inputs!$H54</f>
        <v>3061.0813345969086</v>
      </c>
      <c r="P65" s="14">
        <f>P47*Inputs!$H54</f>
        <v>3372.8533481750264</v>
      </c>
      <c r="Q65" s="14">
        <f>Q47*Inputs!$H54</f>
        <v>3706.0651557326819</v>
      </c>
      <c r="R65" s="14">
        <f>R47*Inputs!$H54</f>
        <v>4041.6534252464876</v>
      </c>
      <c r="S65" s="14">
        <f>S47*Inputs!$H54</f>
        <v>4367.5693309859726</v>
      </c>
      <c r="T65" s="14">
        <f>T47*Inputs!$H54</f>
        <v>4438.1022705753312</v>
      </c>
      <c r="U65" s="14">
        <f>U47*Inputs!$H54</f>
        <v>4719.6467824045667</v>
      </c>
      <c r="V65" s="14">
        <f>V47*Inputs!$H54</f>
        <v>5012.8189076187655</v>
      </c>
      <c r="W65" s="14">
        <f>W47*Inputs!$H54</f>
        <v>5290.5488289156228</v>
      </c>
      <c r="X65" s="187">
        <f>X47*Inputs!$H54</f>
        <v>5596.0403881795664</v>
      </c>
      <c r="Y65" s="14">
        <f>Y47*Inputs!$H54</f>
        <v>5888.5073670866168</v>
      </c>
      <c r="Z65" s="14">
        <f>Z47*Inputs!$H54</f>
        <v>6194.9573850556935</v>
      </c>
      <c r="AA65" s="14">
        <f>AA47*Inputs!$H54</f>
        <v>6491.403955452728</v>
      </c>
      <c r="AB65" s="14">
        <f>AB47*Inputs!$H54</f>
        <v>6807.8347943666495</v>
      </c>
      <c r="AC65" s="14">
        <f>AC47*Inputs!$H54</f>
        <v>7156.0352703933158</v>
      </c>
      <c r="AD65" s="14">
        <f>AD47*Inputs!$H54</f>
        <v>7494.8834880377481</v>
      </c>
      <c r="AE65" s="14">
        <f>AE47*Inputs!$H54</f>
        <v>7853.5208031501816</v>
      </c>
      <c r="AF65" s="14">
        <f>AF47*Inputs!$H54</f>
        <v>8226.7707954535545</v>
      </c>
      <c r="AG65" s="14">
        <f>AG47*Inputs!$H54</f>
        <v>8591.0780983047971</v>
      </c>
      <c r="AH65" s="14">
        <f>AH47*Inputs!$H54</f>
        <v>8948.4540393041261</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4.5900000000000007</v>
      </c>
      <c r="D68" s="331">
        <f>D50*Inputs!$H57</f>
        <v>20.655000000000005</v>
      </c>
      <c r="E68" s="331">
        <f>E50*Inputs!$H57</f>
        <v>17.893619739000002</v>
      </c>
      <c r="F68" s="331">
        <f>F50*Inputs!$H57</f>
        <v>20.015118657000006</v>
      </c>
      <c r="G68" s="331">
        <f>G50*Inputs!$H57</f>
        <v>21.472432182000002</v>
      </c>
      <c r="H68" s="14">
        <f>H50*Inputs!$H57</f>
        <v>21.591705627000003</v>
      </c>
      <c r="I68" s="14">
        <f>I50*Inputs!$H57</f>
        <v>27.252185886000003</v>
      </c>
      <c r="J68" s="14">
        <f>J50*Inputs!$H57</f>
        <v>30.927713760000003</v>
      </c>
      <c r="K68" s="14">
        <f>K50*Inputs!$H57</f>
        <v>30.927865229999995</v>
      </c>
      <c r="L68" s="14">
        <f>L50*Inputs!$H57</f>
        <v>30.923359685999994</v>
      </c>
      <c r="M68" s="14">
        <f>M50*Inputs!$H57</f>
        <v>30.929084792999998</v>
      </c>
      <c r="N68" s="190">
        <f>N50*Inputs!$H57</f>
        <v>30.930857910000007</v>
      </c>
      <c r="O68" s="14">
        <f>O50*Inputs!$H57</f>
        <v>30.933780822000003</v>
      </c>
      <c r="P68" s="14">
        <f>P50*Inputs!$H57</f>
        <v>30.946290866999998</v>
      </c>
      <c r="Q68" s="14">
        <f>Q50*Inputs!$H57</f>
        <v>30.942897021000004</v>
      </c>
      <c r="R68" s="14">
        <f>R50*Inputs!$H57</f>
        <v>30.941071577999999</v>
      </c>
      <c r="S68" s="14">
        <f>S50*Inputs!$H57</f>
        <v>30.939427899000002</v>
      </c>
      <c r="T68" s="14">
        <f>T50*Inputs!$H57</f>
        <v>30.943506114000009</v>
      </c>
      <c r="U68" s="14">
        <f>U50*Inputs!$H57</f>
        <v>30.950925848999997</v>
      </c>
      <c r="V68" s="14">
        <f>V50*Inputs!$H57</f>
        <v>30.949829298000001</v>
      </c>
      <c r="W68" s="14">
        <f>W50*Inputs!$H57</f>
        <v>30.982778613000004</v>
      </c>
      <c r="X68" s="187">
        <f>X50*Inputs!$H57</f>
        <v>31.025585412000002</v>
      </c>
      <c r="Y68" s="14">
        <f>Y50*Inputs!$H57</f>
        <v>31.071032379000002</v>
      </c>
      <c r="Z68" s="14">
        <f>Z50*Inputs!$H57</f>
        <v>31.121429202000005</v>
      </c>
      <c r="AA68" s="14">
        <f>AA50*Inputs!$H57</f>
        <v>31.180923864000004</v>
      </c>
      <c r="AB68" s="14">
        <f>AB50*Inputs!$H57</f>
        <v>31.284124046999999</v>
      </c>
      <c r="AC68" s="14">
        <f>AC50*Inputs!$H57</f>
        <v>31.33297587600001</v>
      </c>
      <c r="AD68" s="14">
        <f>AD50*Inputs!$H57</f>
        <v>31.335224517000004</v>
      </c>
      <c r="AE68" s="14">
        <f>AE50*Inputs!$H57</f>
        <v>31.478893353</v>
      </c>
      <c r="AF68" s="14">
        <f>AF50*Inputs!$H57</f>
        <v>31.585553018999999</v>
      </c>
      <c r="AG68" s="14">
        <f>AG50*Inputs!$H57</f>
        <v>31.766883264000004</v>
      </c>
      <c r="AH68" s="14">
        <f>AH50*Inputs!$H57</f>
        <v>32.066047988999998</v>
      </c>
    </row>
    <row r="69" spans="1:34" s="20" customFormat="1" ht="15">
      <c r="A69" s="8" t="s">
        <v>128</v>
      </c>
      <c r="B69" s="38"/>
      <c r="C69" s="334">
        <f t="shared" ref="C69:AH69" si="25">SUMPRODUCT($B60:$B68,C60:C68)</f>
        <v>271.39122899999995</v>
      </c>
      <c r="D69" s="334">
        <f t="shared" si="25"/>
        <v>446.88924000000009</v>
      </c>
      <c r="E69" s="334">
        <f t="shared" si="25"/>
        <v>649.77301702998773</v>
      </c>
      <c r="F69" s="334">
        <f t="shared" si="25"/>
        <v>902.7334385255491</v>
      </c>
      <c r="G69" s="334">
        <f t="shared" si="25"/>
        <v>1029.5327736660947</v>
      </c>
      <c r="H69" s="19">
        <f t="shared" si="25"/>
        <v>1169.9339846624362</v>
      </c>
      <c r="I69" s="19">
        <f t="shared" si="25"/>
        <v>1334.5626148760348</v>
      </c>
      <c r="J69" s="19">
        <f t="shared" si="25"/>
        <v>1651.0380429733655</v>
      </c>
      <c r="K69" s="19">
        <f t="shared" si="25"/>
        <v>1937.1712550847387</v>
      </c>
      <c r="L69" s="19">
        <f t="shared" si="25"/>
        <v>2226.0791258906279</v>
      </c>
      <c r="M69" s="19">
        <f t="shared" si="25"/>
        <v>2521.0747862432559</v>
      </c>
      <c r="N69" s="190">
        <f t="shared" si="25"/>
        <v>2821.673591434705</v>
      </c>
      <c r="O69" s="19">
        <f t="shared" si="25"/>
        <v>3124.1516934177512</v>
      </c>
      <c r="P69" s="19">
        <f t="shared" si="25"/>
        <v>3437.1027081406951</v>
      </c>
      <c r="Q69" s="19">
        <f t="shared" si="25"/>
        <v>3773.4610004206538</v>
      </c>
      <c r="R69" s="19">
        <f t="shared" si="25"/>
        <v>4110.2942645405046</v>
      </c>
      <c r="S69" s="19">
        <f t="shared" si="25"/>
        <v>4440.1290777878157</v>
      </c>
      <c r="T69" s="19">
        <f t="shared" si="25"/>
        <v>4511.6693390732034</v>
      </c>
      <c r="U69" s="19">
        <f t="shared" si="25"/>
        <v>4794.0764714839916</v>
      </c>
      <c r="V69" s="19">
        <f t="shared" si="25"/>
        <v>5087.9681564806097</v>
      </c>
      <c r="W69" s="19">
        <f t="shared" si="25"/>
        <v>5370.1046155201275</v>
      </c>
      <c r="X69" s="182">
        <f t="shared" si="25"/>
        <v>5676.2998397200181</v>
      </c>
      <c r="Y69" s="19">
        <f t="shared" si="25"/>
        <v>5969.365401098722</v>
      </c>
      <c r="Z69" s="19">
        <f t="shared" si="25"/>
        <v>6276.3318164582033</v>
      </c>
      <c r="AA69" s="19">
        <f t="shared" si="25"/>
        <v>6573.466795199357</v>
      </c>
      <c r="AB69" s="19">
        <f t="shared" si="25"/>
        <v>6890.7475574033388</v>
      </c>
      <c r="AC69" s="19">
        <f t="shared" si="25"/>
        <v>7239.5434694095184</v>
      </c>
      <c r="AD69" s="19">
        <f t="shared" si="25"/>
        <v>7579.1558269750058</v>
      </c>
      <c r="AE69" s="19">
        <f t="shared" si="25"/>
        <v>7938.9115816148606</v>
      </c>
      <c r="AF69" s="19">
        <f t="shared" si="25"/>
        <v>8313.2165637955059</v>
      </c>
      <c r="AG69" s="19">
        <f t="shared" si="25"/>
        <v>8678.6929345792196</v>
      </c>
      <c r="AH69" s="19">
        <f t="shared" si="25"/>
        <v>9037.256967652962</v>
      </c>
    </row>
    <row r="70" spans="1:34" s="20" customFormat="1" ht="15">
      <c r="A70" s="27" t="s">
        <v>329</v>
      </c>
      <c r="B70" s="39"/>
      <c r="C70" s="334">
        <f>SUM(C58:C68)</f>
        <v>5002.4468790000001</v>
      </c>
      <c r="D70" s="334">
        <f t="shared" ref="D70:AH70" si="26">SUM(D58:D68)</f>
        <v>5272.05789</v>
      </c>
      <c r="E70" s="334">
        <f t="shared" si="26"/>
        <v>5305.2911993527359</v>
      </c>
      <c r="F70" s="334">
        <f t="shared" si="26"/>
        <v>5332.947407169564</v>
      </c>
      <c r="G70" s="334">
        <f t="shared" si="26"/>
        <v>5627.9242110164023</v>
      </c>
      <c r="H70" s="19">
        <f t="shared" si="26"/>
        <v>5804.3757095215269</v>
      </c>
      <c r="I70" s="19">
        <f t="shared" si="26"/>
        <v>6126.1813302534774</v>
      </c>
      <c r="J70" s="19">
        <f t="shared" si="26"/>
        <v>6618.0834649589051</v>
      </c>
      <c r="K70" s="19">
        <f t="shared" si="26"/>
        <v>7069.014352787286</v>
      </c>
      <c r="L70" s="19">
        <f t="shared" si="26"/>
        <v>7475.6120272169055</v>
      </c>
      <c r="M70" s="19">
        <f t="shared" si="26"/>
        <v>7791.1694606185156</v>
      </c>
      <c r="N70" s="182">
        <f t="shared" si="26"/>
        <v>8091.7680707499603</v>
      </c>
      <c r="O70" s="19">
        <f t="shared" si="26"/>
        <v>8394.2464481330098</v>
      </c>
      <c r="P70" s="19">
        <f t="shared" si="26"/>
        <v>8707.1966251759532</v>
      </c>
      <c r="Q70" s="19">
        <f t="shared" si="26"/>
        <v>9049.8691165359087</v>
      </c>
      <c r="R70" s="19">
        <f t="shared" si="26"/>
        <v>9386.7018183657638</v>
      </c>
      <c r="S70" s="19">
        <f t="shared" si="26"/>
        <v>9716.5454628377538</v>
      </c>
      <c r="T70" s="19">
        <f t="shared" si="26"/>
        <v>9790.4770039084597</v>
      </c>
      <c r="U70" s="19">
        <f t="shared" si="26"/>
        <v>10074.324834039251</v>
      </c>
      <c r="V70" s="19">
        <f t="shared" si="26"/>
        <v>10376.372926085871</v>
      </c>
      <c r="W70" s="19">
        <f t="shared" si="26"/>
        <v>10666.476844835384</v>
      </c>
      <c r="X70" s="182">
        <f t="shared" si="26"/>
        <v>10981.562302325279</v>
      </c>
      <c r="Y70" s="19">
        <f t="shared" si="26"/>
        <v>11274.628024353982</v>
      </c>
      <c r="Z70" s="19">
        <f t="shared" si="26"/>
        <v>11586.751132593461</v>
      </c>
      <c r="AA70" s="19">
        <f t="shared" si="26"/>
        <v>11883.886277709618</v>
      </c>
      <c r="AB70" s="19">
        <f t="shared" si="26"/>
        <v>12201.1670915586</v>
      </c>
      <c r="AC70" s="19">
        <f t="shared" si="26"/>
        <v>12554.857091074773</v>
      </c>
      <c r="AD70" s="19">
        <f t="shared" si="26"/>
        <v>12897.859232490264</v>
      </c>
      <c r="AE70" s="19">
        <f t="shared" si="26"/>
        <v>13257.615446130118</v>
      </c>
      <c r="AF70" s="19">
        <f t="shared" si="26"/>
        <v>13634.995934860763</v>
      </c>
      <c r="AG70" s="19">
        <f t="shared" si="26"/>
        <v>14000.47221383448</v>
      </c>
      <c r="AH70" s="19">
        <f t="shared" si="26"/>
        <v>14359.036361658224</v>
      </c>
    </row>
    <row r="71" spans="1:34" s="20" customFormat="1" ht="15">
      <c r="A71" s="27" t="s">
        <v>142</v>
      </c>
      <c r="B71" s="39"/>
      <c r="C71" s="334">
        <f>C53*Inputs!$H$60</f>
        <v>3930.9930000000004</v>
      </c>
      <c r="D71" s="334">
        <f>D53*Inputs!$H$60</f>
        <v>4320.7560000000003</v>
      </c>
      <c r="E71" s="334">
        <f>E53*Inputs!$H$60</f>
        <v>4029.7604711645718</v>
      </c>
      <c r="F71" s="334">
        <f>F53*Inputs!$H$60</f>
        <v>3471.614693320786</v>
      </c>
      <c r="G71" s="334">
        <f>G53*Inputs!$H$60</f>
        <v>3712.1544762173617</v>
      </c>
      <c r="H71" s="19">
        <f>H53*Inputs!$H$60</f>
        <v>3823.9238179532026</v>
      </c>
      <c r="I71" s="19">
        <f>I53*Inputs!$H$60</f>
        <v>3623.8520131743066</v>
      </c>
      <c r="J71" s="19">
        <f>J53*Inputs!$H$60</f>
        <v>3481.8221664263338</v>
      </c>
      <c r="K71" s="19">
        <f>K53*Inputs!$H$60</f>
        <v>3665.4176601292852</v>
      </c>
      <c r="L71" s="19">
        <f>L53*Inputs!$H$60</f>
        <v>3731.5191846936414</v>
      </c>
      <c r="M71" s="19">
        <f>M53*Inputs!$H$60</f>
        <v>3765.6151281189632</v>
      </c>
      <c r="N71" s="190">
        <f>N53*Inputs!$H$60</f>
        <v>3755.985864685978</v>
      </c>
      <c r="O71" s="19">
        <f>O53*Inputs!$H$60</f>
        <v>3787.4523327379243</v>
      </c>
      <c r="P71" s="19">
        <f>P53*Inputs!$H$60</f>
        <v>3816.8225028009565</v>
      </c>
      <c r="Q71" s="19">
        <f>Q53*Inputs!$H$60</f>
        <v>3818.4606953917501</v>
      </c>
      <c r="R71" s="19">
        <f>R53*Inputs!$H$60</f>
        <v>3867.8694158825188</v>
      </c>
      <c r="S71" s="19">
        <f>S53*Inputs!$H$60</f>
        <v>3905.8794815585661</v>
      </c>
      <c r="T71" s="19">
        <f>T53*Inputs!$H$60</f>
        <v>3903.1119993954885</v>
      </c>
      <c r="U71" s="19">
        <f>U53*Inputs!$H$60</f>
        <v>3903.9313035426985</v>
      </c>
      <c r="V71" s="19">
        <f>V53*Inputs!$H$60</f>
        <v>3903.3774159397831</v>
      </c>
      <c r="W71" s="19">
        <f>W53*Inputs!$H$60</f>
        <v>3888.9704570798799</v>
      </c>
      <c r="X71" s="182">
        <f>X53*Inputs!$H$60</f>
        <v>3892.1589924996747</v>
      </c>
      <c r="Y71" s="19">
        <f>Y53*Inputs!$H$60</f>
        <v>3890.4308852585777</v>
      </c>
      <c r="Z71" s="19">
        <f>Z53*Inputs!$H$60</f>
        <v>3889.133242531741</v>
      </c>
      <c r="AA71" s="19">
        <f>AA53*Inputs!$H$60</f>
        <v>3885.2325999822669</v>
      </c>
      <c r="AB71" s="19">
        <f>AB53*Inputs!$H$60</f>
        <v>3882.0341558235341</v>
      </c>
      <c r="AC71" s="19">
        <f>AC53*Inputs!$H$60</f>
        <v>3878.5564201600682</v>
      </c>
      <c r="AD71" s="19">
        <f>AD53*Inputs!$H$60</f>
        <v>3875.1054190102559</v>
      </c>
      <c r="AE71" s="19">
        <f>AE53*Inputs!$H$60</f>
        <v>3871.8717422653417</v>
      </c>
      <c r="AF71" s="19">
        <f>AF53*Inputs!$H$60</f>
        <v>3868.6084210813779</v>
      </c>
      <c r="AG71" s="19">
        <f>AG53*Inputs!$H$60</f>
        <v>3868.5777135314106</v>
      </c>
      <c r="AH71" s="19">
        <f>AH53*Inputs!$H$60</f>
        <v>3868.5272225776343</v>
      </c>
    </row>
    <row r="72" spans="1:34" s="20" customFormat="1" ht="15">
      <c r="A72" s="27" t="s">
        <v>222</v>
      </c>
      <c r="B72" s="39"/>
      <c r="C72" s="334">
        <f>C54*Inputs!$H$61</f>
        <v>3439.1610000000001</v>
      </c>
      <c r="D72" s="334">
        <f>D54*Inputs!$H$61</f>
        <v>2937.924</v>
      </c>
      <c r="E72" s="334">
        <f>E54*Inputs!$H$61</f>
        <v>3544.8885717519142</v>
      </c>
      <c r="F72" s="334">
        <f>F54*Inputs!$H$61</f>
        <v>4214.6347463234852</v>
      </c>
      <c r="G72" s="334">
        <f>G54*Inputs!$H$61</f>
        <v>3762.4753400347777</v>
      </c>
      <c r="H72" s="19">
        <f>H54*Inputs!$H$61</f>
        <v>3586.0956998159668</v>
      </c>
      <c r="I72" s="19">
        <f>I54*Inputs!$H$61</f>
        <v>3869.0233406191369</v>
      </c>
      <c r="J72" s="19">
        <f>J54*Inputs!$H$61</f>
        <v>4221.9823003767533</v>
      </c>
      <c r="K72" s="19">
        <f>K54*Inputs!$H$61</f>
        <v>4032.7164983231355</v>
      </c>
      <c r="L72" s="19">
        <f>L54*Inputs!$H$61</f>
        <v>3983.9385690169061</v>
      </c>
      <c r="M72" s="19">
        <f>M54*Inputs!$H$61</f>
        <v>4049.610898283489</v>
      </c>
      <c r="N72" s="190">
        <f>N54*Inputs!$H$61</f>
        <v>4172.6064960857475</v>
      </c>
      <c r="O72" s="19">
        <f>O54*Inputs!$H$61</f>
        <v>4235.9296594730768</v>
      </c>
      <c r="P72" s="19">
        <f>P54*Inputs!$H$61</f>
        <v>4324.9237386155701</v>
      </c>
      <c r="Q72" s="19">
        <f>Q54*Inputs!$H$61</f>
        <v>4490.6094076562531</v>
      </c>
      <c r="R72" s="19">
        <f>R54*Inputs!$H$61</f>
        <v>4592.6437252285104</v>
      </c>
      <c r="S72" s="19">
        <f>S54*Inputs!$H$61</f>
        <v>4648.0526837001962</v>
      </c>
      <c r="T72" s="19">
        <f>T54*Inputs!$H$61</f>
        <v>4723.3320428411644</v>
      </c>
      <c r="U72" s="19">
        <f>U54*Inputs!$H$61</f>
        <v>4796.8391863442321</v>
      </c>
      <c r="V72" s="19">
        <f>V54*Inputs!$H$61</f>
        <v>4882.7033732016225</v>
      </c>
      <c r="W72" s="19">
        <f>W54*Inputs!$H$61</f>
        <v>4922.831709598845</v>
      </c>
      <c r="X72" s="182">
        <f>X54*Inputs!$H$61</f>
        <v>4999.421812288816</v>
      </c>
      <c r="Y72" s="19">
        <f>Y54*Inputs!$H$61</f>
        <v>5032.3082667896751</v>
      </c>
      <c r="Z72" s="19">
        <f>Z54*Inputs!$H$61</f>
        <v>5087.4379702434171</v>
      </c>
      <c r="AA72" s="19">
        <f>AA54*Inputs!$H$61</f>
        <v>5127.2327530148141</v>
      </c>
      <c r="AB72" s="19">
        <f>AB54*Inputs!$H$61</f>
        <v>5182.3536372398557</v>
      </c>
      <c r="AC72" s="19">
        <f>AC54*Inputs!$H$61</f>
        <v>5269.4401462883452</v>
      </c>
      <c r="AD72" s="19">
        <f>AD54*Inputs!$H$61</f>
        <v>5347.2852225795777</v>
      </c>
      <c r="AE72" s="19">
        <f>AE54*Inputs!$H$61</f>
        <v>5470.6966545040223</v>
      </c>
      <c r="AF72" s="19">
        <f>AF54*Inputs!$H$61</f>
        <v>5607.4990499892965</v>
      </c>
      <c r="AG72" s="19">
        <f>AG54*Inputs!$H$61</f>
        <v>5713.5677550085666</v>
      </c>
      <c r="AH72" s="19">
        <f>AH54*Inputs!$H$61</f>
        <v>5796.0589084674602</v>
      </c>
    </row>
    <row r="73" spans="1:34" ht="15">
      <c r="A73" s="27" t="s">
        <v>58</v>
      </c>
      <c r="C73" s="331">
        <f>SUM(C70:C72)</f>
        <v>12372.600879000001</v>
      </c>
      <c r="D73" s="331">
        <f t="shared" ref="D73:AH73" si="27">SUM(D70:D72)</f>
        <v>12530.73789</v>
      </c>
      <c r="E73" s="331">
        <f t="shared" si="27"/>
        <v>12879.940242269222</v>
      </c>
      <c r="F73" s="331">
        <f t="shared" si="27"/>
        <v>13019.196846813835</v>
      </c>
      <c r="G73" s="331">
        <f t="shared" si="27"/>
        <v>13102.554027268541</v>
      </c>
      <c r="H73" s="14">
        <f t="shared" si="27"/>
        <v>13214.395227290697</v>
      </c>
      <c r="I73" s="14">
        <f t="shared" si="27"/>
        <v>13619.05668404692</v>
      </c>
      <c r="J73" s="14">
        <f t="shared" si="27"/>
        <v>14321.88793176199</v>
      </c>
      <c r="K73" s="14">
        <f t="shared" si="27"/>
        <v>14767.148511239708</v>
      </c>
      <c r="L73" s="14">
        <f t="shared" si="27"/>
        <v>15191.069780927452</v>
      </c>
      <c r="M73" s="14">
        <f t="shared" si="27"/>
        <v>15606.395487020967</v>
      </c>
      <c r="N73" s="190">
        <f t="shared" si="27"/>
        <v>16020.360431521685</v>
      </c>
      <c r="O73" s="14">
        <f t="shared" si="27"/>
        <v>16417.628440344011</v>
      </c>
      <c r="P73" s="14">
        <f t="shared" si="27"/>
        <v>16848.942866592479</v>
      </c>
      <c r="Q73" s="14">
        <f t="shared" si="27"/>
        <v>17358.93921958391</v>
      </c>
      <c r="R73" s="14">
        <f t="shared" si="27"/>
        <v>17847.214959476791</v>
      </c>
      <c r="S73" s="14">
        <f t="shared" si="27"/>
        <v>18270.477628096516</v>
      </c>
      <c r="T73" s="14">
        <f t="shared" si="27"/>
        <v>18416.921046145115</v>
      </c>
      <c r="U73" s="14">
        <f t="shared" si="27"/>
        <v>18775.09532392618</v>
      </c>
      <c r="V73" s="14">
        <f t="shared" si="27"/>
        <v>19162.453715227275</v>
      </c>
      <c r="W73" s="14">
        <f t="shared" si="27"/>
        <v>19478.279011514111</v>
      </c>
      <c r="X73" s="187">
        <f t="shared" si="27"/>
        <v>19873.14310711377</v>
      </c>
      <c r="Y73" s="14">
        <f t="shared" si="27"/>
        <v>20197.367176402237</v>
      </c>
      <c r="Z73" s="14">
        <f t="shared" si="27"/>
        <v>20563.322345368619</v>
      </c>
      <c r="AA73" s="14">
        <f t="shared" si="27"/>
        <v>20896.3516307067</v>
      </c>
      <c r="AB73" s="14">
        <f t="shared" si="27"/>
        <v>21265.55488462199</v>
      </c>
      <c r="AC73" s="14">
        <f t="shared" si="27"/>
        <v>21702.853657523185</v>
      </c>
      <c r="AD73" s="14">
        <f t="shared" si="27"/>
        <v>22120.249874080095</v>
      </c>
      <c r="AE73" s="14">
        <f t="shared" si="27"/>
        <v>22600.183842899482</v>
      </c>
      <c r="AF73" s="14">
        <f t="shared" si="27"/>
        <v>23111.103405931437</v>
      </c>
      <c r="AG73" s="14">
        <f t="shared" si="27"/>
        <v>23582.617682374457</v>
      </c>
      <c r="AH73" s="14">
        <f t="shared" si="27"/>
        <v>24023.622492703318</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zoomScale="85" zoomScaleNormal="85" zoomScalePageLayoutView="85" workbookViewId="0">
      <selection activeCell="P42" sqref="P42"/>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8"/>
      <c r="B1" s="538"/>
      <c r="C1" s="538"/>
      <c r="D1" s="538"/>
      <c r="E1" s="538"/>
      <c r="F1" s="538"/>
      <c r="G1" s="538"/>
      <c r="H1" s="538"/>
      <c r="I1" s="538"/>
      <c r="J1" s="538"/>
      <c r="K1" s="538"/>
      <c r="L1" s="538"/>
      <c r="M1" s="538"/>
      <c r="N1" s="538"/>
      <c r="O1" s="538"/>
      <c r="P1" s="538"/>
    </row>
    <row r="2" spans="1:16">
      <c r="A2" s="538"/>
      <c r="B2" s="538"/>
      <c r="C2" s="538"/>
      <c r="D2" s="538"/>
      <c r="E2" s="538"/>
      <c r="F2" s="538"/>
      <c r="G2" s="538"/>
      <c r="H2" s="538"/>
      <c r="I2" s="538"/>
      <c r="J2" s="538"/>
      <c r="K2" s="538"/>
      <c r="L2" s="538"/>
      <c r="M2" s="538"/>
      <c r="N2" s="538"/>
      <c r="O2" s="538"/>
      <c r="P2" s="538"/>
    </row>
    <row r="3" spans="1:16">
      <c r="A3" s="538"/>
      <c r="B3" s="538"/>
      <c r="C3" s="538"/>
      <c r="D3" s="538"/>
      <c r="E3" s="538"/>
      <c r="F3" s="538"/>
      <c r="G3" s="538"/>
      <c r="H3" s="538"/>
      <c r="I3" s="538"/>
      <c r="J3" s="538"/>
      <c r="K3" s="538"/>
      <c r="L3" s="538"/>
      <c r="M3" s="538"/>
      <c r="N3" s="538"/>
      <c r="O3" s="538"/>
      <c r="P3" s="538"/>
    </row>
    <row r="4" spans="1:16">
      <c r="A4" s="538"/>
      <c r="B4" s="538"/>
      <c r="C4" s="538"/>
      <c r="D4" s="538"/>
      <c r="E4" s="538"/>
      <c r="F4" s="538"/>
      <c r="G4" s="538"/>
      <c r="H4" s="538"/>
      <c r="I4" s="538"/>
      <c r="J4" s="538"/>
      <c r="K4" s="538"/>
      <c r="L4" s="538"/>
      <c r="M4" s="538"/>
      <c r="N4" s="538"/>
      <c r="O4" s="538"/>
      <c r="P4" s="538"/>
    </row>
    <row r="5" spans="1:16">
      <c r="A5" s="538"/>
      <c r="B5" s="538"/>
      <c r="C5" s="538"/>
      <c r="D5" s="538"/>
      <c r="E5" s="538"/>
      <c r="F5" s="538"/>
      <c r="G5" s="538"/>
      <c r="H5" s="538"/>
      <c r="I5" s="538"/>
      <c r="J5" s="538"/>
      <c r="K5" s="538"/>
      <c r="L5" s="538"/>
      <c r="M5" s="538"/>
      <c r="N5" s="538"/>
      <c r="O5" s="538"/>
      <c r="P5" s="538"/>
    </row>
    <row r="6" spans="1:16">
      <c r="A6" s="538"/>
      <c r="B6" s="538"/>
      <c r="C6" s="538"/>
      <c r="D6" s="538"/>
      <c r="E6" s="538"/>
      <c r="F6" s="538"/>
      <c r="G6" s="538"/>
      <c r="H6" s="538"/>
      <c r="I6" s="538"/>
      <c r="J6" s="538"/>
      <c r="K6" s="538"/>
      <c r="L6" s="538"/>
      <c r="M6" s="538"/>
      <c r="N6" s="538"/>
      <c r="O6" s="538"/>
      <c r="P6" s="538"/>
    </row>
    <row r="7" spans="1:16">
      <c r="A7" s="538"/>
      <c r="B7" s="538"/>
      <c r="C7" s="538"/>
      <c r="D7" s="538"/>
      <c r="E7" s="538"/>
      <c r="F7" s="538"/>
      <c r="G7" s="538"/>
      <c r="H7" s="538"/>
      <c r="I7" s="538"/>
      <c r="J7" s="538"/>
      <c r="K7" s="538"/>
      <c r="L7" s="538"/>
      <c r="M7" s="538"/>
      <c r="N7" s="538"/>
      <c r="O7" s="538"/>
      <c r="P7" s="538"/>
    </row>
    <row r="8" spans="1:16">
      <c r="A8" s="538"/>
      <c r="B8" s="538"/>
      <c r="C8" s="538"/>
      <c r="D8" s="538"/>
      <c r="E8" s="538"/>
      <c r="F8" s="538"/>
      <c r="G8" s="538"/>
      <c r="H8" s="538"/>
      <c r="I8" s="538"/>
      <c r="J8" s="538"/>
      <c r="K8" s="538"/>
      <c r="L8" s="538"/>
      <c r="M8" s="538"/>
      <c r="N8" s="538"/>
      <c r="O8" s="538"/>
      <c r="P8" s="538"/>
    </row>
    <row r="9" spans="1:16" ht="2.25" customHeight="1">
      <c r="A9" s="538"/>
      <c r="B9" s="538"/>
      <c r="C9" s="538"/>
      <c r="D9" s="538"/>
      <c r="E9" s="538"/>
      <c r="F9" s="538"/>
      <c r="G9" s="538"/>
      <c r="H9" s="538"/>
      <c r="I9" s="538"/>
      <c r="J9" s="538"/>
      <c r="K9" s="538"/>
      <c r="L9" s="538"/>
      <c r="M9" s="538"/>
      <c r="N9" s="538"/>
      <c r="O9" s="538"/>
      <c r="P9" s="538"/>
    </row>
    <row r="10" spans="1:16" hidden="1">
      <c r="A10" s="538"/>
      <c r="B10" s="538"/>
      <c r="C10" s="538"/>
      <c r="D10" s="538"/>
      <c r="E10" s="538"/>
      <c r="F10" s="538"/>
      <c r="G10" s="538"/>
      <c r="H10" s="538"/>
      <c r="I10" s="538"/>
      <c r="J10" s="538"/>
      <c r="K10" s="538"/>
      <c r="L10" s="538"/>
      <c r="M10" s="538"/>
      <c r="N10" s="538"/>
      <c r="O10" s="538"/>
      <c r="P10" s="538"/>
    </row>
    <row r="11" spans="1:16">
      <c r="A11" s="539" t="s">
        <v>212</v>
      </c>
      <c r="B11" s="541">
        <v>2000</v>
      </c>
      <c r="C11" s="543" t="s">
        <v>219</v>
      </c>
      <c r="D11" s="543" t="s">
        <v>555</v>
      </c>
      <c r="E11" s="546" t="s">
        <v>213</v>
      </c>
      <c r="F11" s="547"/>
      <c r="G11" s="541"/>
      <c r="H11" s="550" t="s">
        <v>556</v>
      </c>
      <c r="I11" s="551"/>
      <c r="J11" s="551"/>
      <c r="K11" s="551"/>
      <c r="L11" s="551"/>
      <c r="M11" s="551"/>
      <c r="N11" s="551"/>
      <c r="O11" s="552"/>
    </row>
    <row r="12" spans="1:16">
      <c r="A12" s="540"/>
      <c r="B12" s="542"/>
      <c r="C12" s="544"/>
      <c r="D12" s="544"/>
      <c r="E12" s="548"/>
      <c r="F12" s="549"/>
      <c r="G12" s="542"/>
      <c r="H12" s="549" t="s">
        <v>214</v>
      </c>
      <c r="I12" s="542"/>
      <c r="J12" s="548" t="s">
        <v>215</v>
      </c>
      <c r="K12" s="542"/>
      <c r="L12" s="548" t="s">
        <v>216</v>
      </c>
      <c r="M12" s="549"/>
      <c r="N12" s="549"/>
      <c r="O12" s="542"/>
    </row>
    <row r="13" spans="1:16" ht="67" thickBot="1">
      <c r="A13" s="211" t="s">
        <v>217</v>
      </c>
      <c r="B13" s="211" t="s">
        <v>218</v>
      </c>
      <c r="C13" s="545"/>
      <c r="D13" s="545"/>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61">
        <f>AVERAGE(N14:N15)</f>
        <v>0.20532702121944668</v>
      </c>
    </row>
    <row r="15" spans="1:16" ht="13" thickBot="1">
      <c r="A15" s="223" t="s">
        <v>563</v>
      </c>
      <c r="B15" s="223" t="s">
        <v>564</v>
      </c>
      <c r="C15" s="224">
        <v>0.85</v>
      </c>
      <c r="D15" s="225">
        <v>40</v>
      </c>
      <c r="E15" s="226">
        <v>8.5</v>
      </c>
      <c r="F15" s="432">
        <v>0.24</v>
      </c>
      <c r="G15" s="532">
        <v>0.13</v>
      </c>
      <c r="H15" s="414">
        <f t="shared" si="0"/>
        <v>0.21249999999999999</v>
      </c>
      <c r="I15" s="532">
        <f t="shared" si="1"/>
        <v>1.2079800000000001</v>
      </c>
      <c r="J15" s="427">
        <f t="shared" si="2"/>
        <v>0.25</v>
      </c>
      <c r="K15" s="532">
        <f t="shared" si="3"/>
        <v>1.4211529411764707</v>
      </c>
      <c r="L15" s="427">
        <f t="shared" si="4"/>
        <v>2.8538812785388126E-2</v>
      </c>
      <c r="M15" s="532">
        <f t="shared" si="4"/>
        <v>0.16223207091055603</v>
      </c>
      <c r="N15" s="419">
        <f t="shared" si="5"/>
        <v>0.19077088369594414</v>
      </c>
      <c r="O15" s="562"/>
    </row>
    <row r="16" spans="1:16">
      <c r="A16" s="227" t="s">
        <v>565</v>
      </c>
      <c r="B16" s="227" t="s">
        <v>566</v>
      </c>
      <c r="C16" s="228">
        <v>0.9</v>
      </c>
      <c r="D16" s="229">
        <v>40</v>
      </c>
      <c r="E16" s="230">
        <f>36000/5600</f>
        <v>6.4285714285714288</v>
      </c>
      <c r="F16" s="464">
        <f>10000/5600</f>
        <v>1.7857142857142858</v>
      </c>
      <c r="G16" s="230">
        <v>0</v>
      </c>
      <c r="H16" s="412">
        <f t="shared" si="0"/>
        <v>0.16071428571428573</v>
      </c>
      <c r="I16" s="533">
        <f t="shared" si="1"/>
        <v>1.7857142857142858</v>
      </c>
      <c r="J16" s="428">
        <f t="shared" si="2"/>
        <v>0.17857142857142858</v>
      </c>
      <c r="K16" s="533">
        <f t="shared" si="3"/>
        <v>1.9841269841269842</v>
      </c>
      <c r="L16" s="428">
        <f t="shared" si="4"/>
        <v>2.0384866275277233E-2</v>
      </c>
      <c r="M16" s="533">
        <f t="shared" si="4"/>
        <v>0.22649851416974706</v>
      </c>
      <c r="N16" s="421">
        <f t="shared" si="5"/>
        <v>0.24688338044502428</v>
      </c>
      <c r="O16" s="563">
        <f>AVERAGE(N16:N18)</f>
        <v>0.24750247638375492</v>
      </c>
    </row>
    <row r="17" spans="1:15">
      <c r="A17" s="217" t="s">
        <v>567</v>
      </c>
      <c r="B17" s="217" t="s">
        <v>312</v>
      </c>
      <c r="C17" s="218">
        <v>0.9</v>
      </c>
      <c r="D17" s="219">
        <v>40</v>
      </c>
      <c r="E17" s="216">
        <v>17.5</v>
      </c>
      <c r="F17" s="531">
        <v>1.7</v>
      </c>
      <c r="G17" s="216">
        <v>0</v>
      </c>
      <c r="H17" s="530">
        <f>E17/D17</f>
        <v>0.4375</v>
      </c>
      <c r="I17" s="534">
        <f>F17+G17*8760/1000*C17</f>
        <v>1.7</v>
      </c>
      <c r="J17" s="429">
        <f>H17/C17</f>
        <v>0.4861111111111111</v>
      </c>
      <c r="K17" s="534">
        <f>I17/C17</f>
        <v>1.8888888888888888</v>
      </c>
      <c r="L17" s="429">
        <f t="shared" si="4"/>
        <v>5.5492135971588023E-2</v>
      </c>
      <c r="M17" s="534">
        <f t="shared" si="4"/>
        <v>0.21562658548959918</v>
      </c>
      <c r="N17" s="420">
        <f>SUM(L17:M17)</f>
        <v>0.27111872146118721</v>
      </c>
      <c r="O17" s="564"/>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62"/>
    </row>
    <row r="19" spans="1:15">
      <c r="A19" s="227" t="s">
        <v>569</v>
      </c>
      <c r="B19" s="227" t="s">
        <v>312</v>
      </c>
      <c r="C19" s="228">
        <v>0.85</v>
      </c>
      <c r="D19" s="229">
        <v>40</v>
      </c>
      <c r="E19" s="230">
        <v>21.3</v>
      </c>
      <c r="F19" s="464">
        <v>7.8</v>
      </c>
      <c r="G19" s="230">
        <v>0</v>
      </c>
      <c r="H19" s="412">
        <f>E19/D19</f>
        <v>0.53249999999999997</v>
      </c>
      <c r="I19" s="533">
        <f>F19+G19*8760/1000*C19</f>
        <v>7.8</v>
      </c>
      <c r="J19" s="428">
        <f>H19/C19</f>
        <v>0.62647058823529411</v>
      </c>
      <c r="K19" s="533">
        <f>I19/C19</f>
        <v>9.1764705882352935</v>
      </c>
      <c r="L19" s="428">
        <f t="shared" si="4"/>
        <v>7.1514907332796127E-2</v>
      </c>
      <c r="M19" s="533">
        <f t="shared" si="4"/>
        <v>1.0475423045930701</v>
      </c>
      <c r="N19" s="421">
        <f>SUM(L19:M19)</f>
        <v>1.1190572119258662</v>
      </c>
      <c r="O19" s="563">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62"/>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5">
        <f>F22+G22*8760/1000*C22</f>
        <v>1</v>
      </c>
      <c r="J22" s="431">
        <f>H22/C22</f>
        <v>7.3999999999999995</v>
      </c>
      <c r="K22" s="535">
        <f>I22/C22</f>
        <v>5</v>
      </c>
      <c r="L22" s="431">
        <f>J22/8760*1000</f>
        <v>0.84474885844748848</v>
      </c>
      <c r="M22" s="535">
        <f>K22/8760*1000</f>
        <v>0.57077625570776247</v>
      </c>
      <c r="N22" s="426">
        <f>SUM(L22:M22)</f>
        <v>1.415525114155251</v>
      </c>
      <c r="O22" s="568">
        <f>N39</f>
        <v>0.79313246811604099</v>
      </c>
    </row>
    <row r="23" spans="1:15">
      <c r="A23" s="455" t="s">
        <v>310</v>
      </c>
      <c r="B23" s="455" t="s">
        <v>221</v>
      </c>
      <c r="C23" s="456">
        <v>0.2</v>
      </c>
      <c r="D23" s="457">
        <v>25</v>
      </c>
      <c r="E23" s="458">
        <v>32.340000000000003</v>
      </c>
      <c r="F23" s="467">
        <v>0.37</v>
      </c>
      <c r="G23" s="458">
        <v>0</v>
      </c>
      <c r="H23" s="459">
        <f t="shared" si="0"/>
        <v>1.2936000000000001</v>
      </c>
      <c r="I23" s="529">
        <f t="shared" si="1"/>
        <v>0.37</v>
      </c>
      <c r="J23" s="460">
        <f t="shared" si="2"/>
        <v>6.468</v>
      </c>
      <c r="K23" s="529">
        <f t="shared" si="3"/>
        <v>1.8499999999999999</v>
      </c>
      <c r="L23" s="460">
        <f t="shared" si="4"/>
        <v>0.73835616438356166</v>
      </c>
      <c r="M23" s="529">
        <f t="shared" si="4"/>
        <v>0.21118721461187212</v>
      </c>
      <c r="N23" s="461">
        <f t="shared" si="5"/>
        <v>0.94954337899543373</v>
      </c>
      <c r="O23" s="569"/>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70"/>
    </row>
    <row r="25" spans="1:15">
      <c r="A25" s="227" t="s">
        <v>433</v>
      </c>
      <c r="B25" s="227" t="s">
        <v>437</v>
      </c>
      <c r="C25" s="240">
        <v>0.4</v>
      </c>
      <c r="D25" s="229">
        <v>25</v>
      </c>
      <c r="E25" s="230">
        <f>10310/1000</f>
        <v>10.31</v>
      </c>
      <c r="F25" s="464">
        <v>1</v>
      </c>
      <c r="G25" s="230">
        <v>0</v>
      </c>
      <c r="H25" s="424">
        <f t="shared" si="0"/>
        <v>0.41240000000000004</v>
      </c>
      <c r="I25" s="535">
        <f t="shared" si="1"/>
        <v>1</v>
      </c>
      <c r="J25" s="431">
        <f t="shared" si="2"/>
        <v>1.0310000000000001</v>
      </c>
      <c r="K25" s="535">
        <f t="shared" si="3"/>
        <v>2.5</v>
      </c>
      <c r="L25" s="431">
        <f t="shared" si="4"/>
        <v>0.11769406392694066</v>
      </c>
      <c r="M25" s="535">
        <f t="shared" si="4"/>
        <v>0.28538812785388123</v>
      </c>
      <c r="N25" s="426">
        <f t="shared" si="5"/>
        <v>0.40308219178082189</v>
      </c>
      <c r="O25" s="563">
        <f>AVERAGE(N25:N26,N27)</f>
        <v>0.23028919330289191</v>
      </c>
    </row>
    <row r="26" spans="1:15">
      <c r="A26" s="214" t="s">
        <v>434</v>
      </c>
      <c r="B26" s="214" t="s">
        <v>436</v>
      </c>
      <c r="C26" s="220">
        <v>0.4</v>
      </c>
      <c r="D26" s="215">
        <v>25</v>
      </c>
      <c r="E26" s="216">
        <v>4.5</v>
      </c>
      <c r="F26" s="531">
        <v>0.38</v>
      </c>
      <c r="G26" s="534">
        <v>0</v>
      </c>
      <c r="H26" s="415">
        <f t="shared" si="0"/>
        <v>0.18</v>
      </c>
      <c r="I26" s="534">
        <f t="shared" si="1"/>
        <v>0.38</v>
      </c>
      <c r="J26" s="429">
        <f t="shared" si="2"/>
        <v>0.44999999999999996</v>
      </c>
      <c r="K26" s="534">
        <f t="shared" si="3"/>
        <v>0.95</v>
      </c>
      <c r="L26" s="429">
        <f t="shared" si="4"/>
        <v>5.1369863013698627E-2</v>
      </c>
      <c r="M26" s="534">
        <f t="shared" si="4"/>
        <v>0.10844748858447488</v>
      </c>
      <c r="N26" s="420">
        <f t="shared" si="5"/>
        <v>0.15981735159817351</v>
      </c>
      <c r="O26" s="564"/>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62"/>
    </row>
    <row r="28" spans="1:15">
      <c r="A28" s="241" t="s">
        <v>573</v>
      </c>
      <c r="B28" s="241" t="s">
        <v>361</v>
      </c>
      <c r="C28" s="240">
        <v>0.35</v>
      </c>
      <c r="D28" s="229">
        <v>25</v>
      </c>
      <c r="E28" s="230">
        <v>10.1</v>
      </c>
      <c r="F28" s="464">
        <v>0.4</v>
      </c>
      <c r="G28" s="533">
        <v>0</v>
      </c>
      <c r="H28" s="425">
        <f t="shared" si="0"/>
        <v>0.40399999999999997</v>
      </c>
      <c r="I28" s="533">
        <f t="shared" si="1"/>
        <v>0.4</v>
      </c>
      <c r="J28" s="428">
        <f t="shared" si="2"/>
        <v>1.1542857142857144</v>
      </c>
      <c r="K28" s="533">
        <f t="shared" si="3"/>
        <v>1.142857142857143</v>
      </c>
      <c r="L28" s="428">
        <f t="shared" si="4"/>
        <v>0.13176777560339206</v>
      </c>
      <c r="M28" s="533">
        <f t="shared" si="4"/>
        <v>0.13046314416177432</v>
      </c>
      <c r="N28" s="421">
        <f t="shared" si="5"/>
        <v>0.26223091976516638</v>
      </c>
      <c r="O28" s="563">
        <f>AVERAGE(N28,N29,N30:N32)</f>
        <v>0.16974559686888452</v>
      </c>
    </row>
    <row r="29" spans="1:15">
      <c r="A29" s="214" t="s">
        <v>220</v>
      </c>
      <c r="B29" s="214" t="s">
        <v>221</v>
      </c>
      <c r="C29" s="220">
        <v>0.35</v>
      </c>
      <c r="D29" s="219">
        <v>25</v>
      </c>
      <c r="E29" s="216">
        <v>3.8</v>
      </c>
      <c r="F29" s="531">
        <v>0.14399999999999999</v>
      </c>
      <c r="G29" s="534">
        <v>0</v>
      </c>
      <c r="H29" s="415">
        <f t="shared" si="0"/>
        <v>0.152</v>
      </c>
      <c r="I29" s="534">
        <f t="shared" si="1"/>
        <v>0.14399999999999999</v>
      </c>
      <c r="J29" s="429">
        <f t="shared" si="2"/>
        <v>0.43428571428571427</v>
      </c>
      <c r="K29" s="534">
        <f t="shared" si="3"/>
        <v>0.41142857142857142</v>
      </c>
      <c r="L29" s="429">
        <f t="shared" si="4"/>
        <v>4.9575994781474238E-2</v>
      </c>
      <c r="M29" s="534">
        <f t="shared" si="4"/>
        <v>4.6966731898238752E-2</v>
      </c>
      <c r="N29" s="420">
        <f t="shared" si="5"/>
        <v>9.654272667971299E-2</v>
      </c>
      <c r="O29" s="564"/>
    </row>
    <row r="30" spans="1:15">
      <c r="A30" s="214" t="s">
        <v>360</v>
      </c>
      <c r="B30" s="214" t="s">
        <v>574</v>
      </c>
      <c r="C30" s="220">
        <v>0.35</v>
      </c>
      <c r="D30" s="215">
        <v>25</v>
      </c>
      <c r="E30" s="534">
        <v>10.96</v>
      </c>
      <c r="F30" s="429">
        <v>0.17499999999999999</v>
      </c>
      <c r="G30" s="534">
        <v>0</v>
      </c>
      <c r="H30" s="415">
        <f t="shared" si="0"/>
        <v>0.43840000000000001</v>
      </c>
      <c r="I30" s="534">
        <f t="shared" si="1"/>
        <v>0.17499999999999999</v>
      </c>
      <c r="J30" s="429">
        <f t="shared" si="2"/>
        <v>1.2525714285714287</v>
      </c>
      <c r="K30" s="534">
        <f t="shared" si="3"/>
        <v>0.5</v>
      </c>
      <c r="L30" s="429">
        <f t="shared" si="4"/>
        <v>0.14298760600130464</v>
      </c>
      <c r="M30" s="534">
        <f t="shared" si="4"/>
        <v>5.7077625570776253E-2</v>
      </c>
      <c r="N30" s="420">
        <f t="shared" si="5"/>
        <v>0.20006523157208089</v>
      </c>
      <c r="O30" s="564"/>
    </row>
    <row r="31" spans="1:15">
      <c r="A31" s="214" t="s">
        <v>575</v>
      </c>
      <c r="B31" s="214" t="s">
        <v>312</v>
      </c>
      <c r="C31" s="220">
        <v>0.35</v>
      </c>
      <c r="D31" s="215">
        <v>25</v>
      </c>
      <c r="E31" s="534">
        <v>7.4</v>
      </c>
      <c r="F31" s="429">
        <v>0.2</v>
      </c>
      <c r="G31" s="534">
        <v>0</v>
      </c>
      <c r="H31" s="415">
        <f t="shared" si="0"/>
        <v>0.29600000000000004</v>
      </c>
      <c r="I31" s="534">
        <f t="shared" si="1"/>
        <v>0.2</v>
      </c>
      <c r="J31" s="429">
        <f t="shared" si="2"/>
        <v>0.84571428571428586</v>
      </c>
      <c r="K31" s="534">
        <f t="shared" si="3"/>
        <v>0.57142857142857151</v>
      </c>
      <c r="L31" s="429">
        <f t="shared" si="4"/>
        <v>9.6542726679713003E-2</v>
      </c>
      <c r="M31" s="534">
        <f t="shared" si="4"/>
        <v>6.523157208088716E-2</v>
      </c>
      <c r="N31" s="420">
        <f t="shared" si="5"/>
        <v>0.16177429876060018</v>
      </c>
      <c r="O31" s="564"/>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62"/>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53" t="s">
        <v>0</v>
      </c>
      <c r="F37" s="554"/>
      <c r="G37" s="554"/>
      <c r="H37" s="554"/>
      <c r="I37" s="554"/>
      <c r="J37" s="554"/>
      <c r="K37" s="554"/>
      <c r="L37" s="554"/>
      <c r="M37" s="555"/>
      <c r="N37" s="418">
        <v>0.17</v>
      </c>
      <c r="O37" s="556">
        <f>AVERAGE(N37,N38)</f>
        <v>0.38</v>
      </c>
    </row>
    <row r="38" spans="1:15">
      <c r="A38" s="214" t="s">
        <v>427</v>
      </c>
      <c r="B38" s="214" t="s">
        <v>429</v>
      </c>
      <c r="C38" s="221">
        <v>1</v>
      </c>
      <c r="D38" s="215">
        <v>20</v>
      </c>
      <c r="E38" s="558" t="s">
        <v>0</v>
      </c>
      <c r="F38" s="559"/>
      <c r="G38" s="559"/>
      <c r="H38" s="559"/>
      <c r="I38" s="559"/>
      <c r="J38" s="559"/>
      <c r="K38" s="559"/>
      <c r="L38" s="559"/>
      <c r="M38" s="560"/>
      <c r="N38" s="420">
        <v>0.59</v>
      </c>
      <c r="O38" s="557"/>
    </row>
    <row r="39" spans="1:15">
      <c r="A39" s="81" t="s">
        <v>759</v>
      </c>
      <c r="B39" s="81" t="s">
        <v>760</v>
      </c>
      <c r="C39" s="571">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2"/>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5"/>
      <c r="C1" s="565"/>
      <c r="D1" s="565"/>
      <c r="E1" s="565"/>
      <c r="F1" s="565"/>
      <c r="G1" s="565"/>
      <c r="H1" s="565"/>
      <c r="I1" s="565"/>
      <c r="J1" s="565"/>
      <c r="K1" s="565"/>
      <c r="L1" s="565"/>
    </row>
    <row r="2" spans="1:12">
      <c r="B2" s="565"/>
      <c r="C2" s="565"/>
      <c r="D2" s="565"/>
      <c r="E2" s="565"/>
      <c r="F2" s="565"/>
      <c r="G2" s="565"/>
      <c r="H2" s="565"/>
      <c r="I2" s="565"/>
      <c r="J2" s="565"/>
      <c r="K2" s="565"/>
      <c r="L2" s="565"/>
    </row>
    <row r="3" spans="1:12">
      <c r="B3" s="565"/>
      <c r="C3" s="565"/>
      <c r="D3" s="565"/>
      <c r="E3" s="565"/>
      <c r="F3" s="565"/>
      <c r="G3" s="565"/>
      <c r="H3" s="565"/>
      <c r="I3" s="565"/>
      <c r="J3" s="565"/>
      <c r="K3" s="565"/>
      <c r="L3" s="565"/>
    </row>
    <row r="4" spans="1:12">
      <c r="B4" s="565"/>
      <c r="C4" s="565"/>
      <c r="D4" s="565"/>
      <c r="E4" s="565"/>
      <c r="F4" s="565"/>
      <c r="G4" s="565"/>
      <c r="H4" s="565"/>
      <c r="I4" s="565"/>
      <c r="J4" s="565"/>
      <c r="K4" s="565"/>
      <c r="L4" s="565"/>
    </row>
    <row r="5" spans="1:12">
      <c r="B5" s="565"/>
      <c r="C5" s="565"/>
      <c r="D5" s="565"/>
      <c r="E5" s="565"/>
      <c r="F5" s="565"/>
      <c r="G5" s="565"/>
      <c r="H5" s="565"/>
      <c r="I5" s="565"/>
      <c r="J5" s="565"/>
      <c r="K5" s="565"/>
      <c r="L5" s="565"/>
    </row>
    <row r="6" spans="1:12">
      <c r="B6" s="565"/>
      <c r="C6" s="565"/>
      <c r="D6" s="565"/>
      <c r="E6" s="565"/>
      <c r="F6" s="565"/>
      <c r="G6" s="565"/>
      <c r="H6" s="565"/>
      <c r="I6" s="565"/>
      <c r="J6" s="565"/>
      <c r="K6" s="565"/>
      <c r="L6" s="565"/>
    </row>
    <row r="7" spans="1:12">
      <c r="B7" s="565"/>
      <c r="C7" s="565"/>
      <c r="D7" s="565"/>
      <c r="E7" s="565"/>
      <c r="F7" s="565"/>
      <c r="G7" s="565"/>
      <c r="H7" s="565"/>
      <c r="I7" s="565"/>
      <c r="J7" s="565"/>
      <c r="K7" s="565"/>
      <c r="L7" s="565"/>
    </row>
    <row r="8" spans="1:12">
      <c r="B8" s="565"/>
      <c r="C8" s="565"/>
      <c r="D8" s="565"/>
      <c r="E8" s="565"/>
      <c r="F8" s="565"/>
      <c r="G8" s="565"/>
      <c r="H8" s="565"/>
      <c r="I8" s="565"/>
      <c r="J8" s="565"/>
      <c r="K8" s="565"/>
      <c r="L8" s="565"/>
    </row>
    <row r="9" spans="1:12" ht="48" customHeight="1">
      <c r="B9" s="565"/>
      <c r="C9" s="565"/>
      <c r="D9" s="565"/>
      <c r="E9" s="565"/>
      <c r="F9" s="565"/>
      <c r="G9" s="565"/>
      <c r="H9" s="565"/>
      <c r="I9" s="565"/>
      <c r="J9" s="565"/>
      <c r="K9" s="565"/>
      <c r="L9" s="565"/>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7" zoomScale="125" zoomScaleNormal="125" zoomScalePageLayoutView="125" workbookViewId="0">
      <pane xSplit="1" topLeftCell="B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748</v>
      </c>
    </row>
    <row r="35" spans="1:44" s="251" customFormat="1">
      <c r="A35" s="250" t="s">
        <v>746</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591.32365499999992</v>
      </c>
      <c r="H36" s="499">
        <v>509.42181400000004</v>
      </c>
      <c r="I36" s="499">
        <v>544.71841900000004</v>
      </c>
      <c r="J36" s="499">
        <v>561.11935800000003</v>
      </c>
      <c r="K36" s="499">
        <v>531.76098999999999</v>
      </c>
      <c r="L36" s="499">
        <v>510.91964999999999</v>
      </c>
      <c r="M36" s="499">
        <v>537.86029799999994</v>
      </c>
      <c r="N36" s="499">
        <v>547.55998</v>
      </c>
      <c r="O36" s="499">
        <v>552.56318999999996</v>
      </c>
      <c r="P36" s="499">
        <v>551.15020000000004</v>
      </c>
      <c r="Q36" s="499">
        <v>555.767563</v>
      </c>
      <c r="R36" s="499">
        <v>560.07731699999999</v>
      </c>
      <c r="S36" s="499">
        <v>560.31770400000005</v>
      </c>
      <c r="T36" s="499">
        <v>567.56789800000001</v>
      </c>
      <c r="U36" s="499">
        <v>573.14546299999995</v>
      </c>
      <c r="V36" s="499">
        <v>572.73936500000002</v>
      </c>
      <c r="W36" s="499">
        <v>572.85958900000003</v>
      </c>
      <c r="X36" s="499">
        <v>572.77831199999991</v>
      </c>
      <c r="Y36" s="499">
        <v>570.66424699999993</v>
      </c>
      <c r="Z36" s="499">
        <v>571.13212999999996</v>
      </c>
      <c r="AA36" s="499">
        <v>570.87854900000002</v>
      </c>
      <c r="AB36" s="499">
        <v>570.68813399999999</v>
      </c>
      <c r="AC36" s="499">
        <v>570.11575700000003</v>
      </c>
      <c r="AD36" s="499">
        <v>569.64642000000003</v>
      </c>
      <c r="AE36" s="499">
        <v>569.13610000000006</v>
      </c>
      <c r="AF36" s="499">
        <v>568.62970300000006</v>
      </c>
      <c r="AG36" s="499">
        <v>568.15519599999993</v>
      </c>
      <c r="AH36" s="499">
        <v>567.67633899999998</v>
      </c>
      <c r="AI36" s="499">
        <v>567.67183300000011</v>
      </c>
      <c r="AJ36" s="499">
        <v>567.66442400000005</v>
      </c>
      <c r="AK36" s="503">
        <v>0.03</v>
      </c>
      <c r="AL36" s="515" t="s">
        <v>68</v>
      </c>
      <c r="AM36" s="518">
        <v>6.8836500755046853E-2</v>
      </c>
    </row>
    <row r="37" spans="1:44" s="251" customFormat="1">
      <c r="A37" s="501" t="s">
        <v>720</v>
      </c>
      <c r="G37" s="499">
        <v>7.5450270000000002</v>
      </c>
      <c r="H37" s="499">
        <v>4.7830259999999996</v>
      </c>
      <c r="I37" s="499">
        <v>3.9312390000000001</v>
      </c>
      <c r="J37" s="499">
        <v>3.9871850000000002</v>
      </c>
      <c r="K37" s="499">
        <v>3.864411</v>
      </c>
      <c r="L37" s="499">
        <v>3.6898569999999995</v>
      </c>
      <c r="M37" s="499">
        <v>2.2080980000000001</v>
      </c>
      <c r="N37" s="499">
        <v>2.2466269999999997</v>
      </c>
      <c r="O37" s="499">
        <v>2.2673010000000002</v>
      </c>
      <c r="P37" s="499">
        <v>2.263798</v>
      </c>
      <c r="Q37" s="499">
        <v>2.2854749999999999</v>
      </c>
      <c r="R37" s="499">
        <v>2.3014510000000001</v>
      </c>
      <c r="S37" s="499">
        <v>2.312357</v>
      </c>
      <c r="T37" s="499">
        <v>2.342514</v>
      </c>
      <c r="U37" s="499">
        <v>2.3751979999999997</v>
      </c>
      <c r="V37" s="499">
        <v>2.3506619999999998</v>
      </c>
      <c r="W37" s="499">
        <v>2.3439230000000002</v>
      </c>
      <c r="X37" s="499">
        <v>2.3437229999999998</v>
      </c>
      <c r="Y37" s="499">
        <v>2.3410069999999998</v>
      </c>
      <c r="Z37" s="499">
        <v>2.34361</v>
      </c>
      <c r="AA37" s="499">
        <v>2.3431340000000001</v>
      </c>
      <c r="AB37" s="499">
        <v>2.3426260000000001</v>
      </c>
      <c r="AC37" s="499">
        <v>2.3402319999999999</v>
      </c>
      <c r="AD37" s="499">
        <v>2.3382579999999997</v>
      </c>
      <c r="AE37" s="499">
        <v>2.3362100000000003</v>
      </c>
      <c r="AF37" s="499">
        <v>2.3342360000000002</v>
      </c>
      <c r="AG37" s="499">
        <v>2.3325259999999997</v>
      </c>
      <c r="AH37" s="499">
        <v>2.3302890000000001</v>
      </c>
      <c r="AI37" s="499">
        <v>2.3299530000000002</v>
      </c>
      <c r="AJ37" s="499">
        <v>2.329879</v>
      </c>
      <c r="AK37" s="503">
        <v>-3.7999999999999999E-2</v>
      </c>
      <c r="AL37" s="516" t="s">
        <v>69</v>
      </c>
      <c r="AM37" s="518">
        <v>7.8433111815907307E-3</v>
      </c>
    </row>
    <row r="38" spans="1:44" s="251" customFormat="1">
      <c r="A38" s="501" t="s">
        <v>721</v>
      </c>
      <c r="G38" s="499">
        <v>402.35190399999999</v>
      </c>
      <c r="H38" s="499">
        <v>478.36942699999997</v>
      </c>
      <c r="I38" s="499">
        <v>427.04843500000004</v>
      </c>
      <c r="J38" s="499">
        <v>407.02899500000001</v>
      </c>
      <c r="K38" s="499">
        <v>439.14184499999999</v>
      </c>
      <c r="L38" s="499">
        <v>479.20338900000002</v>
      </c>
      <c r="M38" s="499">
        <v>457.72134399999999</v>
      </c>
      <c r="N38" s="499">
        <v>452.18495200000001</v>
      </c>
      <c r="O38" s="499">
        <v>459.638892</v>
      </c>
      <c r="P38" s="499">
        <v>473.59913699999998</v>
      </c>
      <c r="Q38" s="499">
        <v>480.78644199999997</v>
      </c>
      <c r="R38" s="499">
        <v>490.88744700000001</v>
      </c>
      <c r="S38" s="499">
        <v>509.69309999999996</v>
      </c>
      <c r="T38" s="499">
        <v>521.27419799999996</v>
      </c>
      <c r="U38" s="499">
        <v>527.56322499999999</v>
      </c>
      <c r="V38" s="499">
        <v>536.10758199999998</v>
      </c>
      <c r="W38" s="499">
        <v>544.45078899999999</v>
      </c>
      <c r="X38" s="499">
        <v>554.19654500000001</v>
      </c>
      <c r="Y38" s="499">
        <v>558.75119099999995</v>
      </c>
      <c r="Z38" s="499">
        <v>567.44431999999995</v>
      </c>
      <c r="AA38" s="499">
        <v>571.17699799999991</v>
      </c>
      <c r="AB38" s="499">
        <v>577.43432899999993</v>
      </c>
      <c r="AC38" s="499">
        <v>581.95111599999996</v>
      </c>
      <c r="AD38" s="499">
        <v>588.207446</v>
      </c>
      <c r="AE38" s="499">
        <v>598.09193800000003</v>
      </c>
      <c r="AF38" s="499">
        <v>606.92750899999999</v>
      </c>
      <c r="AG38" s="499">
        <v>620.93495200000007</v>
      </c>
      <c r="AH38" s="499">
        <v>636.46229600000015</v>
      </c>
      <c r="AI38" s="499">
        <v>648.501305</v>
      </c>
      <c r="AJ38" s="499">
        <v>657.86421500000006</v>
      </c>
      <c r="AK38" s="503">
        <v>-4.0000000000000001E-3</v>
      </c>
      <c r="AL38" s="516" t="s">
        <v>76</v>
      </c>
      <c r="AM38" s="518">
        <v>8.8994124084526144E-2</v>
      </c>
    </row>
    <row r="39" spans="1:44" s="251" customFormat="1">
      <c r="A39" s="501" t="s">
        <v>722</v>
      </c>
      <c r="G39" s="499">
        <v>210.65300099999999</v>
      </c>
      <c r="H39" s="499">
        <v>208.70800600000001</v>
      </c>
      <c r="I39" s="499">
        <v>205.375045</v>
      </c>
      <c r="J39" s="499">
        <v>205.984556</v>
      </c>
      <c r="K39" s="499">
        <v>213.80442800000003</v>
      </c>
      <c r="L39" s="499">
        <v>222.86256099999997</v>
      </c>
      <c r="M39" s="499">
        <v>231.66724999999997</v>
      </c>
      <c r="N39" s="499">
        <v>238.50375199999999</v>
      </c>
      <c r="O39" s="499">
        <v>239.69814500000001</v>
      </c>
      <c r="P39" s="499">
        <v>239.698151</v>
      </c>
      <c r="Q39" s="499">
        <v>239.698151</v>
      </c>
      <c r="R39" s="499">
        <v>239.698149</v>
      </c>
      <c r="S39" s="499">
        <v>239.698151</v>
      </c>
      <c r="T39" s="499">
        <v>239.69814500000001</v>
      </c>
      <c r="U39" s="499">
        <v>239.69862999999998</v>
      </c>
      <c r="V39" s="499">
        <v>239.698149</v>
      </c>
      <c r="W39" s="499">
        <v>239.69814700000001</v>
      </c>
      <c r="X39" s="499">
        <v>239.69814700000001</v>
      </c>
      <c r="Y39" s="499">
        <v>239.698151</v>
      </c>
      <c r="Z39" s="499">
        <v>239.69814700000001</v>
      </c>
      <c r="AA39" s="499">
        <v>239.69814700000001</v>
      </c>
      <c r="AB39" s="499">
        <v>239.698149</v>
      </c>
      <c r="AC39" s="499">
        <v>239.69814400000001</v>
      </c>
      <c r="AD39" s="499">
        <v>239.69814700000001</v>
      </c>
      <c r="AE39" s="499">
        <v>239.698151</v>
      </c>
      <c r="AF39" s="499">
        <v>239.698151</v>
      </c>
      <c r="AG39" s="499">
        <v>239.698151</v>
      </c>
      <c r="AH39" s="499">
        <v>239.698151</v>
      </c>
      <c r="AI39" s="499">
        <v>239.69814700000001</v>
      </c>
      <c r="AJ39" s="499">
        <v>239.69814700000001</v>
      </c>
      <c r="AK39" s="503">
        <v>-5.0000000000000001E-3</v>
      </c>
      <c r="AL39" s="516" t="s">
        <v>741</v>
      </c>
      <c r="AM39" s="518">
        <v>0</v>
      </c>
    </row>
    <row r="40" spans="1:44" s="251" customFormat="1">
      <c r="A40" s="501" t="s">
        <v>723</v>
      </c>
      <c r="G40" s="499">
        <v>1.157562</v>
      </c>
      <c r="H40" s="499">
        <v>1.1387160000000001</v>
      </c>
      <c r="I40" s="499">
        <v>-1.0565609999999999</v>
      </c>
      <c r="J40" s="499">
        <v>-1.054187</v>
      </c>
      <c r="K40" s="499">
        <v>-1.0541860000000001</v>
      </c>
      <c r="L40" s="499">
        <v>-1.053023</v>
      </c>
      <c r="M40" s="499">
        <v>-1.053023</v>
      </c>
      <c r="N40" s="499">
        <v>-1.0525070000000001</v>
      </c>
      <c r="O40" s="499">
        <v>-1.0519419999999999</v>
      </c>
      <c r="P40" s="499">
        <v>-1.049839</v>
      </c>
      <c r="Q40" s="499">
        <v>-1.04861</v>
      </c>
      <c r="R40" s="499">
        <v>-1.047512</v>
      </c>
      <c r="S40" s="499">
        <v>-1.0474729999999999</v>
      </c>
      <c r="T40" s="499">
        <v>-1.0474319999999999</v>
      </c>
      <c r="U40" s="499">
        <v>-1.042886</v>
      </c>
      <c r="V40" s="499">
        <v>-1.040087</v>
      </c>
      <c r="W40" s="499">
        <v>-1.0376000000000001</v>
      </c>
      <c r="X40" s="499">
        <v>-1.0325770000000001</v>
      </c>
      <c r="Y40" s="499">
        <v>-1.029685</v>
      </c>
      <c r="Z40" s="499">
        <v>-1.0285440000000001</v>
      </c>
      <c r="AA40" s="499">
        <v>-1.0275510000000001</v>
      </c>
      <c r="AB40" s="499">
        <v>-1.0269680000000001</v>
      </c>
      <c r="AC40" s="499">
        <v>-1.026475</v>
      </c>
      <c r="AD40" s="499">
        <v>-1.0257160000000001</v>
      </c>
      <c r="AE40" s="499">
        <v>-1.025215</v>
      </c>
      <c r="AF40" s="499">
        <v>-1.024686</v>
      </c>
      <c r="AG40" s="499">
        <v>-1.0236839999999998</v>
      </c>
      <c r="AH40" s="499">
        <v>-1.0230999999999999</v>
      </c>
      <c r="AI40" s="499">
        <v>-1.0225420000000001</v>
      </c>
      <c r="AJ40" s="499">
        <v>-1.021506</v>
      </c>
      <c r="AK40" s="503">
        <v>1E-3</v>
      </c>
      <c r="AL40" s="517" t="s">
        <v>225</v>
      </c>
      <c r="AM40" s="518">
        <v>0.13662697883760203</v>
      </c>
    </row>
    <row r="41" spans="1:44" s="251" customFormat="1">
      <c r="A41" s="501" t="s">
        <v>724</v>
      </c>
      <c r="G41" s="499">
        <v>90.044575999999992</v>
      </c>
      <c r="H41" s="499">
        <v>87.587425999999994</v>
      </c>
      <c r="I41" s="499">
        <v>103.043627</v>
      </c>
      <c r="J41" s="499">
        <v>106.50949800000001</v>
      </c>
      <c r="K41" s="499">
        <v>120.12401500000001</v>
      </c>
      <c r="L41" s="499">
        <v>129.478813</v>
      </c>
      <c r="M41" s="499">
        <v>131.505672</v>
      </c>
      <c r="N41" s="499">
        <v>132.48445699999999</v>
      </c>
      <c r="O41" s="499">
        <v>132.887441</v>
      </c>
      <c r="P41" s="499">
        <v>133.36361600000001</v>
      </c>
      <c r="Q41" s="499">
        <v>134.32344000000001</v>
      </c>
      <c r="R41" s="499">
        <v>134.88210699999999</v>
      </c>
      <c r="S41" s="499">
        <v>137.740183</v>
      </c>
      <c r="T41" s="499">
        <v>138.51680100000002</v>
      </c>
      <c r="U41" s="499">
        <v>141.88022899999999</v>
      </c>
      <c r="V41" s="499">
        <v>142.50879100000003</v>
      </c>
      <c r="W41" s="499">
        <v>143.27350600000003</v>
      </c>
      <c r="X41" s="499">
        <v>144.13138799999999</v>
      </c>
      <c r="Y41" s="499">
        <v>148.44254699999999</v>
      </c>
      <c r="Z41" s="499">
        <v>149.46138299999998</v>
      </c>
      <c r="AA41" s="499">
        <v>150.02957600000002</v>
      </c>
      <c r="AB41" s="499">
        <v>150.56626400000002</v>
      </c>
      <c r="AC41" s="499">
        <v>150.808009</v>
      </c>
      <c r="AD41" s="499">
        <v>151.33506200000002</v>
      </c>
      <c r="AE41" s="499">
        <v>152.14981700000001</v>
      </c>
      <c r="AF41" s="499">
        <v>152.74097999999998</v>
      </c>
      <c r="AG41" s="499">
        <v>153.329735</v>
      </c>
      <c r="AH41" s="499">
        <v>154.036767</v>
      </c>
      <c r="AI41" s="499">
        <v>154.81488899999999</v>
      </c>
      <c r="AJ41" s="499">
        <v>155.80237199999999</v>
      </c>
      <c r="AK41" s="503">
        <v>2.1000000000000001E-2</v>
      </c>
      <c r="AL41" s="517" t="s">
        <v>378</v>
      </c>
      <c r="AM41" s="518">
        <v>0.10079682256808697</v>
      </c>
    </row>
    <row r="42" spans="1:44" s="251" customFormat="1">
      <c r="A42" s="501" t="s">
        <v>725</v>
      </c>
      <c r="G42" s="499">
        <v>0</v>
      </c>
      <c r="H42" s="499">
        <v>0</v>
      </c>
      <c r="I42" s="499">
        <v>0</v>
      </c>
      <c r="J42" s="499">
        <v>0</v>
      </c>
      <c r="K42" s="499">
        <v>0.138347</v>
      </c>
      <c r="L42" s="499">
        <v>0.17615500000000001</v>
      </c>
      <c r="M42" s="499">
        <v>0.22020400000000001</v>
      </c>
      <c r="N42" s="499">
        <v>0.26187199999999999</v>
      </c>
      <c r="O42" s="499">
        <v>0.30839099999999997</v>
      </c>
      <c r="P42" s="499">
        <v>0.41514600000000002</v>
      </c>
      <c r="Q42" s="499">
        <v>0.53129399999999993</v>
      </c>
      <c r="R42" s="499">
        <v>0.65826099999999999</v>
      </c>
      <c r="S42" s="499">
        <v>0.79062100000000002</v>
      </c>
      <c r="T42" s="499">
        <v>0.84659699999999993</v>
      </c>
      <c r="U42" s="499">
        <v>0.89368700000000001</v>
      </c>
      <c r="V42" s="499">
        <v>0.94406099999999993</v>
      </c>
      <c r="W42" s="499">
        <v>0.99521099999999996</v>
      </c>
      <c r="X42" s="499">
        <v>1.0492859999999999</v>
      </c>
      <c r="Y42" s="499">
        <v>1.104536</v>
      </c>
      <c r="Z42" s="499">
        <v>1.1563030000000001</v>
      </c>
      <c r="AA42" s="499">
        <v>1.2066940000000002</v>
      </c>
      <c r="AB42" s="499">
        <v>1.2582610000000001</v>
      </c>
      <c r="AC42" s="499">
        <v>1.3122440000000002</v>
      </c>
      <c r="AD42" s="499">
        <v>1.4250240000000001</v>
      </c>
      <c r="AE42" s="499">
        <v>1.534551</v>
      </c>
      <c r="AF42" s="499">
        <v>1.6419260000000002</v>
      </c>
      <c r="AG42" s="499">
        <v>1.7553640000000001</v>
      </c>
      <c r="AH42" s="499">
        <v>1.8796810000000002</v>
      </c>
      <c r="AI42" s="499">
        <v>2.012562</v>
      </c>
      <c r="AJ42" s="499">
        <v>2.1356309999999996</v>
      </c>
      <c r="AK42" s="499" t="s">
        <v>41</v>
      </c>
      <c r="AL42" s="517" t="s">
        <v>742</v>
      </c>
      <c r="AM42" s="518">
        <v>0.11293923535204889</v>
      </c>
    </row>
    <row r="43" spans="1:44" s="251" customFormat="1">
      <c r="A43" s="502" t="s">
        <v>726</v>
      </c>
      <c r="G43" s="500">
        <v>1303.0757450000001</v>
      </c>
      <c r="H43" s="500">
        <v>1290.008423</v>
      </c>
      <c r="I43" s="500">
        <v>1283.0601799999999</v>
      </c>
      <c r="J43" s="500">
        <v>1283.5754239999999</v>
      </c>
      <c r="K43" s="500">
        <v>1307.7798919999998</v>
      </c>
      <c r="L43" s="500">
        <v>1345.2773740000002</v>
      </c>
      <c r="M43" s="500">
        <v>1360.129852</v>
      </c>
      <c r="N43" s="500">
        <v>1372.1891479999999</v>
      </c>
      <c r="O43" s="500">
        <v>1386.3114629999998</v>
      </c>
      <c r="P43" s="500">
        <v>1399.4402150000001</v>
      </c>
      <c r="Q43" s="500">
        <v>1412.343764</v>
      </c>
      <c r="R43" s="500">
        <v>1427.4572440000002</v>
      </c>
      <c r="S43" s="500">
        <v>1449.5046699999998</v>
      </c>
      <c r="T43" s="500">
        <v>1469.198746</v>
      </c>
      <c r="U43" s="500">
        <v>1484.5135330000001</v>
      </c>
      <c r="V43" s="500">
        <v>1493.308548</v>
      </c>
      <c r="W43" s="500">
        <v>1502.5835729999999</v>
      </c>
      <c r="X43" s="500">
        <v>1513.1648399999999</v>
      </c>
      <c r="Y43" s="500">
        <v>1519.9720609999999</v>
      </c>
      <c r="Z43" s="500">
        <v>1530.2073520000001</v>
      </c>
      <c r="AA43" s="500">
        <v>1534.3055880000002</v>
      </c>
      <c r="AB43" s="500">
        <v>1540.9608000000001</v>
      </c>
      <c r="AC43" s="500">
        <v>1545.1990959999998</v>
      </c>
      <c r="AD43" s="500">
        <v>1551.624648</v>
      </c>
      <c r="AE43" s="500">
        <v>1561.9216140000001</v>
      </c>
      <c r="AF43" s="500">
        <v>1570.9478590000001</v>
      </c>
      <c r="AG43" s="500">
        <v>1585.1822809999999</v>
      </c>
      <c r="AH43" s="500">
        <v>1601.06041</v>
      </c>
      <c r="AI43" s="500">
        <v>1614.0061479999999</v>
      </c>
      <c r="AJ43" s="500">
        <v>1624.4732049999998</v>
      </c>
      <c r="AK43" s="504">
        <v>1E-3</v>
      </c>
      <c r="AL43" s="517" t="s">
        <v>743</v>
      </c>
      <c r="AM43" s="518">
        <v>2.5470727291261146E-3</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8.6719819522355024E-2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749</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754</v>
      </c>
      <c r="AN48" s="255">
        <v>2006</v>
      </c>
      <c r="AO48" s="255">
        <v>2007</v>
      </c>
      <c r="AP48" s="255">
        <v>2008</v>
      </c>
      <c r="AQ48" s="255">
        <v>2009</v>
      </c>
      <c r="AR48" s="255">
        <v>2010</v>
      </c>
    </row>
    <row r="49" spans="1:44" s="255" customFormat="1">
      <c r="A49" s="254" t="s">
        <v>68</v>
      </c>
      <c r="B49" s="505">
        <f>AN51</f>
        <v>40.442999999999998</v>
      </c>
      <c r="C49" s="505">
        <f t="shared" ref="C49:F49" si="0">AO51</f>
        <v>41.274999999999999</v>
      </c>
      <c r="D49" s="505">
        <f t="shared" si="0"/>
        <v>43.84</v>
      </c>
      <c r="E49" s="505">
        <f t="shared" si="0"/>
        <v>39.707000000000001</v>
      </c>
      <c r="F49" s="505">
        <f t="shared" si="0"/>
        <v>43.643999999999998</v>
      </c>
      <c r="G49" s="484">
        <f t="shared" ref="G49:AJ49" si="1">G36*$AM36</f>
        <v>40.704651223884561</v>
      </c>
      <c r="H49" s="484">
        <f t="shared" si="1"/>
        <v>35.066815084048343</v>
      </c>
      <c r="I49" s="484">
        <f t="shared" si="1"/>
        <v>37.49650986078143</v>
      </c>
      <c r="J49" s="484">
        <f t="shared" si="1"/>
        <v>38.625493110638409</v>
      </c>
      <c r="K49" s="484">
        <f t="shared" si="1"/>
        <v>36.604565789639459</v>
      </c>
      <c r="L49" s="484">
        <f t="shared" si="1"/>
        <v>35.169920872993274</v>
      </c>
      <c r="M49" s="484">
        <f t="shared" si="1"/>
        <v>37.024420809386719</v>
      </c>
      <c r="N49" s="484">
        <f t="shared" si="1"/>
        <v>37.692112976703442</v>
      </c>
      <c r="O49" s="484">
        <f t="shared" si="1"/>
        <v>38.036516445646093</v>
      </c>
      <c r="P49" s="484">
        <f t="shared" si="1"/>
        <v>37.939251158444229</v>
      </c>
      <c r="Q49" s="484">
        <f t="shared" si="1"/>
        <v>38.257094270080046</v>
      </c>
      <c r="R49" s="484">
        <f t="shared" si="1"/>
        <v>38.553762654555115</v>
      </c>
      <c r="S49" s="484">
        <f t="shared" si="1"/>
        <v>38.570310054462119</v>
      </c>
      <c r="T49" s="484">
        <f t="shared" si="1"/>
        <v>39.069388039217358</v>
      </c>
      <c r="U49" s="484">
        <f t="shared" si="1"/>
        <v>39.453328096551175</v>
      </c>
      <c r="V49" s="484">
        <f t="shared" si="1"/>
        <v>39.425373731267555</v>
      </c>
      <c r="W49" s="484">
        <f t="shared" si="1"/>
        <v>39.433649530734328</v>
      </c>
      <c r="X49" s="484">
        <f t="shared" si="1"/>
        <v>39.428054706462454</v>
      </c>
      <c r="Y49" s="484">
        <f t="shared" si="1"/>
        <v>39.282529869493736</v>
      </c>
      <c r="Z49" s="484">
        <f t="shared" si="1"/>
        <v>39.314737297976514</v>
      </c>
      <c r="AA49" s="484">
        <f t="shared" si="1"/>
        <v>39.297281669278554</v>
      </c>
      <c r="AB49" s="484">
        <f t="shared" si="1"/>
        <v>39.284174166987277</v>
      </c>
      <c r="AC49" s="484">
        <f t="shared" si="1"/>
        <v>39.244773737194613</v>
      </c>
      <c r="AD49" s="484">
        <f t="shared" si="1"/>
        <v>39.212466220439737</v>
      </c>
      <c r="AE49" s="484">
        <f t="shared" si="1"/>
        <v>39.177337577374423</v>
      </c>
      <c r="AF49" s="484">
        <f t="shared" si="1"/>
        <v>39.142478979901576</v>
      </c>
      <c r="AG49" s="484">
        <f t="shared" si="1"/>
        <v>39.109815578437789</v>
      </c>
      <c r="AH49" s="484">
        <f t="shared" si="1"/>
        <v>39.076852738195733</v>
      </c>
      <c r="AI49" s="484">
        <f t="shared" si="1"/>
        <v>39.076542560923336</v>
      </c>
      <c r="AJ49" s="484">
        <f t="shared" si="1"/>
        <v>39.076032551289238</v>
      </c>
      <c r="AK49"/>
    </row>
    <row r="50" spans="1:44" s="255" customFormat="1">
      <c r="A50" s="254" t="s">
        <v>69</v>
      </c>
      <c r="B50" s="505">
        <f t="shared" ref="B50:B51" si="2">AN52</f>
        <v>7.2999999999999995E-2</v>
      </c>
      <c r="C50" s="505">
        <f t="shared" ref="C50:C51" si="3">AO52</f>
        <v>4.9000000000000002E-2</v>
      </c>
      <c r="D50" s="505">
        <f t="shared" ref="D50:D51" si="4">AP52</f>
        <v>5.1999999999999998E-2</v>
      </c>
      <c r="E50" s="505">
        <f t="shared" ref="E50:E51" si="5">AQ52</f>
        <v>6.3E-2</v>
      </c>
      <c r="F50" s="505">
        <f t="shared" ref="F50:F51" si="6">AR52</f>
        <v>6.6000000000000003E-2</v>
      </c>
      <c r="G50" s="484">
        <f t="shared" ref="G50:AJ50" si="7">G37*$AM37</f>
        <v>5.9177994634503968E-2</v>
      </c>
      <c r="H50" s="484">
        <f t="shared" si="7"/>
        <v>3.7514761307639186E-2</v>
      </c>
      <c r="I50" s="484">
        <f t="shared" si="7"/>
        <v>3.0833930806205563E-2</v>
      </c>
      <c r="J50" s="484">
        <f t="shared" si="7"/>
        <v>3.1272732693570837E-2</v>
      </c>
      <c r="K50" s="484">
        <f t="shared" si="7"/>
        <v>3.0309778006562219E-2</v>
      </c>
      <c r="L50" s="484">
        <f t="shared" si="7"/>
        <v>2.8940696666570825E-2</v>
      </c>
      <c r="M50" s="484">
        <f t="shared" si="7"/>
        <v>1.7318799733448131E-2</v>
      </c>
      <c r="N50" s="484">
        <f t="shared" si="7"/>
        <v>1.7620994669963638E-2</v>
      </c>
      <c r="O50" s="484">
        <f t="shared" si="7"/>
        <v>1.7783147285331848E-2</v>
      </c>
      <c r="P50" s="484">
        <f t="shared" si="7"/>
        <v>1.7755672166262733E-2</v>
      </c>
      <c r="Q50" s="484">
        <f t="shared" si="7"/>
        <v>1.7925691622746074E-2</v>
      </c>
      <c r="R50" s="484">
        <f t="shared" si="7"/>
        <v>1.8050996362183169E-2</v>
      </c>
      <c r="S50" s="484">
        <f t="shared" si="7"/>
        <v>1.8136535513929596E-2</v>
      </c>
      <c r="T50" s="484">
        <f t="shared" si="7"/>
        <v>1.8373066249232829E-2</v>
      </c>
      <c r="U50" s="484">
        <f t="shared" si="7"/>
        <v>1.8629417031891939E-2</v>
      </c>
      <c r="V50" s="484">
        <f t="shared" si="7"/>
        <v>1.8436973548740427E-2</v>
      </c>
      <c r="W50" s="484">
        <f t="shared" si="7"/>
        <v>1.838411747468769E-2</v>
      </c>
      <c r="X50" s="484">
        <f t="shared" si="7"/>
        <v>1.8382548812451369E-2</v>
      </c>
      <c r="Y50" s="484">
        <f t="shared" si="7"/>
        <v>1.8361246379282169E-2</v>
      </c>
      <c r="Z50" s="484">
        <f t="shared" si="7"/>
        <v>1.8381662518287854E-2</v>
      </c>
      <c r="AA50" s="484">
        <f t="shared" si="7"/>
        <v>1.8377929102165416E-2</v>
      </c>
      <c r="AB50" s="484">
        <f t="shared" si="7"/>
        <v>1.8373944700085167E-2</v>
      </c>
      <c r="AC50" s="484">
        <f t="shared" si="7"/>
        <v>1.8355167813116437E-2</v>
      </c>
      <c r="AD50" s="484">
        <f t="shared" si="7"/>
        <v>1.8339685116843977E-2</v>
      </c>
      <c r="AE50" s="484">
        <f t="shared" si="7"/>
        <v>1.8323622015544085E-2</v>
      </c>
      <c r="AF50" s="484">
        <f t="shared" si="7"/>
        <v>1.8308139319271624E-2</v>
      </c>
      <c r="AG50" s="484">
        <f t="shared" si="7"/>
        <v>1.8294727257151099E-2</v>
      </c>
      <c r="AH50" s="484">
        <f t="shared" si="7"/>
        <v>1.8277181770037884E-2</v>
      </c>
      <c r="AI50" s="484">
        <f t="shared" si="7"/>
        <v>1.8274546417480868E-2</v>
      </c>
      <c r="AJ50" s="484">
        <f t="shared" si="7"/>
        <v>1.827396601245343E-2</v>
      </c>
      <c r="AK50"/>
      <c r="AM50" s="255" t="s">
        <v>755</v>
      </c>
      <c r="AN50" s="255">
        <v>73.385000000000005</v>
      </c>
      <c r="AO50" s="255">
        <v>79.793999999999997</v>
      </c>
      <c r="AP50" s="255">
        <v>82.715000000000003</v>
      </c>
      <c r="AQ50" s="255">
        <v>74.509</v>
      </c>
      <c r="AR50" s="255">
        <v>73.385999999999996</v>
      </c>
    </row>
    <row r="51" spans="1:44" s="255" customFormat="1">
      <c r="A51" s="254" t="s">
        <v>76</v>
      </c>
      <c r="B51" s="505">
        <f t="shared" si="2"/>
        <v>32.869</v>
      </c>
      <c r="C51" s="505">
        <f t="shared" si="3"/>
        <v>38.469000000000001</v>
      </c>
      <c r="D51" s="505">
        <f t="shared" si="4"/>
        <v>38.822000000000003</v>
      </c>
      <c r="E51" s="505">
        <f t="shared" si="5"/>
        <v>34.738999999999997</v>
      </c>
      <c r="F51" s="505">
        <f t="shared" si="6"/>
        <v>29.675999999999998</v>
      </c>
      <c r="G51" s="484">
        <f t="shared" ref="G51:AJ51" si="8">G38*$AM38</f>
        <v>35.806955270221351</v>
      </c>
      <c r="H51" s="484">
        <f t="shared" si="8"/>
        <v>42.572068144681666</v>
      </c>
      <c r="I51" s="484">
        <f t="shared" si="8"/>
        <v>38.004801414492704</v>
      </c>
      <c r="J51" s="484">
        <f t="shared" si="8"/>
        <v>36.22318888702997</v>
      </c>
      <c r="K51" s="484">
        <f t="shared" si="8"/>
        <v>39.081043844637747</v>
      </c>
      <c r="L51" s="484">
        <f t="shared" si="8"/>
        <v>42.646285862391451</v>
      </c>
      <c r="M51" s="484">
        <f t="shared" si="8"/>
        <v>40.734510084072078</v>
      </c>
      <c r="N51" s="484">
        <f t="shared" si="8"/>
        <v>40.241803727443497</v>
      </c>
      <c r="O51" s="484">
        <f t="shared" si="8"/>
        <v>40.905160588722111</v>
      </c>
      <c r="P51" s="484">
        <f t="shared" si="8"/>
        <v>42.147540364502497</v>
      </c>
      <c r="Q51" s="484">
        <f t="shared" si="8"/>
        <v>42.787168277505828</v>
      </c>
      <c r="R51" s="484">
        <f t="shared" si="8"/>
        <v>43.68609836985425</v>
      </c>
      <c r="S51" s="484">
        <f t="shared" si="8"/>
        <v>45.359690986426791</v>
      </c>
      <c r="T51" s="484">
        <f t="shared" si="8"/>
        <v>46.390340658873846</v>
      </c>
      <c r="U51" s="484">
        <f t="shared" si="8"/>
        <v>46.950027108082786</v>
      </c>
      <c r="V51" s="484">
        <f t="shared" si="8"/>
        <v>47.710424675163274</v>
      </c>
      <c r="W51" s="484">
        <f t="shared" si="8"/>
        <v>48.452921074184161</v>
      </c>
      <c r="X51" s="484">
        <f t="shared" si="8"/>
        <v>49.320236092945677</v>
      </c>
      <c r="Y51" s="484">
        <f t="shared" si="8"/>
        <v>49.72557282423076</v>
      </c>
      <c r="Z51" s="484">
        <f t="shared" si="8"/>
        <v>50.499210225139556</v>
      </c>
      <c r="AA51" s="484">
        <f t="shared" si="8"/>
        <v>50.831396634239134</v>
      </c>
      <c r="AB51" s="484">
        <f t="shared" si="8"/>
        <v>51.388262325691088</v>
      </c>
      <c r="AC51" s="484">
        <f t="shared" si="8"/>
        <v>51.790229828432466</v>
      </c>
      <c r="AD51" s="484">
        <f t="shared" si="8"/>
        <v>52.347006436766215</v>
      </c>
      <c r="AE51" s="484">
        <f t="shared" si="8"/>
        <v>53.226668144326723</v>
      </c>
      <c r="AF51" s="484">
        <f t="shared" si="8"/>
        <v>54.012982046258358</v>
      </c>
      <c r="AG51" s="484">
        <f t="shared" si="8"/>
        <v>55.25956216670729</v>
      </c>
      <c r="AH51" s="484">
        <f t="shared" si="8"/>
        <v>56.641404545346418</v>
      </c>
      <c r="AI51" s="484">
        <f t="shared" si="8"/>
        <v>57.712805606147136</v>
      </c>
      <c r="AJ51" s="484">
        <f t="shared" si="8"/>
        <v>58.546049580479391</v>
      </c>
      <c r="AK51"/>
      <c r="AM51" s="255" t="s">
        <v>68</v>
      </c>
      <c r="AN51" s="255">
        <v>40.442999999999998</v>
      </c>
      <c r="AO51" s="255">
        <v>41.274999999999999</v>
      </c>
      <c r="AP51" s="255">
        <v>43.84</v>
      </c>
      <c r="AQ51" s="255">
        <v>39.707000000000001</v>
      </c>
      <c r="AR51" s="255">
        <v>43.643999999999998</v>
      </c>
    </row>
    <row r="52" spans="1:44" s="255" customFormat="1">
      <c r="A52" s="254" t="s">
        <v>71</v>
      </c>
      <c r="B52" s="506">
        <f>AN55</f>
        <v>24.012</v>
      </c>
      <c r="C52" s="506">
        <f t="shared" ref="C52:F52" si="9">AO55</f>
        <v>26.782</v>
      </c>
      <c r="D52" s="506">
        <f t="shared" si="9"/>
        <v>29.25</v>
      </c>
      <c r="E52" s="506">
        <f t="shared" si="9"/>
        <v>30.661999999999999</v>
      </c>
      <c r="F52" s="506">
        <f t="shared" si="9"/>
        <v>31.2</v>
      </c>
      <c r="G52" s="484">
        <f>G39*$AM40</f>
        <v>28.780883109704355</v>
      </c>
      <c r="H52" s="484">
        <f t="shared" ref="H52:AJ52" si="10">H39*$AM40</f>
        <v>28.515144319000118</v>
      </c>
      <c r="I52" s="484">
        <f t="shared" si="10"/>
        <v>28.059771926986564</v>
      </c>
      <c r="J52" s="484">
        <f t="shared" si="10"/>
        <v>28.14304757348485</v>
      </c>
      <c r="K52" s="484">
        <f t="shared" si="10"/>
        <v>29.211453059741611</v>
      </c>
      <c r="L52" s="484">
        <f t="shared" si="10"/>
        <v>30.449038405440788</v>
      </c>
      <c r="M52" s="484">
        <f t="shared" si="10"/>
        <v>31.651996463115452</v>
      </c>
      <c r="N52" s="484">
        <f t="shared" si="10"/>
        <v>32.586047077192681</v>
      </c>
      <c r="O52" s="484">
        <f t="shared" si="10"/>
        <v>32.749233384327461</v>
      </c>
      <c r="P52" s="484">
        <f t="shared" si="10"/>
        <v>32.749234204089333</v>
      </c>
      <c r="Q52" s="484">
        <f t="shared" si="10"/>
        <v>32.749234204089333</v>
      </c>
      <c r="R52" s="484">
        <f t="shared" si="10"/>
        <v>32.749233930835381</v>
      </c>
      <c r="S52" s="484">
        <f t="shared" si="10"/>
        <v>32.749234204089333</v>
      </c>
      <c r="T52" s="484">
        <f t="shared" si="10"/>
        <v>32.749233384327461</v>
      </c>
      <c r="U52" s="484">
        <f t="shared" si="10"/>
        <v>32.749299648412197</v>
      </c>
      <c r="V52" s="484">
        <f t="shared" si="10"/>
        <v>32.749233930835381</v>
      </c>
      <c r="W52" s="484">
        <f t="shared" si="10"/>
        <v>32.749233657581421</v>
      </c>
      <c r="X52" s="484">
        <f t="shared" si="10"/>
        <v>32.749233657581421</v>
      </c>
      <c r="Y52" s="484">
        <f t="shared" si="10"/>
        <v>32.749234204089333</v>
      </c>
      <c r="Z52" s="484">
        <f t="shared" si="10"/>
        <v>32.749233657581421</v>
      </c>
      <c r="AA52" s="484">
        <f t="shared" si="10"/>
        <v>32.749233657581421</v>
      </c>
      <c r="AB52" s="484">
        <f t="shared" si="10"/>
        <v>32.749233930835381</v>
      </c>
      <c r="AC52" s="484">
        <f t="shared" si="10"/>
        <v>32.749233247700488</v>
      </c>
      <c r="AD52" s="484">
        <f t="shared" si="10"/>
        <v>32.749233657581421</v>
      </c>
      <c r="AE52" s="484">
        <f t="shared" si="10"/>
        <v>32.749234204089333</v>
      </c>
      <c r="AF52" s="484">
        <f t="shared" si="10"/>
        <v>32.749234204089333</v>
      </c>
      <c r="AG52" s="484">
        <f t="shared" si="10"/>
        <v>32.749234204089333</v>
      </c>
      <c r="AH52" s="484">
        <f t="shared" si="10"/>
        <v>32.749234204089333</v>
      </c>
      <c r="AI52" s="484">
        <f t="shared" si="10"/>
        <v>32.749233657581421</v>
      </c>
      <c r="AJ52" s="484">
        <f t="shared" si="10"/>
        <v>32.749233657581421</v>
      </c>
      <c r="AK52"/>
      <c r="AM52" s="255" t="s">
        <v>69</v>
      </c>
      <c r="AN52" s="255">
        <v>7.2999999999999995E-2</v>
      </c>
      <c r="AO52" s="255">
        <v>4.9000000000000002E-2</v>
      </c>
      <c r="AP52" s="255">
        <v>5.1999999999999998E-2</v>
      </c>
      <c r="AQ52" s="255">
        <v>6.3E-2</v>
      </c>
      <c r="AR52" s="255">
        <v>6.6000000000000003E-2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744</v>
      </c>
      <c r="AN53" s="255">
        <v>32.869</v>
      </c>
      <c r="AO53" s="255">
        <v>38.469000000000001</v>
      </c>
      <c r="AP53" s="255">
        <v>38.822000000000003</v>
      </c>
      <c r="AQ53" s="255">
        <v>34.738999999999997</v>
      </c>
      <c r="AR53" s="255">
        <v>29.675999999999998</v>
      </c>
    </row>
    <row r="54" spans="1:44" s="255" customFormat="1">
      <c r="A54" s="254" t="s">
        <v>627</v>
      </c>
      <c r="B54" s="506">
        <f>AN56</f>
        <v>6.8460000000000001</v>
      </c>
      <c r="C54" s="506">
        <f t="shared" ref="C54:F54" si="11">AO56</f>
        <v>6.6390000000000002</v>
      </c>
      <c r="D54" s="506">
        <f t="shared" si="11"/>
        <v>7.4</v>
      </c>
      <c r="E54" s="506">
        <f t="shared" si="11"/>
        <v>6.63</v>
      </c>
      <c r="F54" s="506">
        <f t="shared" si="11"/>
        <v>6.9409999999999998</v>
      </c>
      <c r="G54" s="484">
        <f>EIA_RE_aeo2014!G79</f>
        <v>8.7741437755696143</v>
      </c>
      <c r="H54" s="484">
        <f>EIA_RE_aeo2014!H79</f>
        <v>8.9582095173865834</v>
      </c>
      <c r="I54" s="484">
        <f>EIA_RE_aeo2014!I79</f>
        <v>11.85449507008296</v>
      </c>
      <c r="J54" s="484">
        <f>EIA_RE_aeo2014!J79</f>
        <v>14.109243628985478</v>
      </c>
      <c r="K54" s="484">
        <f>EIA_RE_aeo2014!K79</f>
        <v>15.39695732070251</v>
      </c>
      <c r="L54" s="484">
        <f>EIA_RE_aeo2014!L79</f>
        <v>16.251441948309527</v>
      </c>
      <c r="M54" s="484">
        <f>EIA_RE_aeo2014!M79</f>
        <v>16.3815515011805</v>
      </c>
      <c r="N54" s="484">
        <f>EIA_RE_aeo2014!N79</f>
        <v>16.424997002229986</v>
      </c>
      <c r="O54" s="484">
        <f>EIA_RE_aeo2014!O79</f>
        <v>16.472707843893527</v>
      </c>
      <c r="P54" s="484">
        <f>EIA_RE_aeo2014!P79</f>
        <v>16.552538160169131</v>
      </c>
      <c r="Q54" s="484">
        <f>EIA_RE_aeo2014!Q79</f>
        <v>16.652410041618275</v>
      </c>
      <c r="R54" s="484">
        <f>EIA_RE_aeo2014!R79</f>
        <v>16.765417753168588</v>
      </c>
      <c r="S54" s="484">
        <f>EIA_RE_aeo2014!S79</f>
        <v>16.955772452079263</v>
      </c>
      <c r="T54" s="484">
        <f>EIA_RE_aeo2014!T79</f>
        <v>17.117316704616371</v>
      </c>
      <c r="U54" s="484">
        <f>EIA_RE_aeo2014!U79</f>
        <v>17.3370207623372</v>
      </c>
      <c r="V54" s="484">
        <f>EIA_RE_aeo2014!V79</f>
        <v>17.589868086976015</v>
      </c>
      <c r="W54" s="484">
        <f>EIA_RE_aeo2014!W79</f>
        <v>17.875582303628789</v>
      </c>
      <c r="X54" s="484">
        <f>EIA_RE_aeo2014!X79</f>
        <v>18.271013972948754</v>
      </c>
      <c r="Y54" s="484">
        <f>EIA_RE_aeo2014!Y79</f>
        <v>18.738648487344836</v>
      </c>
      <c r="Z54" s="484">
        <f>EIA_RE_aeo2014!Z79</f>
        <v>19.298007153670895</v>
      </c>
      <c r="AA54" s="484">
        <f>EIA_RE_aeo2014!AA79</f>
        <v>19.914035512804258</v>
      </c>
      <c r="AB54" s="484">
        <f>EIA_RE_aeo2014!AB79</f>
        <v>20.54855458784743</v>
      </c>
      <c r="AC54" s="484">
        <f>EIA_RE_aeo2014!AC79</f>
        <v>21.046892156895026</v>
      </c>
      <c r="AD54" s="484">
        <f>EIA_RE_aeo2014!AD79</f>
        <v>21.745952164201842</v>
      </c>
      <c r="AE54" s="484">
        <f>EIA_RE_aeo2014!AE79</f>
        <v>22.69083661057822</v>
      </c>
      <c r="AF54" s="484">
        <f>EIA_RE_aeo2014!AF79</f>
        <v>23.414747199436796</v>
      </c>
      <c r="AG54" s="484">
        <f>EIA_RE_aeo2014!AG79</f>
        <v>23.955242664836597</v>
      </c>
      <c r="AH54" s="484">
        <f>EIA_RE_aeo2014!AH79</f>
        <v>24.51567689568407</v>
      </c>
      <c r="AI54" s="484">
        <f>EIA_RE_aeo2014!AI79</f>
        <v>25.069845205693138</v>
      </c>
      <c r="AJ54" s="484">
        <f>EIA_RE_aeo2014!AJ79</f>
        <v>25.640005601585845</v>
      </c>
      <c r="AK54"/>
      <c r="AM54" s="255" t="s">
        <v>756</v>
      </c>
      <c r="AN54" s="255">
        <v>0</v>
      </c>
      <c r="AO54" s="255">
        <v>0</v>
      </c>
      <c r="AP54" s="255">
        <v>0</v>
      </c>
      <c r="AQ54" s="255">
        <v>0</v>
      </c>
      <c r="AR54" s="255">
        <v>0</v>
      </c>
    </row>
    <row r="55" spans="1:44" s="255" customFormat="1">
      <c r="A55" s="254" t="s">
        <v>628</v>
      </c>
      <c r="B55" s="506">
        <f>AN58</f>
        <v>0</v>
      </c>
      <c r="C55" s="506">
        <f t="shared" ref="C55:F55" si="12">AO58</f>
        <v>0</v>
      </c>
      <c r="D55" s="506">
        <f t="shared" si="12"/>
        <v>0</v>
      </c>
      <c r="E55" s="506">
        <f t="shared" si="12"/>
        <v>2E-3</v>
      </c>
      <c r="F55" s="506">
        <f t="shared" si="12"/>
        <v>1.4999999999999999E-2</v>
      </c>
      <c r="G55" s="484">
        <f>G40*$AM43</f>
        <v>2.9483946024726833E-3</v>
      </c>
      <c r="H55" s="484">
        <f t="shared" ref="H55:AJ55" si="13">H40*$AM43</f>
        <v>2.9003924698195729E-3</v>
      </c>
      <c r="I55" s="484">
        <f t="shared" si="13"/>
        <v>-2.6911377097582163E-3</v>
      </c>
      <c r="J55" s="484">
        <f t="shared" si="13"/>
        <v>-2.6850909590992711E-3</v>
      </c>
      <c r="K55" s="484">
        <f t="shared" si="13"/>
        <v>-2.6850884120265422E-3</v>
      </c>
      <c r="L55" s="484">
        <f t="shared" si="13"/>
        <v>-2.6821261664425684E-3</v>
      </c>
      <c r="M55" s="484">
        <f t="shared" si="13"/>
        <v>-2.6821261664425684E-3</v>
      </c>
      <c r="N55" s="484">
        <f t="shared" si="13"/>
        <v>-2.6808118769143397E-3</v>
      </c>
      <c r="O55" s="484">
        <f t="shared" si="13"/>
        <v>-2.6793727808223831E-3</v>
      </c>
      <c r="P55" s="484">
        <f t="shared" si="13"/>
        <v>-2.674016286873031E-3</v>
      </c>
      <c r="Q55" s="484">
        <f t="shared" si="13"/>
        <v>-2.670885934488935E-3</v>
      </c>
      <c r="R55" s="484">
        <f t="shared" si="13"/>
        <v>-2.6680892486323545E-3</v>
      </c>
      <c r="S55" s="484">
        <f t="shared" si="13"/>
        <v>-2.6679899127959182E-3</v>
      </c>
      <c r="T55" s="484">
        <f t="shared" si="13"/>
        <v>-2.6678854828140241E-3</v>
      </c>
      <c r="U55" s="484">
        <f t="shared" si="13"/>
        <v>-2.6563064901874169E-3</v>
      </c>
      <c r="V55" s="484">
        <f t="shared" si="13"/>
        <v>-2.6491772336185932E-3</v>
      </c>
      <c r="W55" s="484">
        <f t="shared" si="13"/>
        <v>-2.6428426637412567E-3</v>
      </c>
      <c r="X55" s="484">
        <f t="shared" si="13"/>
        <v>-2.6300487174228562E-3</v>
      </c>
      <c r="Y55" s="484">
        <f t="shared" si="13"/>
        <v>-2.6226825830902231E-3</v>
      </c>
      <c r="Z55" s="484">
        <f t="shared" si="13"/>
        <v>-2.6197763731062905E-3</v>
      </c>
      <c r="AA55" s="484">
        <f t="shared" si="13"/>
        <v>-2.6172471298862685E-3</v>
      </c>
      <c r="AB55" s="484">
        <f t="shared" si="13"/>
        <v>-2.6157621864851877E-3</v>
      </c>
      <c r="AC55" s="484">
        <f t="shared" si="13"/>
        <v>-2.6145064796297287E-3</v>
      </c>
      <c r="AD55" s="484">
        <f t="shared" si="13"/>
        <v>-2.6125732514283217E-3</v>
      </c>
      <c r="AE55" s="484">
        <f t="shared" si="13"/>
        <v>-2.6112971679910293E-3</v>
      </c>
      <c r="AF55" s="484">
        <f t="shared" si="13"/>
        <v>-2.6099497665173217E-3</v>
      </c>
      <c r="AG55" s="484">
        <f t="shared" si="13"/>
        <v>-2.607397599642737E-3</v>
      </c>
      <c r="AH55" s="484">
        <f t="shared" si="13"/>
        <v>-2.6059101091689277E-3</v>
      </c>
      <c r="AI55" s="484">
        <f t="shared" si="13"/>
        <v>-2.6044888425860754E-3</v>
      </c>
      <c r="AJ55" s="484">
        <f t="shared" si="13"/>
        <v>-2.6018500752387009E-3</v>
      </c>
      <c r="AK55"/>
      <c r="AM55" s="255" t="s">
        <v>225</v>
      </c>
      <c r="AN55" s="255">
        <v>24.012</v>
      </c>
      <c r="AO55" s="255">
        <v>26.782</v>
      </c>
      <c r="AP55" s="255">
        <v>29.25</v>
      </c>
      <c r="AQ55" s="255">
        <v>30.661999999999999</v>
      </c>
      <c r="AR55" s="255">
        <v>31.2</v>
      </c>
    </row>
    <row r="56" spans="1:44" s="255" customFormat="1">
      <c r="A56" s="254" t="s">
        <v>82</v>
      </c>
      <c r="B56" s="506">
        <f>AN59</f>
        <v>104.393</v>
      </c>
      <c r="C56" s="506">
        <f t="shared" ref="C56" si="14">AO59</f>
        <v>113.34099999999999</v>
      </c>
      <c r="D56" s="506">
        <f t="shared" ref="D56" si="15">AP59</f>
        <v>119.459</v>
      </c>
      <c r="E56" s="506">
        <f t="shared" ref="E56" si="16">AQ59</f>
        <v>111.971</v>
      </c>
      <c r="F56" s="506">
        <f t="shared" ref="F56" si="17">AR59</f>
        <v>111.751</v>
      </c>
      <c r="G56" s="536">
        <f>G58</f>
        <v>114.12875976861686</v>
      </c>
      <c r="H56" s="536">
        <f t="shared" ref="H56:AJ56" si="18">H58</f>
        <v>115.15265221889418</v>
      </c>
      <c r="I56" s="536">
        <f t="shared" si="18"/>
        <v>115.44372106544012</v>
      </c>
      <c r="J56" s="536">
        <f t="shared" si="18"/>
        <v>117.12956084187319</v>
      </c>
      <c r="K56" s="536">
        <f t="shared" si="18"/>
        <v>120.32164470431587</v>
      </c>
      <c r="L56" s="536">
        <f t="shared" si="18"/>
        <v>124.54294565963518</v>
      </c>
      <c r="M56" s="536">
        <f t="shared" si="18"/>
        <v>125.80711553132174</v>
      </c>
      <c r="N56" s="536">
        <f t="shared" si="18"/>
        <v>126.95990096636267</v>
      </c>
      <c r="O56" s="536">
        <f t="shared" si="18"/>
        <v>128.17872203709368</v>
      </c>
      <c r="P56" s="536">
        <f t="shared" si="18"/>
        <v>129.40364554308456</v>
      </c>
      <c r="Q56" s="536">
        <f t="shared" si="18"/>
        <v>130.46116159898173</v>
      </c>
      <c r="R56" s="536">
        <f t="shared" si="18"/>
        <v>131.76989561552688</v>
      </c>
      <c r="S56" s="536">
        <f t="shared" si="18"/>
        <v>133.65047624265864</v>
      </c>
      <c r="T56" s="536">
        <f t="shared" si="18"/>
        <v>135.34198396780144</v>
      </c>
      <c r="U56" s="536">
        <f t="shared" si="18"/>
        <v>136.50564872592506</v>
      </c>
      <c r="V56" s="536">
        <f t="shared" si="18"/>
        <v>137.49068822055736</v>
      </c>
      <c r="W56" s="536">
        <f t="shared" si="18"/>
        <v>138.52712784093964</v>
      </c>
      <c r="X56" s="536">
        <f t="shared" si="18"/>
        <v>139.78429093003334</v>
      </c>
      <c r="Y56" s="536">
        <f t="shared" si="18"/>
        <v>140.51172394895488</v>
      </c>
      <c r="Z56" s="536">
        <f t="shared" si="18"/>
        <v>141.87695022051358</v>
      </c>
      <c r="AA56" s="536">
        <f t="shared" si="18"/>
        <v>142.80770815587564</v>
      </c>
      <c r="AB56" s="536">
        <f t="shared" si="18"/>
        <v>143.98598319387477</v>
      </c>
      <c r="AC56" s="536">
        <f t="shared" si="18"/>
        <v>144.8468696315561</v>
      </c>
      <c r="AD56" s="536">
        <f t="shared" si="18"/>
        <v>146.07038559085461</v>
      </c>
      <c r="AE56" s="536">
        <f t="shared" si="18"/>
        <v>147.85978886121626</v>
      </c>
      <c r="AF56" s="536">
        <f t="shared" si="18"/>
        <v>149.33514061923881</v>
      </c>
      <c r="AG56" s="536">
        <f t="shared" si="18"/>
        <v>151.08954194372853</v>
      </c>
      <c r="AH56" s="536">
        <f t="shared" si="18"/>
        <v>152.99883965497642</v>
      </c>
      <c r="AI56" s="536">
        <f t="shared" si="18"/>
        <v>154.62409708791989</v>
      </c>
      <c r="AJ56" s="536">
        <f t="shared" si="18"/>
        <v>156.02699350687308</v>
      </c>
      <c r="AK56"/>
      <c r="AM56" s="255" t="s">
        <v>378</v>
      </c>
      <c r="AN56" s="255">
        <v>6.8460000000000001</v>
      </c>
      <c r="AO56" s="255">
        <v>6.6390000000000002</v>
      </c>
      <c r="AP56" s="255">
        <v>7.4</v>
      </c>
      <c r="AQ56" s="255">
        <v>6.63</v>
      </c>
      <c r="AR56" s="255">
        <v>6.9409999999999998</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757</v>
      </c>
      <c r="AN57" s="255">
        <v>0.14899999999999999</v>
      </c>
      <c r="AO57" s="255">
        <v>0.125</v>
      </c>
      <c r="AP57" s="255">
        <v>9.5000000000000001E-2</v>
      </c>
      <c r="AQ57" s="255">
        <v>0.16900000000000001</v>
      </c>
      <c r="AR57" s="255">
        <v>0.20899999999999999</v>
      </c>
    </row>
    <row r="58" spans="1:44" s="255" customFormat="1">
      <c r="A58" s="254" t="s">
        <v>83</v>
      </c>
      <c r="B58" s="483">
        <f>SUM(B49:B52,B54,B55)</f>
        <v>104.24299999999999</v>
      </c>
      <c r="C58" s="483">
        <f t="shared" ref="C58:AJ58" si="19">SUM(C49:C52,C54,C55)</f>
        <v>113.214</v>
      </c>
      <c r="D58" s="483">
        <f t="shared" si="19"/>
        <v>119.364</v>
      </c>
      <c r="E58" s="483">
        <f t="shared" si="19"/>
        <v>111.80299999999998</v>
      </c>
      <c r="F58" s="483">
        <f t="shared" si="19"/>
        <v>111.542</v>
      </c>
      <c r="G58" s="483">
        <f t="shared" si="19"/>
        <v>114.12875976861686</v>
      </c>
      <c r="H58" s="483">
        <f t="shared" si="19"/>
        <v>115.15265221889418</v>
      </c>
      <c r="I58" s="483">
        <f t="shared" si="19"/>
        <v>115.44372106544012</v>
      </c>
      <c r="J58" s="483">
        <f t="shared" si="19"/>
        <v>117.12956084187319</v>
      </c>
      <c r="K58" s="483">
        <f t="shared" si="19"/>
        <v>120.32164470431587</v>
      </c>
      <c r="L58" s="483">
        <f t="shared" si="19"/>
        <v>124.54294565963518</v>
      </c>
      <c r="M58" s="483">
        <f t="shared" si="19"/>
        <v>125.80711553132174</v>
      </c>
      <c r="N58" s="483">
        <f t="shared" si="19"/>
        <v>126.95990096636267</v>
      </c>
      <c r="O58" s="483">
        <f t="shared" si="19"/>
        <v>128.17872203709368</v>
      </c>
      <c r="P58" s="483">
        <f t="shared" si="19"/>
        <v>129.40364554308456</v>
      </c>
      <c r="Q58" s="483">
        <f t="shared" si="19"/>
        <v>130.46116159898173</v>
      </c>
      <c r="R58" s="483">
        <f t="shared" si="19"/>
        <v>131.76989561552688</v>
      </c>
      <c r="S58" s="483">
        <f t="shared" si="19"/>
        <v>133.65047624265864</v>
      </c>
      <c r="T58" s="483">
        <f t="shared" si="19"/>
        <v>135.34198396780144</v>
      </c>
      <c r="U58" s="483">
        <f t="shared" si="19"/>
        <v>136.50564872592506</v>
      </c>
      <c r="V58" s="483">
        <f t="shared" si="19"/>
        <v>137.49068822055736</v>
      </c>
      <c r="W58" s="483">
        <f t="shared" si="19"/>
        <v>138.52712784093964</v>
      </c>
      <c r="X58" s="483">
        <f t="shared" si="19"/>
        <v>139.78429093003334</v>
      </c>
      <c r="Y58" s="483">
        <f t="shared" si="19"/>
        <v>140.51172394895488</v>
      </c>
      <c r="Z58" s="483">
        <f t="shared" si="19"/>
        <v>141.87695022051358</v>
      </c>
      <c r="AA58" s="483">
        <f t="shared" si="19"/>
        <v>142.80770815587564</v>
      </c>
      <c r="AB58" s="483">
        <f t="shared" si="19"/>
        <v>143.98598319387477</v>
      </c>
      <c r="AC58" s="483">
        <f t="shared" si="19"/>
        <v>144.8468696315561</v>
      </c>
      <c r="AD58" s="483">
        <f t="shared" si="19"/>
        <v>146.07038559085461</v>
      </c>
      <c r="AE58" s="483">
        <f t="shared" si="19"/>
        <v>147.85978886121626</v>
      </c>
      <c r="AF58" s="483">
        <f t="shared" si="19"/>
        <v>149.33514061923881</v>
      </c>
      <c r="AG58" s="483">
        <f t="shared" si="19"/>
        <v>151.08954194372853</v>
      </c>
      <c r="AH58" s="483">
        <f t="shared" si="19"/>
        <v>152.99883965497642</v>
      </c>
      <c r="AI58" s="483">
        <f t="shared" si="19"/>
        <v>154.62409708791989</v>
      </c>
      <c r="AJ58" s="483">
        <f t="shared" si="19"/>
        <v>156.02699350687308</v>
      </c>
      <c r="AK58" s="490">
        <v>8.9999999999999993E-3</v>
      </c>
      <c r="AM58" s="255" t="s">
        <v>743</v>
      </c>
      <c r="AN58" s="255">
        <v>0</v>
      </c>
      <c r="AO58" s="255">
        <v>0</v>
      </c>
      <c r="AP58" s="255">
        <v>0</v>
      </c>
      <c r="AQ58" s="255">
        <v>2E-3</v>
      </c>
      <c r="AR58" s="255">
        <v>1.4999999999999999E-2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104.393</v>
      </c>
      <c r="AO59" s="5">
        <v>113.34099999999999</v>
      </c>
      <c r="AP59" s="5">
        <v>119.459</v>
      </c>
      <c r="AQ59" s="5">
        <v>111.971</v>
      </c>
      <c r="AR59" s="5">
        <v>111.751</v>
      </c>
    </row>
    <row r="60" spans="1:44" s="274" customFormat="1">
      <c r="A60" s="273" t="s">
        <v>331</v>
      </c>
      <c r="B60" s="367"/>
      <c r="C60" s="367"/>
      <c r="D60" s="367"/>
      <c r="E60" s="367">
        <f>E49/SUM(E49,E51)</f>
        <v>0.53336646696934698</v>
      </c>
      <c r="F60" s="367">
        <f t="shared" ref="F60:AJ60" si="20">F49/SUM(F49,F51)</f>
        <v>0.59525368248772503</v>
      </c>
      <c r="G60" s="324">
        <f t="shared" si="20"/>
        <v>0.53200622871538128</v>
      </c>
      <c r="H60" s="324">
        <f t="shared" si="20"/>
        <v>0.45166562971724955</v>
      </c>
      <c r="I60" s="324">
        <f t="shared" si="20"/>
        <v>0.4966338892323468</v>
      </c>
      <c r="J60" s="324">
        <f t="shared" si="20"/>
        <v>0.51604773898145107</v>
      </c>
      <c r="K60" s="324">
        <f t="shared" si="20"/>
        <v>0.48363970332692735</v>
      </c>
      <c r="L60" s="324">
        <f t="shared" si="20"/>
        <v>0.45196138887351783</v>
      </c>
      <c r="M60" s="324">
        <f t="shared" si="20"/>
        <v>0.47614364528899755</v>
      </c>
      <c r="N60" s="324">
        <f t="shared" si="20"/>
        <v>0.48364196964192624</v>
      </c>
      <c r="O60" s="324">
        <f t="shared" si="20"/>
        <v>0.48183061057958571</v>
      </c>
      <c r="P60" s="324">
        <f t="shared" si="20"/>
        <v>0.47372669621274255</v>
      </c>
      <c r="Q60" s="324">
        <f t="shared" si="20"/>
        <v>0.47205185249994774</v>
      </c>
      <c r="R60" s="324">
        <f t="shared" si="20"/>
        <v>0.46879654433161178</v>
      </c>
      <c r="S60" s="324">
        <f t="shared" si="20"/>
        <v>0.4595533131909707</v>
      </c>
      <c r="T60" s="324">
        <f t="shared" si="20"/>
        <v>0.45716723694782802</v>
      </c>
      <c r="U60" s="324">
        <f t="shared" si="20"/>
        <v>0.45661800983435918</v>
      </c>
      <c r="V60" s="324">
        <f t="shared" si="20"/>
        <v>0.45245897153973708</v>
      </c>
      <c r="W60" s="324">
        <f t="shared" si="20"/>
        <v>0.44868799930768333</v>
      </c>
      <c r="X60" s="324">
        <f t="shared" si="20"/>
        <v>0.44426832732563909</v>
      </c>
      <c r="Y60" s="324">
        <f t="shared" si="20"/>
        <v>0.44133656016311584</v>
      </c>
      <c r="Z60" s="324">
        <f t="shared" si="20"/>
        <v>0.43773532265529019</v>
      </c>
      <c r="AA60" s="324">
        <f t="shared" si="20"/>
        <v>0.43601306941327683</v>
      </c>
      <c r="AB60" s="324">
        <f t="shared" si="20"/>
        <v>0.43325376141358463</v>
      </c>
      <c r="AC60" s="324">
        <f t="shared" si="20"/>
        <v>0.43109542703431741</v>
      </c>
      <c r="AD60" s="324">
        <f t="shared" si="20"/>
        <v>0.42827317679350591</v>
      </c>
      <c r="AE60" s="324">
        <f t="shared" si="20"/>
        <v>0.42397877961445996</v>
      </c>
      <c r="AF60" s="324">
        <f t="shared" si="20"/>
        <v>0.42018448031629163</v>
      </c>
      <c r="AG60" s="324">
        <f t="shared" si="20"/>
        <v>0.41443333116022196</v>
      </c>
      <c r="AH60" s="324">
        <f t="shared" si="20"/>
        <v>0.40824868574905221</v>
      </c>
      <c r="AI60" s="324">
        <f t="shared" si="20"/>
        <v>0.40372771695365028</v>
      </c>
      <c r="AJ60" s="324">
        <f t="shared" si="20"/>
        <v>0.40027862239759521</v>
      </c>
      <c r="AK60" s="324"/>
      <c r="AL60" s="274" t="s">
        <v>0</v>
      </c>
    </row>
    <row r="61" spans="1:44" s="265" customFormat="1">
      <c r="A61" s="262" t="s">
        <v>107</v>
      </c>
      <c r="B61" s="358">
        <f>B54/B58</f>
        <v>6.5673474477902602E-2</v>
      </c>
      <c r="C61" s="358">
        <f t="shared" ref="C61:AJ61" si="21">C54/C58</f>
        <v>5.8641157454025122E-2</v>
      </c>
      <c r="D61" s="358">
        <f t="shared" si="21"/>
        <v>6.1995241446332228E-2</v>
      </c>
      <c r="E61" s="358">
        <f t="shared" si="21"/>
        <v>5.9300734327343639E-2</v>
      </c>
      <c r="F61" s="358">
        <f t="shared" si="21"/>
        <v>6.2227681052876939E-2</v>
      </c>
      <c r="G61" s="309">
        <f t="shared" si="21"/>
        <v>7.6879340434069354E-2</v>
      </c>
      <c r="H61" s="309">
        <f t="shared" si="21"/>
        <v>7.779420920638358E-2</v>
      </c>
      <c r="I61" s="309">
        <f t="shared" si="21"/>
        <v>0.1026863562667315</v>
      </c>
      <c r="J61" s="309">
        <f t="shared" si="21"/>
        <v>0.12045843532217444</v>
      </c>
      <c r="K61" s="309">
        <f t="shared" si="21"/>
        <v>0.12796498384425947</v>
      </c>
      <c r="L61" s="309">
        <f t="shared" si="21"/>
        <v>0.13048865884964111</v>
      </c>
      <c r="M61" s="309">
        <f t="shared" si="21"/>
        <v>0.13021164527933274</v>
      </c>
      <c r="N61" s="309">
        <f t="shared" si="21"/>
        <v>0.12937153287935929</v>
      </c>
      <c r="O61" s="309">
        <f t="shared" si="21"/>
        <v>0.1285135908838792</v>
      </c>
      <c r="P61" s="309">
        <f t="shared" si="21"/>
        <v>0.12791400188689439</v>
      </c>
      <c r="Q61" s="309">
        <f t="shared" si="21"/>
        <v>0.12764266267079022</v>
      </c>
      <c r="R61" s="309">
        <f t="shared" si="21"/>
        <v>0.1272325342207607</v>
      </c>
      <c r="S61" s="309">
        <f t="shared" si="21"/>
        <v>0.12686653223213362</v>
      </c>
      <c r="T61" s="309">
        <f t="shared" si="21"/>
        <v>0.12647455137563721</v>
      </c>
      <c r="U61" s="309">
        <f t="shared" si="21"/>
        <v>0.12700588528132145</v>
      </c>
      <c r="V61" s="309">
        <f t="shared" si="21"/>
        <v>0.12793497737649706</v>
      </c>
      <c r="W61" s="309">
        <f t="shared" si="21"/>
        <v>0.12904030121922391</v>
      </c>
      <c r="X61" s="309">
        <f t="shared" si="21"/>
        <v>0.1307086357943755</v>
      </c>
      <c r="Y61" s="309">
        <f t="shared" si="21"/>
        <v>0.1333600354526446</v>
      </c>
      <c r="Z61" s="309">
        <f t="shared" si="21"/>
        <v>0.13601932606865869</v>
      </c>
      <c r="AA61" s="309">
        <f t="shared" si="21"/>
        <v>0.1394465030631816</v>
      </c>
      <c r="AB61" s="309">
        <f t="shared" si="21"/>
        <v>0.14271218720074397</v>
      </c>
      <c r="AC61" s="309">
        <f t="shared" si="21"/>
        <v>0.14530443226306208</v>
      </c>
      <c r="AD61" s="309">
        <f t="shared" si="21"/>
        <v>0.1488731071410504</v>
      </c>
      <c r="AE61" s="309">
        <f t="shared" si="21"/>
        <v>0.15346184912976055</v>
      </c>
      <c r="AF61" s="309">
        <f t="shared" si="21"/>
        <v>0.15679328457015748</v>
      </c>
      <c r="AG61" s="309">
        <f t="shared" si="21"/>
        <v>0.15854997213346794</v>
      </c>
      <c r="AH61" s="309">
        <f t="shared" si="21"/>
        <v>0.16023439753509711</v>
      </c>
      <c r="AI61" s="309">
        <f t="shared" si="21"/>
        <v>0.16213414130035839</v>
      </c>
      <c r="AJ61" s="309">
        <f t="shared" si="21"/>
        <v>0.16433057527610687</v>
      </c>
      <c r="AK61" s="309"/>
    </row>
    <row r="62" spans="1:44" s="275" customFormat="1">
      <c r="A62" s="264" t="s">
        <v>108</v>
      </c>
      <c r="B62" s="368">
        <f>(B54-EIA_RE_aeo2014!B73)/B56</f>
        <v>5.0769687622733263E-4</v>
      </c>
      <c r="C62" s="368">
        <f>(C54-EIA_RE_aeo2014!C73)/C56</f>
        <v>3.6174023521938552E-4</v>
      </c>
      <c r="D62" s="368">
        <f>(D54-EIA_RE_aeo2014!D73)/D56</f>
        <v>9.5430231292745432E-4</v>
      </c>
      <c r="E62" s="368">
        <f>(E54-EIA_RE_aeo2014!E73)/E56</f>
        <v>1.8129694295844485E-3</v>
      </c>
      <c r="F62" s="368">
        <f>(F54-EIA_RE_aeo2014!F73)/F56</f>
        <v>2.8545605855876005E-3</v>
      </c>
      <c r="G62" s="325">
        <f>(G54-EIA_RE_aeo2014!G73)/G56</f>
        <v>1.0084850461032588E-2</v>
      </c>
      <c r="H62" s="325">
        <f>(H54-EIA_RE_aeo2014!H73)/H56</f>
        <v>2.3932878611843122E-2</v>
      </c>
      <c r="I62" s="325">
        <f>(I54-EIA_RE_aeo2014!I73)/I56</f>
        <v>3.4488205190701081E-2</v>
      </c>
      <c r="J62" s="325">
        <f>(J54-EIA_RE_aeo2014!J73)/J56</f>
        <v>5.16255676664652E-2</v>
      </c>
      <c r="K62" s="325">
        <f>(K54-EIA_RE_aeo2014!K73)/K56</f>
        <v>5.9569483348704717E-2</v>
      </c>
      <c r="L62" s="325">
        <f>(L54-EIA_RE_aeo2014!L73)/L56</f>
        <v>6.3252120516229984E-2</v>
      </c>
      <c r="M62" s="325">
        <f>(M54-EIA_RE_aeo2014!M73)/M56</f>
        <v>6.2872058212090853E-2</v>
      </c>
      <c r="N62" s="325">
        <f>(N54-EIA_RE_aeo2014!N73)/N56</f>
        <v>6.26434171867946E-2</v>
      </c>
      <c r="O62" s="325">
        <f>(O54-EIA_RE_aeo2014!O73)/O56</f>
        <v>6.2419959777552936E-2</v>
      </c>
      <c r="P62" s="325">
        <f>(P54-EIA_RE_aeo2014!P73)/P56</f>
        <v>6.2446024346962233E-2</v>
      </c>
      <c r="Q62" s="325">
        <f>(Q54-EIA_RE_aeo2014!Q73)/Q56</f>
        <v>6.2705351856089275E-2</v>
      </c>
      <c r="R62" s="325">
        <f>(R54-EIA_RE_aeo2014!R73)/R56</f>
        <v>6.2940223671174578E-2</v>
      </c>
      <c r="S62" s="325">
        <f>(S54-EIA_RE_aeo2014!S73)/S56</f>
        <v>6.3128916927766759E-2</v>
      </c>
      <c r="T62" s="325">
        <f>(T54-EIA_RE_aeo2014!T73)/T56</f>
        <v>6.3533555608746364E-2</v>
      </c>
      <c r="U62" s="325">
        <f>(U54-EIA_RE_aeo2014!U73)/U56</f>
        <v>6.4601414187941991E-2</v>
      </c>
      <c r="V62" s="325">
        <f>(V54-EIA_RE_aeo2014!V73)/V56</f>
        <v>6.5848319432750838E-2</v>
      </c>
      <c r="W62" s="325">
        <f>(W54-EIA_RE_aeo2014!W73)/W56</f>
        <v>6.7341126817702393E-2</v>
      </c>
      <c r="X62" s="325">
        <f>(X54-EIA_RE_aeo2014!X73)/X56</f>
        <v>6.9132136799160776E-2</v>
      </c>
      <c r="Y62" s="325">
        <f>(Y54-EIA_RE_aeo2014!Y73)/Y56</f>
        <v>7.1682299841427238E-2</v>
      </c>
      <c r="Z62" s="325">
        <f>(Z54-EIA_RE_aeo2014!Z73)/Z56</f>
        <v>7.4470927710590371E-2</v>
      </c>
      <c r="AA62" s="325">
        <f>(AA54-EIA_RE_aeo2014!AK73)/AA56</f>
        <v>0.1394465030631816</v>
      </c>
      <c r="AB62" s="325">
        <f>(AB54-EIA_RE_aeo2014!AL73)/AB56</f>
        <v>0.14271218720074397</v>
      </c>
      <c r="AC62" s="325">
        <f>(AC54-EIA_RE_aeo2014!AM73)/AC56</f>
        <v>0.14530443226306208</v>
      </c>
      <c r="AD62" s="325">
        <f>(AD54-EIA_RE_aeo2014!AN73)/AD56</f>
        <v>0.10236812960900432</v>
      </c>
      <c r="AE62" s="325">
        <f>(AE54-EIA_RE_aeo2014!AO73)/AE56</f>
        <v>0.10883849310567617</v>
      </c>
      <c r="AF62" s="325">
        <f>(AF54-EIA_RE_aeo2014!AP73)/AF56</f>
        <v>0.10800369646793591</v>
      </c>
      <c r="AG62" s="325">
        <f>(AG54-EIA_RE_aeo2014!AQ73)/AG56</f>
        <v>0.11601228277841215</v>
      </c>
      <c r="AH62" s="325">
        <f>(AH54-EIA_RE_aeo2014!AR73)/AH56</f>
        <v>0.11695302353949626</v>
      </c>
      <c r="AI62" s="325">
        <f>(AI54-EIA_RE_aeo2014!AS73)/AI56</f>
        <v>0.16213414130035839</v>
      </c>
      <c r="AJ62" s="325">
        <f>(AJ54-EIA_RE_aeo2014!AT73)/AJ56</f>
        <v>0.16433057527610687</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0.89902883031428837</v>
      </c>
      <c r="H64" s="481">
        <f t="shared" ref="H64:O64" si="22">H63/1000/H58</f>
        <v>1.4186470359316297</v>
      </c>
      <c r="I64" s="481">
        <f t="shared" si="22"/>
        <v>1.957444558148854</v>
      </c>
      <c r="J64" s="481">
        <f t="shared" si="22"/>
        <v>2.4724055257660669</v>
      </c>
      <c r="K64" s="481">
        <f t="shared" si="22"/>
        <v>2.9800895201454836</v>
      </c>
      <c r="L64" s="481">
        <f t="shared" si="22"/>
        <v>3.4366110764049336</v>
      </c>
      <c r="M64" s="481">
        <f t="shared" si="22"/>
        <v>3.9704367332675949</v>
      </c>
      <c r="N64" s="481">
        <f t="shared" si="22"/>
        <v>4.5007407096622805</v>
      </c>
      <c r="O64" s="481">
        <f t="shared" si="22"/>
        <v>5.0131738673291109</v>
      </c>
      <c r="P64" s="481">
        <f t="shared" ref="P64" si="23">P63/1000/P58</f>
        <v>5.5083786050886339</v>
      </c>
      <c r="Q64" s="481">
        <f t="shared" ref="Q64" si="24">Q63/1000/Q58</f>
        <v>6.0242569289535934</v>
      </c>
      <c r="R64" s="481">
        <f t="shared" ref="R64" si="25">R63/1000/R58</f>
        <v>6.5375754215175386</v>
      </c>
      <c r="S64" s="481">
        <f t="shared" ref="S64" si="26">S63/1000/S58</f>
        <v>7.032753419025922</v>
      </c>
      <c r="T64" s="481">
        <f t="shared" ref="T64" si="27">T63/1000/T58</f>
        <v>7.5263778199995865</v>
      </c>
      <c r="U64" s="481">
        <f t="shared" ref="U64" si="28">U63/1000/U58</f>
        <v>8.0334635927907367</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0.5779772439952674</v>
      </c>
      <c r="I65" s="481">
        <f t="shared" si="29"/>
        <v>0.37979674194532426</v>
      </c>
      <c r="J65" s="481">
        <f t="shared" si="29"/>
        <v>0.26307818807609501</v>
      </c>
      <c r="K65" s="481">
        <f t="shared" si="29"/>
        <v>0.20534009857550065</v>
      </c>
      <c r="L65" s="481">
        <f t="shared" si="29"/>
        <v>0.15319055121443576</v>
      </c>
      <c r="M65" s="481">
        <f t="shared" si="29"/>
        <v>0.1553349055200918</v>
      </c>
      <c r="N65" s="481">
        <f t="shared" si="29"/>
        <v>0.13356313474317857</v>
      </c>
      <c r="O65" s="481">
        <f t="shared" si="29"/>
        <v>0.11385529421117919</v>
      </c>
      <c r="P65" s="481">
        <f t="shared" si="29"/>
        <v>9.8780682829848726E-2</v>
      </c>
      <c r="Q65" s="481">
        <f t="shared" si="29"/>
        <v>9.3653388927985415E-2</v>
      </c>
      <c r="R65" s="481">
        <f t="shared" si="29"/>
        <v>8.5208598938874933E-2</v>
      </c>
      <c r="S65" s="481">
        <f t="shared" si="29"/>
        <v>7.5743370528250045E-2</v>
      </c>
      <c r="T65" s="481">
        <f t="shared" si="29"/>
        <v>7.0189351390914326E-2</v>
      </c>
      <c r="U65" s="481">
        <f t="shared" si="29"/>
        <v>6.7374477460284882E-2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0.23034640215649974</v>
      </c>
      <c r="C66" s="369">
        <f t="shared" ref="C66:AJ66" si="30">C52/C58</f>
        <v>0.23656084936491953</v>
      </c>
      <c r="D66" s="369">
        <f t="shared" si="30"/>
        <v>0.24504875841962401</v>
      </c>
      <c r="E66" s="369">
        <f t="shared" si="30"/>
        <v>0.27425024373227913</v>
      </c>
      <c r="F66" s="369">
        <f t="shared" si="30"/>
        <v>0.27971526420541143</v>
      </c>
      <c r="G66" s="326">
        <f t="shared" si="30"/>
        <v>0.25217905782954564</v>
      </c>
      <c r="H66" s="326">
        <f t="shared" si="30"/>
        <v>0.24762907123316236</v>
      </c>
      <c r="I66" s="326">
        <f t="shared" si="30"/>
        <v>0.24306018264155463</v>
      </c>
      <c r="J66" s="326">
        <f t="shared" si="30"/>
        <v>0.24027280023254269</v>
      </c>
      <c r="K66" s="326">
        <f t="shared" si="30"/>
        <v>0.24277803990734356</v>
      </c>
      <c r="L66" s="326">
        <f t="shared" si="30"/>
        <v>0.24448625527659598</v>
      </c>
      <c r="M66" s="326">
        <f t="shared" si="30"/>
        <v>0.25159146467542348</v>
      </c>
      <c r="N66" s="326">
        <f t="shared" si="30"/>
        <v>0.25666408707916505</v>
      </c>
      <c r="O66" s="326">
        <f t="shared" si="30"/>
        <v>0.25549664455891635</v>
      </c>
      <c r="P66" s="326">
        <f t="shared" si="30"/>
        <v>0.25307814217015678</v>
      </c>
      <c r="Q66" s="326">
        <f t="shared" si="30"/>
        <v>0.25102669486230411</v>
      </c>
      <c r="R66" s="326">
        <f t="shared" si="30"/>
        <v>0.24853350439306587</v>
      </c>
      <c r="S66" s="326">
        <f t="shared" si="30"/>
        <v>0.24503641980765656</v>
      </c>
      <c r="T66" s="326">
        <f t="shared" si="30"/>
        <v>0.24197394204091668</v>
      </c>
      <c r="U66" s="326">
        <f t="shared" si="30"/>
        <v>0.23991168097494617</v>
      </c>
      <c r="V66" s="326">
        <f t="shared" si="30"/>
        <v>0.23819237764160653</v>
      </c>
      <c r="W66" s="326">
        <f t="shared" si="30"/>
        <v>0.23641025529082593</v>
      </c>
      <c r="X66" s="326">
        <f t="shared" si="30"/>
        <v>0.23428407755756686</v>
      </c>
      <c r="Y66" s="326">
        <f t="shared" si="30"/>
        <v>0.23307118640140292</v>
      </c>
      <c r="Z66" s="326">
        <f t="shared" si="30"/>
        <v>0.23082842989421903</v>
      </c>
      <c r="AA66" s="326">
        <f t="shared" si="30"/>
        <v>0.22932399154417768</v>
      </c>
      <c r="AB66" s="326">
        <f t="shared" si="30"/>
        <v>0.22744737511525043</v>
      </c>
      <c r="AC66" s="326">
        <f t="shared" si="30"/>
        <v>0.22609555409104812</v>
      </c>
      <c r="AD66" s="326">
        <f t="shared" si="30"/>
        <v>0.22420173346644354</v>
      </c>
      <c r="AE66" s="326">
        <f t="shared" si="30"/>
        <v>0.22148844155883604</v>
      </c>
      <c r="AF66" s="326">
        <f t="shared" si="30"/>
        <v>0.21930025356583926</v>
      </c>
      <c r="AG66" s="326">
        <f t="shared" si="30"/>
        <v>0.21675381222802562</v>
      </c>
      <c r="AH66" s="326">
        <f t="shared" si="30"/>
        <v>0.21404890571680971</v>
      </c>
      <c r="AI66" s="326">
        <f t="shared" si="30"/>
        <v>0.21179902922220509</v>
      </c>
      <c r="AJ66" s="326">
        <f t="shared" si="30"/>
        <v>0.2098946657979332</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7" t="s">
        <v>631</v>
      </c>
      <c r="B109" s="567"/>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row>
    <row r="110" spans="1:38">
      <c r="A110" s="566" t="s">
        <v>632</v>
      </c>
      <c r="B110" s="566"/>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row>
    <row r="111" spans="1:38">
      <c r="A111" s="566" t="s">
        <v>633</v>
      </c>
      <c r="B111" s="566"/>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row>
    <row r="112" spans="1:38">
      <c r="A112" s="566" t="s">
        <v>634</v>
      </c>
      <c r="B112" s="566"/>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row>
    <row r="113" spans="1:32">
      <c r="A113" s="566" t="s">
        <v>635</v>
      </c>
      <c r="B113" s="566"/>
      <c r="C113" s="566"/>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row>
    <row r="114" spans="1:32">
      <c r="A114" s="566" t="s">
        <v>636</v>
      </c>
      <c r="B114" s="566"/>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row>
    <row r="115" spans="1:32">
      <c r="A115" s="566" t="s">
        <v>637</v>
      </c>
      <c r="B115" s="566"/>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row>
    <row r="116" spans="1:32">
      <c r="A116" s="566" t="s">
        <v>638</v>
      </c>
      <c r="B116" s="566"/>
      <c r="C116" s="566"/>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row>
    <row r="117" spans="1:32">
      <c r="A117" s="566" t="s">
        <v>639</v>
      </c>
      <c r="B117" s="566"/>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row>
    <row r="118" spans="1:32">
      <c r="A118" s="566" t="s">
        <v>640</v>
      </c>
      <c r="B118" s="566"/>
      <c r="C118" s="566"/>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row>
    <row r="119" spans="1:32">
      <c r="A119" s="566" t="s">
        <v>641</v>
      </c>
      <c r="B119" s="566"/>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row>
    <row r="120" spans="1:32">
      <c r="A120" s="566" t="s">
        <v>642</v>
      </c>
      <c r="B120" s="566"/>
      <c r="C120" s="566"/>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row>
    <row r="121" spans="1:32">
      <c r="A121" s="566" t="s">
        <v>643</v>
      </c>
      <c r="B121" s="566"/>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row>
    <row r="122" spans="1:32">
      <c r="A122" s="566" t="s">
        <v>644</v>
      </c>
      <c r="B122" s="566"/>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row>
    <row r="123" spans="1:32">
      <c r="A123" s="566" t="s">
        <v>645</v>
      </c>
      <c r="B123" s="566"/>
      <c r="C123" s="566"/>
      <c r="D123" s="566"/>
      <c r="E123" s="566"/>
      <c r="F123" s="566"/>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row>
    <row r="124" spans="1:32">
      <c r="A124" s="566" t="s">
        <v>646</v>
      </c>
      <c r="B124" s="566"/>
      <c r="C124" s="566"/>
      <c r="D124" s="566"/>
      <c r="E124" s="566"/>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row>
    <row r="125" spans="1:32">
      <c r="A125" s="566" t="s">
        <v>639</v>
      </c>
      <c r="B125" s="566"/>
      <c r="C125" s="566"/>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row>
    <row r="126" spans="1:32">
      <c r="A126" s="566" t="s">
        <v>647</v>
      </c>
      <c r="B126" s="566"/>
      <c r="C126" s="566"/>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row>
    <row r="127" spans="1:32">
      <c r="A127" s="566" t="s">
        <v>648</v>
      </c>
      <c r="B127" s="566"/>
      <c r="C127" s="566"/>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row>
    <row r="128" spans="1:32">
      <c r="A128" s="566" t="s">
        <v>649</v>
      </c>
      <c r="B128" s="566"/>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row>
    <row r="129" spans="1:32">
      <c r="A129" s="566" t="s">
        <v>619</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row>
    <row r="130" spans="1:32">
      <c r="A130" s="566" t="s">
        <v>620</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row>
    <row r="131" spans="1:32">
      <c r="A131" s="566" t="s">
        <v>621</v>
      </c>
      <c r="B131" s="566"/>
      <c r="C131" s="566"/>
      <c r="D131" s="566"/>
      <c r="E131" s="566"/>
      <c r="F131" s="566"/>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row>
    <row r="132" spans="1:32">
      <c r="A132" s="566" t="s">
        <v>650</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row>
    <row r="133" spans="1:32">
      <c r="A133" s="566" t="s">
        <v>651</v>
      </c>
      <c r="B133" s="566"/>
      <c r="C133" s="566"/>
      <c r="D133" s="566"/>
      <c r="E133" s="566"/>
      <c r="F133" s="566"/>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row>
    <row r="134" spans="1:32">
      <c r="A134" s="566" t="s">
        <v>652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row>
    <row r="135" spans="1:32">
      <c r="A135" s="566" t="s">
        <v>653</v>
      </c>
      <c r="B135" s="566"/>
      <c r="C135" s="566"/>
      <c r="D135" s="566"/>
      <c r="E135" s="566"/>
      <c r="F135" s="566"/>
      <c r="G135" s="566"/>
      <c r="H135" s="566"/>
      <c r="I135" s="566"/>
      <c r="J135" s="566"/>
      <c r="K135" s="566"/>
      <c r="L135" s="566"/>
      <c r="M135" s="566"/>
      <c r="N135" s="566"/>
      <c r="O135" s="566"/>
      <c r="P135" s="566"/>
      <c r="Q135" s="566"/>
      <c r="R135" s="566"/>
      <c r="S135" s="566"/>
      <c r="T135" s="566"/>
      <c r="U135" s="566"/>
      <c r="V135" s="566"/>
      <c r="W135" s="566"/>
      <c r="X135" s="566"/>
      <c r="Y135" s="566"/>
      <c r="Z135" s="566"/>
      <c r="AA135" s="566"/>
      <c r="AB135" s="566"/>
      <c r="AC135" s="566"/>
      <c r="AD135" s="566"/>
      <c r="AE135" s="566"/>
      <c r="AF135" s="566"/>
    </row>
    <row r="136" spans="1:32">
      <c r="A136" s="566" t="s">
        <v>654</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row>
    <row r="137" spans="1:32">
      <c r="A137" s="566" t="s">
        <v>655</v>
      </c>
      <c r="B137" s="566"/>
      <c r="C137" s="566"/>
      <c r="D137" s="566"/>
      <c r="E137" s="566"/>
      <c r="F137" s="566"/>
      <c r="G137" s="566"/>
      <c r="H137" s="566"/>
      <c r="I137" s="566"/>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7" zoomScale="125" zoomScaleNormal="125" zoomScalePageLayoutView="125" workbookViewId="0">
      <selection activeCell="H78" sqref="H78"/>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661</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f>C57*EIA_electricity_aeo2014!C58</f>
        <v>8.49105E-2</v>
      </c>
      <c r="D54">
        <f>D57*EIA_electricity_aeo2014!D58</f>
        <v>0.20888700000000002</v>
      </c>
      <c r="E54">
        <f>E57*EIA_electricity_aeo2014!E58</f>
        <v>0.33540899999999996</v>
      </c>
      <c r="F54">
        <f>F57*EIA_electricity_aeo2014!F58</f>
        <v>0.55771000000000004</v>
      </c>
      <c r="G54">
        <f>G57*EIA_electricity_aeo2014!G58</f>
        <v>0.85596569826462643</v>
      </c>
      <c r="H54">
        <f>H57*EIA_electricity_aeo2014!H58</f>
        <v>1.209102848298389</v>
      </c>
      <c r="I54">
        <f>I57*EIA_electricity_aeo2014!I58</f>
        <v>1.3853246527852814</v>
      </c>
      <c r="J54">
        <f>J57*EIA_electricity_aeo2014!J58</f>
        <v>1.581249071365288</v>
      </c>
      <c r="K54">
        <f>K57*EIA_electricity_aeo2014!K58</f>
        <v>1.8048246705647379</v>
      </c>
      <c r="L54">
        <f>L57*EIA_electricity_aeo2014!L58</f>
        <v>2.2417730218734331</v>
      </c>
      <c r="M54">
        <f>M57*EIA_electricity_aeo2014!M58</f>
        <v>2.6419494261577565</v>
      </c>
      <c r="N54">
        <f>N57*EIA_electricity_aeo2014!N58</f>
        <v>3.0470376231927041</v>
      </c>
      <c r="O54">
        <f>O57*EIA_electricity_aeo2014!O58</f>
        <v>3.4608254950015294</v>
      </c>
      <c r="P54">
        <f>P57*EIA_electricity_aeo2014!P58</f>
        <v>3.882109366292537</v>
      </c>
      <c r="Q54">
        <f>Q57*EIA_electricity_aeo2014!Q58</f>
        <v>4.3052183327663975</v>
      </c>
      <c r="R54">
        <f>R57*EIA_electricity_aeo2014!R58</f>
        <v>4.7437162421589676</v>
      </c>
      <c r="S54">
        <f>S57*EIA_electricity_aeo2014!S58</f>
        <v>5.2123685734636869</v>
      </c>
      <c r="T54">
        <f>T57*EIA_electricity_aeo2014!T58</f>
        <v>5.6843633266476612</v>
      </c>
      <c r="U54">
        <f>U57*EIA_electricity_aeo2014!U58</f>
        <v>6.1427541926666276</v>
      </c>
      <c r="V54">
        <f>V57*EIA_electricity_aeo2014!V58</f>
        <v>6.2419566393464567</v>
      </c>
      <c r="W54">
        <f>W57*EIA_electricity_aeo2014!W58</f>
        <v>6.6379404815816683</v>
      </c>
      <c r="X54">
        <f>X57*EIA_electricity_aeo2014!X58</f>
        <v>7.0502782104342696</v>
      </c>
      <c r="Y54">
        <f>Y57*EIA_electricity_aeo2014!Y58</f>
        <v>7.4408969464354744</v>
      </c>
      <c r="Z54">
        <f>Z57*EIA_electricity_aeo2014!Z58</f>
        <v>7.8705615867504441</v>
      </c>
      <c r="AA54">
        <f>AA57*EIA_electricity_aeo2014!AA58</f>
        <v>8.2819075486450302</v>
      </c>
      <c r="AB54">
        <f>AB57*EIA_electricity_aeo2014!AB58</f>
        <v>8.7129202321458425</v>
      </c>
      <c r="AC54">
        <f>AC57*EIA_electricity_aeo2014!AC58</f>
        <v>9.1298633691318258</v>
      </c>
      <c r="AD54">
        <f>AD57*EIA_electricity_aeo2014!AD58</f>
        <v>9.5749137754805194</v>
      </c>
      <c r="AE54">
        <f>AE57*EIA_electricity_aeo2014!AE58</f>
        <v>10.06464721574306</v>
      </c>
      <c r="AF54">
        <f>AF57*EIA_electricity_aeo2014!AF58</f>
        <v>10.541226987394863</v>
      </c>
      <c r="AG54">
        <f>AG57*EIA_electricity_aeo2014!AG58</f>
        <v>11.045639526230916</v>
      </c>
      <c r="AH54">
        <f>AH57*EIA_electricity_aeo2014!AH58</f>
        <v>11.570604353661819</v>
      </c>
      <c r="AI54">
        <f>AI57*EIA_electricity_aeo2014!AI58</f>
        <v>12.082991558797183</v>
      </c>
      <c r="AJ54">
        <f>AJ57*EIA_electricity_aeo2014!AJ58</f>
        <v>12.585630013085972</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758</v>
      </c>
      <c r="B57"/>
      <c r="C57" s="525">
        <v>7.5000000000000002E-4</v>
      </c>
      <c r="D57" s="526">
        <v>1.75E-3</v>
      </c>
      <c r="E57" s="526">
        <v>3.0000000000000001E-3</v>
      </c>
      <c r="F57" s="526">
        <v>5.0000000000000001E-3</v>
      </c>
      <c r="G57" s="526">
        <v>7.4999999999999997E-3</v>
      </c>
      <c r="H57" s="526">
        <v>1.0500000000000001E-2</v>
      </c>
      <c r="I57" s="526">
        <v>1.2E-2</v>
      </c>
      <c r="J57" s="526">
        <v>1.35E-2</v>
      </c>
      <c r="K57" s="526">
        <v>1.4999999999999999E-2</v>
      </c>
      <c r="L57" s="526">
        <v>1.7999999999999999E-2</v>
      </c>
      <c r="M57" s="526">
        <v>2.1000000000000001E-2</v>
      </c>
      <c r="N57" s="526">
        <v>2.4E-2</v>
      </c>
      <c r="O57" s="526">
        <v>2.7E-2</v>
      </c>
      <c r="P57" s="526">
        <v>0.03</v>
      </c>
      <c r="Q57" s="526">
        <v>3.3000000000000002E-2</v>
      </c>
      <c r="R57" s="526">
        <v>3.5999999999999997E-2</v>
      </c>
      <c r="S57" s="526">
        <v>3.9E-2</v>
      </c>
      <c r="T57" s="527">
        <v>4.2000000000000003E-2</v>
      </c>
      <c r="U57" s="525">
        <v>4.4999999999999998E-2</v>
      </c>
      <c r="V57" s="528">
        <v>4.5399122807017633E-2</v>
      </c>
      <c r="W57" s="528">
        <v>4.7917982456140429E-2</v>
      </c>
      <c r="X57" s="528">
        <v>5.0436842105263224E-2</v>
      </c>
      <c r="Y57" s="528">
        <v>5.295570175438602E-2</v>
      </c>
      <c r="Z57" s="528">
        <v>5.5474561403508815E-2</v>
      </c>
      <c r="AA57" s="528">
        <v>5.7993421052631611E-2</v>
      </c>
      <c r="AB57" s="528">
        <v>6.0512280701754406E-2</v>
      </c>
      <c r="AC57" s="528">
        <v>6.3031140350877202E-2</v>
      </c>
      <c r="AD57" s="528">
        <v>6.5549999999999997E-2</v>
      </c>
      <c r="AE57" s="528">
        <v>6.8068859649122793E-2</v>
      </c>
      <c r="AF57" s="528">
        <v>7.0587719298245588E-2</v>
      </c>
      <c r="AG57" s="528">
        <v>7.3106578947368384E-2</v>
      </c>
      <c r="AH57" s="528">
        <v>7.5625438596491179E-2</v>
      </c>
      <c r="AI57" s="528">
        <v>7.8144298245613975E-2</v>
      </c>
      <c r="AJ57" s="528">
        <v>8.066315789473677E-2</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747</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750</v>
      </c>
    </row>
    <row r="60" spans="1:39">
      <c r="A60" s="501" t="s">
        <v>733</v>
      </c>
      <c r="G60" s="499">
        <v>44.842190000000002</v>
      </c>
      <c r="H60" s="499">
        <v>36.483971000000004</v>
      </c>
      <c r="I60" s="499">
        <v>46.312049000000002</v>
      </c>
      <c r="J60" s="499">
        <v>47.425668000000002</v>
      </c>
      <c r="K60" s="499">
        <v>48.408583</v>
      </c>
      <c r="L60" s="499">
        <v>49.257862000000003</v>
      </c>
      <c r="M60" s="499">
        <v>49.834113000000002</v>
      </c>
      <c r="N60" s="499">
        <v>49.834088000000008</v>
      </c>
      <c r="O60" s="499">
        <v>49.834101000000004</v>
      </c>
      <c r="P60" s="499">
        <v>49.834088000000008</v>
      </c>
      <c r="Q60" s="499">
        <v>49.834100000000007</v>
      </c>
      <c r="R60" s="499">
        <v>49.834065000000002</v>
      </c>
      <c r="S60" s="499">
        <v>50.109192</v>
      </c>
      <c r="T60" s="499">
        <v>50.109172000000001</v>
      </c>
      <c r="U60" s="499">
        <v>50.109192999999998</v>
      </c>
      <c r="V60" s="499">
        <v>50.213749</v>
      </c>
      <c r="W60" s="499">
        <v>50.276525999999997</v>
      </c>
      <c r="X60" s="499">
        <v>50.631925000000003</v>
      </c>
      <c r="Y60" s="499">
        <v>50.979087999999997</v>
      </c>
      <c r="Z60" s="499">
        <v>51.366464999999991</v>
      </c>
      <c r="AA60" s="499">
        <v>51.366472000000002</v>
      </c>
      <c r="AB60" s="499">
        <v>51.591163000000002</v>
      </c>
      <c r="AC60" s="499">
        <v>51.591174000000002</v>
      </c>
      <c r="AD60" s="499">
        <v>51.591174000000002</v>
      </c>
      <c r="AE60" s="499">
        <v>51.804420999999998</v>
      </c>
      <c r="AF60" s="499">
        <v>51.952124000000005</v>
      </c>
      <c r="AG60" s="499">
        <v>51.952144000000004</v>
      </c>
      <c r="AH60" s="499">
        <v>52.086152999999996</v>
      </c>
      <c r="AI60" s="499">
        <v>52.086151999999998</v>
      </c>
      <c r="AJ60" s="499">
        <v>52.086157000000007</v>
      </c>
      <c r="AK60" s="503">
        <v>4.0000000000000001E-3</v>
      </c>
      <c r="AL60" s="508" t="s">
        <v>727</v>
      </c>
      <c r="AM60" s="29">
        <v>9.9999999999999995E-7</v>
      </c>
    </row>
    <row r="61" spans="1:39">
      <c r="A61" s="501" t="s">
        <v>734</v>
      </c>
      <c r="G61" s="499">
        <v>4.0118830000000001</v>
      </c>
      <c r="H61" s="499">
        <v>3.7581989999999998</v>
      </c>
      <c r="I61" s="499">
        <v>4.1090540000000004</v>
      </c>
      <c r="J61" s="499">
        <v>4.10907</v>
      </c>
      <c r="K61" s="499">
        <v>4.1077979999999998</v>
      </c>
      <c r="L61" s="499">
        <v>4.100117</v>
      </c>
      <c r="M61" s="499">
        <v>4.5077809999999996</v>
      </c>
      <c r="N61" s="499">
        <v>4.9009479999999996</v>
      </c>
      <c r="O61" s="499">
        <v>4.9156639999999996</v>
      </c>
      <c r="P61" s="499">
        <v>4.9143330000000001</v>
      </c>
      <c r="Q61" s="499">
        <v>4.9132239999999996</v>
      </c>
      <c r="R61" s="499">
        <v>4.9197499999999996</v>
      </c>
      <c r="S61" s="499">
        <v>4.9287999999999998</v>
      </c>
      <c r="T61" s="499">
        <v>4.9247540000000001</v>
      </c>
      <c r="U61" s="499">
        <v>4.9286719999999997</v>
      </c>
      <c r="V61" s="499">
        <v>4.927543</v>
      </c>
      <c r="W61" s="499">
        <v>5.3101979999999998</v>
      </c>
      <c r="X61" s="499">
        <v>5.5501300000000002</v>
      </c>
      <c r="Y61" s="499">
        <v>5.5720200000000002</v>
      </c>
      <c r="Z61" s="499">
        <v>5.8294079999999999</v>
      </c>
      <c r="AA61" s="499">
        <v>6.0471729999999999</v>
      </c>
      <c r="AB61" s="499">
        <v>6.0445359999999999</v>
      </c>
      <c r="AC61" s="499">
        <v>6.0421290000000001</v>
      </c>
      <c r="AD61" s="499">
        <v>6.0397999999999996</v>
      </c>
      <c r="AE61" s="499">
        <v>6.0375639999999997</v>
      </c>
      <c r="AF61" s="499">
        <v>6.0354029999999996</v>
      </c>
      <c r="AG61" s="499">
        <v>6.0333230000000002</v>
      </c>
      <c r="AH61" s="499">
        <v>6.0313509999999999</v>
      </c>
      <c r="AI61" s="499">
        <v>6.0293979999999996</v>
      </c>
      <c r="AJ61" s="499">
        <v>6.0275829999999999</v>
      </c>
      <c r="AK61" s="499" t="s">
        <v>41</v>
      </c>
      <c r="AL61" s="508" t="s">
        <v>728</v>
      </c>
      <c r="AM61" s="29">
        <v>0.17</v>
      </c>
    </row>
    <row r="62" spans="1:39">
      <c r="A62" s="501" t="s">
        <v>735</v>
      </c>
      <c r="G62" s="499">
        <v>1.339353</v>
      </c>
      <c r="H62" s="499">
        <v>1.3868399999999999</v>
      </c>
      <c r="I62" s="499">
        <v>1.1280109999999999</v>
      </c>
      <c r="J62" s="499">
        <v>1.213775</v>
      </c>
      <c r="K62" s="499">
        <v>1.1110189999999998</v>
      </c>
      <c r="L62" s="499">
        <v>1.299696</v>
      </c>
      <c r="M62" s="499">
        <v>1.308611</v>
      </c>
      <c r="N62" s="499">
        <v>1.308832</v>
      </c>
      <c r="O62" s="499">
        <v>1.300244</v>
      </c>
      <c r="P62" s="499">
        <v>1.2998630000000002</v>
      </c>
      <c r="Q62" s="499">
        <v>1.2996369999999999</v>
      </c>
      <c r="R62" s="499">
        <v>1.3080210000000001</v>
      </c>
      <c r="S62" s="499">
        <v>1.2992279999999998</v>
      </c>
      <c r="T62" s="499">
        <v>1.299032</v>
      </c>
      <c r="U62" s="499">
        <v>1.3074349999999999</v>
      </c>
      <c r="V62" s="499">
        <v>1.284637</v>
      </c>
      <c r="W62" s="499">
        <v>1.298103</v>
      </c>
      <c r="X62" s="499">
        <v>1.297704</v>
      </c>
      <c r="Y62" s="499">
        <v>1.2972440000000001</v>
      </c>
      <c r="Z62" s="499">
        <v>1.296748</v>
      </c>
      <c r="AA62" s="499">
        <v>1.296254</v>
      </c>
      <c r="AB62" s="499">
        <v>1.304459</v>
      </c>
      <c r="AC62" s="499">
        <v>1.3161710000000002</v>
      </c>
      <c r="AD62" s="499">
        <v>1.3335859999999999</v>
      </c>
      <c r="AE62" s="499">
        <v>1.333243</v>
      </c>
      <c r="AF62" s="499">
        <v>1.3329070000000001</v>
      </c>
      <c r="AG62" s="499">
        <v>1.3581589999999999</v>
      </c>
      <c r="AH62" s="499">
        <v>1.3578999999999999</v>
      </c>
      <c r="AI62" s="499">
        <v>1.3576220000000001</v>
      </c>
      <c r="AJ62" s="499">
        <v>1.3573469999999999</v>
      </c>
      <c r="AK62" s="503">
        <v>4.0000000000000001E-3</v>
      </c>
      <c r="AL62" s="508" t="s">
        <v>729</v>
      </c>
      <c r="AM62" s="29">
        <v>0.87121212121212122</v>
      </c>
    </row>
    <row r="63" spans="1:39">
      <c r="A63" s="501" t="s">
        <v>736</v>
      </c>
      <c r="G63" s="499">
        <v>14.945162</v>
      </c>
      <c r="H63" s="499">
        <v>14.431946</v>
      </c>
      <c r="I63" s="499">
        <v>15.985713000000001</v>
      </c>
      <c r="J63" s="499">
        <v>16.447120999999999</v>
      </c>
      <c r="K63" s="499">
        <v>17.050978000000001</v>
      </c>
      <c r="L63" s="499">
        <v>18.040935000000001</v>
      </c>
      <c r="M63" s="499">
        <v>19.565261</v>
      </c>
      <c r="N63" s="499">
        <v>20.441119</v>
      </c>
      <c r="O63" s="499">
        <v>21.262525000000004</v>
      </c>
      <c r="P63" s="499">
        <v>22.308201</v>
      </c>
      <c r="Q63" s="499">
        <v>23.922165</v>
      </c>
      <c r="R63" s="499">
        <v>25.017121999999997</v>
      </c>
      <c r="S63" s="499">
        <v>28.156784999999999</v>
      </c>
      <c r="T63" s="499">
        <v>29.380445999999999</v>
      </c>
      <c r="U63" s="499">
        <v>33.175676000000003</v>
      </c>
      <c r="V63" s="499">
        <v>34.292058000000004</v>
      </c>
      <c r="W63" s="499">
        <v>35.052129999999998</v>
      </c>
      <c r="X63" s="499">
        <v>35.761009999999999</v>
      </c>
      <c r="Y63" s="499">
        <v>40.052028999999997</v>
      </c>
      <c r="Z63" s="499">
        <v>40.702837000000002</v>
      </c>
      <c r="AA63" s="499">
        <v>41.248019000000006</v>
      </c>
      <c r="AB63" s="499">
        <v>41.657182000000006</v>
      </c>
      <c r="AC63" s="499">
        <v>42.205671000000002</v>
      </c>
      <c r="AD63" s="499">
        <v>42.836480000000002</v>
      </c>
      <c r="AE63" s="499">
        <v>43.374407999999995</v>
      </c>
      <c r="AF63" s="499">
        <v>44.123406000000003</v>
      </c>
      <c r="AG63" s="499">
        <v>44.932203999999999</v>
      </c>
      <c r="AH63" s="499">
        <v>45.863558999999995</v>
      </c>
      <c r="AI63" s="499">
        <v>46.833663999999999</v>
      </c>
      <c r="AJ63" s="499">
        <v>47.706866999999995</v>
      </c>
      <c r="AK63" s="503">
        <v>1.7999999999999999E-2</v>
      </c>
      <c r="AL63" s="508" t="s">
        <v>143</v>
      </c>
      <c r="AM63" s="29">
        <v>3.0000000000000001E-3</v>
      </c>
    </row>
    <row r="64" spans="1:39">
      <c r="A64" s="501" t="s">
        <v>737</v>
      </c>
      <c r="G64" s="499">
        <v>1.0267039999999998</v>
      </c>
      <c r="H64" s="499">
        <v>2.8537889999999999</v>
      </c>
      <c r="I64" s="499">
        <v>4.2529700000000004</v>
      </c>
      <c r="J64" s="499">
        <v>6.6156470000000001</v>
      </c>
      <c r="K64" s="499">
        <v>7.8609019999999994</v>
      </c>
      <c r="L64" s="499">
        <v>8.632753000000001</v>
      </c>
      <c r="M64" s="499">
        <v>8.6597589999999993</v>
      </c>
      <c r="N64" s="499">
        <v>8.7042290000000015</v>
      </c>
      <c r="O64" s="499">
        <v>8.7542929999999988</v>
      </c>
      <c r="P64" s="499">
        <v>8.8394560000000002</v>
      </c>
      <c r="Q64" s="499">
        <v>8.9440819999999999</v>
      </c>
      <c r="R64" s="499">
        <v>9.0665030000000009</v>
      </c>
      <c r="S64" s="499">
        <v>9.2123340000000002</v>
      </c>
      <c r="T64" s="499">
        <v>9.3902070000000002</v>
      </c>
      <c r="U64" s="499">
        <v>9.6184659999999997</v>
      </c>
      <c r="V64" s="499">
        <v>9.8824939999999994</v>
      </c>
      <c r="W64" s="499">
        <v>10.192751000000001</v>
      </c>
      <c r="X64" s="499">
        <v>10.572926000000001</v>
      </c>
      <c r="Y64" s="499">
        <v>11.015145</v>
      </c>
      <c r="Z64" s="499">
        <v>11.577275</v>
      </c>
      <c r="AA64" s="499">
        <v>12.280673999999999</v>
      </c>
      <c r="AB64" s="499">
        <v>12.961821</v>
      </c>
      <c r="AC64" s="499">
        <v>13.529388999999998</v>
      </c>
      <c r="AD64" s="499">
        <v>14.326228</v>
      </c>
      <c r="AE64" s="499">
        <v>15.365499</v>
      </c>
      <c r="AF64" s="499">
        <v>16.162962</v>
      </c>
      <c r="AG64" s="499">
        <v>16.775990999999998</v>
      </c>
      <c r="AH64" s="499">
        <v>17.386566999999999</v>
      </c>
      <c r="AI64" s="499">
        <v>18.015301000000001</v>
      </c>
      <c r="AJ64" s="499">
        <v>18.662105999999998</v>
      </c>
      <c r="AK64" s="503">
        <v>7.0000000000000007E-2</v>
      </c>
      <c r="AL64" s="508" t="s">
        <v>730</v>
      </c>
      <c r="AM64" s="29">
        <v>5.3961776660087658E-3</v>
      </c>
    </row>
    <row r="65" spans="1:44">
      <c r="A65" s="501" t="s">
        <v>738</v>
      </c>
      <c r="G65" s="499">
        <v>38.983921000000002</v>
      </c>
      <c r="H65" s="499">
        <v>43.605923000000004</v>
      </c>
      <c r="I65" s="499">
        <v>46.780897999999993</v>
      </c>
      <c r="J65" s="499">
        <v>47.040753000000002</v>
      </c>
      <c r="K65" s="499">
        <v>59.372954</v>
      </c>
      <c r="L65" s="499">
        <v>67.38064</v>
      </c>
      <c r="M65" s="499">
        <v>67.380969999999991</v>
      </c>
      <c r="N65" s="499">
        <v>67.37115399999999</v>
      </c>
      <c r="O65" s="499">
        <v>67.38362699999999</v>
      </c>
      <c r="P65" s="499">
        <v>67.38749</v>
      </c>
      <c r="Q65" s="499">
        <v>67.393857999999994</v>
      </c>
      <c r="R65" s="499">
        <v>67.421112999999991</v>
      </c>
      <c r="S65" s="499">
        <v>67.413719</v>
      </c>
      <c r="T65" s="499">
        <v>67.409741999999994</v>
      </c>
      <c r="U65" s="499">
        <v>67.406160999999997</v>
      </c>
      <c r="V65" s="499">
        <v>67.415046000000004</v>
      </c>
      <c r="W65" s="499">
        <v>67.43121099999999</v>
      </c>
      <c r="X65" s="499">
        <v>67.428821999999997</v>
      </c>
      <c r="Y65" s="499">
        <v>67.500607000000002</v>
      </c>
      <c r="Z65" s="499">
        <v>67.593868000000001</v>
      </c>
      <c r="AA65" s="499">
        <v>67.692881</v>
      </c>
      <c r="AB65" s="499">
        <v>67.802678</v>
      </c>
      <c r="AC65" s="499">
        <v>67.932296000000008</v>
      </c>
      <c r="AD65" s="499">
        <v>68.157133000000002</v>
      </c>
      <c r="AE65" s="499">
        <v>68.263564000000002</v>
      </c>
      <c r="AF65" s="499">
        <v>68.268462999999997</v>
      </c>
      <c r="AG65" s="499">
        <v>68.581467000000004</v>
      </c>
      <c r="AH65" s="499">
        <v>68.813840999999996</v>
      </c>
      <c r="AI65" s="499">
        <v>69.208895999999996</v>
      </c>
      <c r="AJ65" s="499">
        <v>69.860670999999996</v>
      </c>
      <c r="AK65" s="503">
        <v>7.2999999999999995E-2</v>
      </c>
      <c r="AL65" s="508" t="s">
        <v>731</v>
      </c>
      <c r="AM65" s="29">
        <v>4.3970470511031964E-2</v>
      </c>
    </row>
    <row r="66" spans="1:44">
      <c r="A66" s="502" t="s">
        <v>739</v>
      </c>
      <c r="G66" s="500">
        <v>105.14921200000001</v>
      </c>
      <c r="H66" s="500">
        <v>102.52066500000001</v>
      </c>
      <c r="I66" s="500">
        <v>118.56869200000001</v>
      </c>
      <c r="J66" s="500">
        <v>122.85203200000001</v>
      </c>
      <c r="K66" s="500">
        <v>137.912237</v>
      </c>
      <c r="L66" s="500">
        <v>148.712006</v>
      </c>
      <c r="M66" s="500">
        <v>151.256494</v>
      </c>
      <c r="N66" s="500">
        <v>152.560371</v>
      </c>
      <c r="O66" s="500">
        <v>153.450457</v>
      </c>
      <c r="P66" s="500">
        <v>154.583426</v>
      </c>
      <c r="Q66" s="500">
        <v>156.307063</v>
      </c>
      <c r="R66" s="500">
        <v>157.56657100000001</v>
      </c>
      <c r="S66" s="500">
        <v>161.12006099999996</v>
      </c>
      <c r="T66" s="500">
        <v>162.51335699999998</v>
      </c>
      <c r="U66" s="500">
        <v>166.54560699999999</v>
      </c>
      <c r="V66" s="500">
        <v>168.015525</v>
      </c>
      <c r="W66" s="500">
        <v>169.56092100000001</v>
      </c>
      <c r="X66" s="500">
        <v>171.242514</v>
      </c>
      <c r="Y66" s="500">
        <v>176.41612999999995</v>
      </c>
      <c r="Z66" s="500">
        <v>178.366603</v>
      </c>
      <c r="AA66" s="500">
        <v>179.93147900000002</v>
      </c>
      <c r="AB66" s="500">
        <v>181.361839</v>
      </c>
      <c r="AC66" s="500">
        <v>182.616829</v>
      </c>
      <c r="AD66" s="500">
        <v>184.28439900000001</v>
      </c>
      <c r="AE66" s="500">
        <v>186.17869400000001</v>
      </c>
      <c r="AF66" s="500">
        <v>187.87526300000002</v>
      </c>
      <c r="AG66" s="500">
        <v>189.63328299999998</v>
      </c>
      <c r="AH66" s="500">
        <v>191.53937300000001</v>
      </c>
      <c r="AI66" s="500">
        <v>193.53103399999998</v>
      </c>
      <c r="AJ66" s="500">
        <v>195.70073199999999</v>
      </c>
      <c r="AK66" s="504">
        <v>2.1999999999999999E-2</v>
      </c>
      <c r="AL66" s="508" t="s">
        <v>732</v>
      </c>
      <c r="AM66" s="29">
        <v>1.2313547969249994E-2</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0.10079682256808697</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6.7930000000000001</v>
      </c>
      <c r="C73" s="491">
        <f t="shared" ref="C73:F73" si="0">AO73</f>
        <v>6.5979999999999999</v>
      </c>
      <c r="D73" s="491">
        <f t="shared" si="0"/>
        <v>7.2859999999999996</v>
      </c>
      <c r="E73" s="491">
        <f t="shared" si="0"/>
        <v>6.4269999999999996</v>
      </c>
      <c r="F73" s="491">
        <f t="shared" si="0"/>
        <v>6.6219999999999999</v>
      </c>
      <c r="G73" s="484">
        <f t="shared" ref="G73:AJ73" si="1">G60*$AM61</f>
        <v>7.6231723000000011</v>
      </c>
      <c r="H73" s="484">
        <f t="shared" si="1"/>
        <v>6.2022750700000016</v>
      </c>
      <c r="I73" s="484">
        <f t="shared" si="1"/>
        <v>7.8730483300000005</v>
      </c>
      <c r="J73" s="484">
        <f t="shared" si="1"/>
        <v>8.0623635600000014</v>
      </c>
      <c r="K73" s="484">
        <f t="shared" si="1"/>
        <v>8.2294591100000005</v>
      </c>
      <c r="L73" s="484">
        <f t="shared" si="1"/>
        <v>8.373836540000001</v>
      </c>
      <c r="M73" s="484">
        <f t="shared" si="1"/>
        <v>8.4717992100000004</v>
      </c>
      <c r="N73" s="484">
        <f t="shared" si="1"/>
        <v>8.4717949600000022</v>
      </c>
      <c r="O73" s="484">
        <f t="shared" si="1"/>
        <v>8.4717971700000021</v>
      </c>
      <c r="P73" s="484">
        <f t="shared" si="1"/>
        <v>8.4717949600000022</v>
      </c>
      <c r="Q73" s="484">
        <f t="shared" si="1"/>
        <v>8.4717970000000022</v>
      </c>
      <c r="R73" s="484">
        <f t="shared" si="1"/>
        <v>8.4717910500000002</v>
      </c>
      <c r="S73" s="484">
        <f t="shared" si="1"/>
        <v>8.5185626400000007</v>
      </c>
      <c r="T73" s="484">
        <f t="shared" si="1"/>
        <v>8.5185592400000001</v>
      </c>
      <c r="U73" s="484">
        <f t="shared" si="1"/>
        <v>8.5185628100000006</v>
      </c>
      <c r="V73" s="484">
        <f t="shared" si="1"/>
        <v>8.5363373300000003</v>
      </c>
      <c r="W73" s="484">
        <f t="shared" si="1"/>
        <v>8.5470094200000002</v>
      </c>
      <c r="X73" s="484">
        <f t="shared" si="1"/>
        <v>8.6074272500000006</v>
      </c>
      <c r="Y73" s="484">
        <f t="shared" si="1"/>
        <v>8.6664449599999998</v>
      </c>
      <c r="Z73" s="484">
        <f t="shared" si="1"/>
        <v>8.73229905</v>
      </c>
      <c r="AA73" s="484">
        <f t="shared" si="1"/>
        <v>8.7323002400000007</v>
      </c>
      <c r="AB73" s="484">
        <f t="shared" si="1"/>
        <v>8.7704977100000008</v>
      </c>
      <c r="AC73" s="484">
        <f t="shared" si="1"/>
        <v>8.770499580000001</v>
      </c>
      <c r="AD73" s="484">
        <f t="shared" si="1"/>
        <v>8.770499580000001</v>
      </c>
      <c r="AE73" s="484">
        <f t="shared" si="1"/>
        <v>8.8067515699999994</v>
      </c>
      <c r="AF73" s="484">
        <f t="shared" si="1"/>
        <v>8.8318610800000013</v>
      </c>
      <c r="AG73" s="484">
        <f t="shared" si="1"/>
        <v>8.8318644800000019</v>
      </c>
      <c r="AH73" s="484">
        <f t="shared" si="1"/>
        <v>8.8546460099999997</v>
      </c>
      <c r="AI73" s="484">
        <f t="shared" si="1"/>
        <v>8.8546458399999999</v>
      </c>
      <c r="AJ73" s="484">
        <f t="shared" si="1"/>
        <v>8.8546466900000027</v>
      </c>
      <c r="AK73" s="485"/>
      <c r="AM73" s="18" t="s">
        <v>728</v>
      </c>
      <c r="AN73" s="18">
        <v>6.7930000000000001</v>
      </c>
      <c r="AO73" s="18">
        <v>6.5979999999999999</v>
      </c>
      <c r="AP73" s="18">
        <v>7.2859999999999996</v>
      </c>
      <c r="AQ73" s="18">
        <v>6.4269999999999996</v>
      </c>
      <c r="AR73" s="18">
        <v>6.6219999999999999</v>
      </c>
    </row>
    <row r="74" spans="1:44" s="18" customFormat="1">
      <c r="A74" s="17" t="s">
        <v>50</v>
      </c>
      <c r="B74" s="491">
        <f>AN72</f>
        <v>0</v>
      </c>
      <c r="C74" s="491">
        <f t="shared" ref="C74:F74" si="2">AO72</f>
        <v>0</v>
      </c>
      <c r="D74" s="491">
        <f t="shared" si="2"/>
        <v>0</v>
      </c>
      <c r="E74" s="491">
        <f t="shared" si="2"/>
        <v>0</v>
      </c>
      <c r="F74" s="491">
        <f t="shared" si="2"/>
        <v>0</v>
      </c>
      <c r="G74" s="484">
        <f t="shared" ref="G74:AJ74" si="3">G61*$AM60</f>
        <v>4.0118829999999998E-6</v>
      </c>
      <c r="H74" s="484">
        <f t="shared" si="3"/>
        <v>3.7581989999999996E-6</v>
      </c>
      <c r="I74" s="484">
        <f t="shared" si="3"/>
        <v>4.1090540000000002E-6</v>
      </c>
      <c r="J74" s="484">
        <f t="shared" si="3"/>
        <v>4.1090699999999998E-6</v>
      </c>
      <c r="K74" s="484">
        <f t="shared" si="3"/>
        <v>4.1077979999999994E-6</v>
      </c>
      <c r="L74" s="484">
        <f t="shared" si="3"/>
        <v>4.1001169999999998E-6</v>
      </c>
      <c r="M74" s="484">
        <f t="shared" si="3"/>
        <v>4.5077809999999991E-6</v>
      </c>
      <c r="N74" s="484">
        <f t="shared" si="3"/>
        <v>4.9009479999999996E-6</v>
      </c>
      <c r="O74" s="484">
        <f t="shared" si="3"/>
        <v>4.9156639999999992E-6</v>
      </c>
      <c r="P74" s="484">
        <f t="shared" si="3"/>
        <v>4.914333E-6</v>
      </c>
      <c r="Q74" s="484">
        <f t="shared" si="3"/>
        <v>4.9132239999999996E-6</v>
      </c>
      <c r="R74" s="484">
        <f t="shared" si="3"/>
        <v>4.9197499999999998E-6</v>
      </c>
      <c r="S74" s="484">
        <f t="shared" si="3"/>
        <v>4.9287999999999993E-6</v>
      </c>
      <c r="T74" s="484">
        <f t="shared" si="3"/>
        <v>4.9247539999999998E-6</v>
      </c>
      <c r="U74" s="484">
        <f t="shared" si="3"/>
        <v>4.9286719999999991E-6</v>
      </c>
      <c r="V74" s="484">
        <f t="shared" si="3"/>
        <v>4.927543E-6</v>
      </c>
      <c r="W74" s="484">
        <f t="shared" si="3"/>
        <v>5.3101979999999991E-6</v>
      </c>
      <c r="X74" s="484">
        <f t="shared" si="3"/>
        <v>5.55013E-6</v>
      </c>
      <c r="Y74" s="484">
        <f t="shared" si="3"/>
        <v>5.5720199999999999E-6</v>
      </c>
      <c r="Z74" s="484">
        <f t="shared" si="3"/>
        <v>5.8294079999999998E-6</v>
      </c>
      <c r="AA74" s="484">
        <f t="shared" si="3"/>
        <v>6.0471729999999998E-6</v>
      </c>
      <c r="AB74" s="484">
        <f t="shared" si="3"/>
        <v>6.0445359999999996E-6</v>
      </c>
      <c r="AC74" s="484">
        <f t="shared" si="3"/>
        <v>6.0421289999999995E-6</v>
      </c>
      <c r="AD74" s="484">
        <f t="shared" si="3"/>
        <v>6.0397999999999993E-6</v>
      </c>
      <c r="AE74" s="484">
        <f t="shared" si="3"/>
        <v>6.0375639999999994E-6</v>
      </c>
      <c r="AF74" s="484">
        <f t="shared" si="3"/>
        <v>6.0354029999999997E-6</v>
      </c>
      <c r="AG74" s="484">
        <f t="shared" si="3"/>
        <v>6.0333229999999999E-6</v>
      </c>
      <c r="AH74" s="484">
        <f t="shared" si="3"/>
        <v>6.0313509999999997E-6</v>
      </c>
      <c r="AI74" s="484">
        <f t="shared" si="3"/>
        <v>6.0293979999999989E-6</v>
      </c>
      <c r="AJ74" s="484">
        <f t="shared" si="3"/>
        <v>6.0275829999999999E-6</v>
      </c>
      <c r="AK74" s="485"/>
      <c r="AM74" s="18" t="s">
        <v>729</v>
      </c>
      <c r="AN74" s="18">
        <v>1.2999999999999999E-2</v>
      </c>
      <c r="AO74" s="18">
        <v>8.9999999999999993E-3</v>
      </c>
      <c r="AP74" s="18">
        <v>1.4999999999999999E-2</v>
      </c>
      <c r="AQ74" s="18">
        <v>1.4E-2</v>
      </c>
      <c r="AR74" s="18">
        <v>1.6E-2</v>
      </c>
    </row>
    <row r="75" spans="1:44" s="18" customFormat="1">
      <c r="A75" s="17" t="s">
        <v>51</v>
      </c>
      <c r="B75" s="491">
        <f>AN77</f>
        <v>2.8000000000000001E-2</v>
      </c>
      <c r="C75" s="491">
        <f t="shared" ref="C75:F75" si="4">AO77</f>
        <v>2.9000000000000001E-2</v>
      </c>
      <c r="D75" s="491">
        <f t="shared" si="4"/>
        <v>1.9E-2</v>
      </c>
      <c r="E75" s="491">
        <f t="shared" si="4"/>
        <v>1.7999999999999999E-2</v>
      </c>
      <c r="F75" s="491">
        <f t="shared" si="4"/>
        <v>2.4E-2</v>
      </c>
      <c r="G75" s="484">
        <f t="shared" ref="G75:AJ75" si="5">G62*$AM65</f>
        <v>5.8891981590362193E-2</v>
      </c>
      <c r="H75" s="484">
        <f t="shared" si="5"/>
        <v>6.0980007323519561E-2</v>
      </c>
      <c r="I75" s="484">
        <f t="shared" si="5"/>
        <v>4.9599174411619672E-2</v>
      </c>
      <c r="J75" s="484">
        <f t="shared" si="5"/>
        <v>5.3370257844527827E-2</v>
      </c>
      <c r="K75" s="484">
        <f t="shared" si="5"/>
        <v>4.8852028176696212E-2</v>
      </c>
      <c r="L75" s="484">
        <f t="shared" si="5"/>
        <v>5.7148244641306196E-2</v>
      </c>
      <c r="M75" s="484">
        <f t="shared" si="5"/>
        <v>5.7540241385912051E-2</v>
      </c>
      <c r="N75" s="484">
        <f t="shared" si="5"/>
        <v>5.7549958859894987E-2</v>
      </c>
      <c r="O75" s="484">
        <f t="shared" si="5"/>
        <v>5.7172340459146244E-2</v>
      </c>
      <c r="P75" s="484">
        <f t="shared" si="5"/>
        <v>5.715558770988155E-2</v>
      </c>
      <c r="Q75" s="484">
        <f t="shared" si="5"/>
        <v>5.7145650383546048E-2</v>
      </c>
      <c r="R75" s="484">
        <f t="shared" si="5"/>
        <v>5.7514298808310549E-2</v>
      </c>
      <c r="S75" s="484">
        <f t="shared" si="5"/>
        <v>5.7127666461107028E-2</v>
      </c>
      <c r="T75" s="484">
        <f t="shared" si="5"/>
        <v>5.7119048248886875E-2</v>
      </c>
      <c r="U75" s="484">
        <f t="shared" si="5"/>
        <v>5.748853211259107E-2</v>
      </c>
      <c r="V75" s="484">
        <f t="shared" si="5"/>
        <v>5.6486093325880574E-2</v>
      </c>
      <c r="W75" s="484">
        <f t="shared" si="5"/>
        <v>5.7078199681782127E-2</v>
      </c>
      <c r="X75" s="484">
        <f t="shared" si="5"/>
        <v>5.7060655464048225E-2</v>
      </c>
      <c r="Y75" s="484">
        <f t="shared" si="5"/>
        <v>5.7040429047613153E-2</v>
      </c>
      <c r="Z75" s="484">
        <f t="shared" si="5"/>
        <v>5.7018619694239679E-2</v>
      </c>
      <c r="AA75" s="484">
        <f t="shared" si="5"/>
        <v>5.6996898281807228E-2</v>
      </c>
      <c r="AB75" s="484">
        <f t="shared" si="5"/>
        <v>5.7357675992350247E-2</v>
      </c>
      <c r="AC75" s="484">
        <f t="shared" si="5"/>
        <v>5.7872658142975458E-2</v>
      </c>
      <c r="AD75" s="484">
        <f t="shared" si="5"/>
        <v>5.8638403886925074E-2</v>
      </c>
      <c r="AE75" s="484">
        <f t="shared" si="5"/>
        <v>5.862332201553979E-2</v>
      </c>
      <c r="AF75" s="484">
        <f t="shared" si="5"/>
        <v>5.8608547937448088E-2</v>
      </c>
      <c r="AG75" s="484">
        <f t="shared" si="5"/>
        <v>5.9718890258792658E-2</v>
      </c>
      <c r="AH75" s="484">
        <f t="shared" si="5"/>
        <v>5.9707501906930298E-2</v>
      </c>
      <c r="AI75" s="484">
        <f t="shared" si="5"/>
        <v>5.9695278116128243E-2</v>
      </c>
      <c r="AJ75" s="484">
        <f t="shared" si="5"/>
        <v>5.9683186236737698E-2</v>
      </c>
      <c r="AK75" s="485"/>
      <c r="AM75" s="18" t="s">
        <v>143</v>
      </c>
      <c r="AN75" s="18">
        <v>0</v>
      </c>
      <c r="AO75" s="18">
        <v>0</v>
      </c>
      <c r="AP75" s="18">
        <v>0</v>
      </c>
      <c r="AQ75" s="18">
        <v>0.03</v>
      </c>
      <c r="AR75" s="18">
        <v>0.13500000000000001</v>
      </c>
    </row>
    <row r="76" spans="1:44" s="18" customFormat="1">
      <c r="A76" s="17" t="s">
        <v>56</v>
      </c>
      <c r="B76" s="492">
        <f>AN76</f>
        <v>8.0000000000000002E-3</v>
      </c>
      <c r="C76" s="492">
        <f t="shared" ref="C76:F76" si="6">AO76</f>
        <v>0</v>
      </c>
      <c r="D76" s="492">
        <f t="shared" si="6"/>
        <v>7.5999999999999998E-2</v>
      </c>
      <c r="E76" s="492">
        <f t="shared" si="6"/>
        <v>0.13700000000000001</v>
      </c>
      <c r="F76" s="492">
        <f t="shared" si="6"/>
        <v>0.14000000000000001</v>
      </c>
      <c r="G76" s="492">
        <f>G63*$AM64</f>
        <v>8.0646749399282902E-2</v>
      </c>
      <c r="H76" s="492">
        <f t="shared" ref="H76:AJ76" si="7">H63*$AM64</f>
        <v>7.787734468224454E-2</v>
      </c>
      <c r="I76" s="492">
        <f t="shared" si="7"/>
        <v>8.6261747465825989E-2</v>
      </c>
      <c r="J76" s="492">
        <f t="shared" si="7"/>
        <v>8.8751587010343747E-2</v>
      </c>
      <c r="K76" s="492">
        <f t="shared" si="7"/>
        <v>9.2010106667206812E-2</v>
      </c>
      <c r="L76" s="492">
        <f t="shared" si="7"/>
        <v>9.7352090520915854E-2</v>
      </c>
      <c r="M76" s="492">
        <f t="shared" si="7"/>
        <v>0.10557762443783233</v>
      </c>
      <c r="N76" s="492">
        <f t="shared" si="7"/>
        <v>0.11030390981602743</v>
      </c>
      <c r="O76" s="492">
        <f t="shared" si="7"/>
        <v>0.11473636252795305</v>
      </c>
      <c r="P76" s="492">
        <f t="shared" si="7"/>
        <v>0.12037901600503442</v>
      </c>
      <c r="Q76" s="492">
        <f t="shared" si="7"/>
        <v>0.12908825249557659</v>
      </c>
      <c r="R76" s="492">
        <f t="shared" si="7"/>
        <v>0.13499683500421653</v>
      </c>
      <c r="S76" s="492">
        <f t="shared" si="7"/>
        <v>0.15193901436361062</v>
      </c>
      <c r="T76" s="492">
        <f t="shared" si="7"/>
        <v>0.15854210652257658</v>
      </c>
      <c r="U76" s="492">
        <f t="shared" si="7"/>
        <v>0.17902184188594303</v>
      </c>
      <c r="V76" s="492">
        <f t="shared" si="7"/>
        <v>0.18504603750107726</v>
      </c>
      <c r="W76" s="492">
        <f t="shared" si="7"/>
        <v>0.18914752105203583</v>
      </c>
      <c r="X76" s="492">
        <f t="shared" si="7"/>
        <v>0.19297276347591613</v>
      </c>
      <c r="Y76" s="492">
        <f t="shared" si="7"/>
        <v>0.21612786436813539</v>
      </c>
      <c r="Z76" s="492">
        <f t="shared" si="7"/>
        <v>0.21963973996259525</v>
      </c>
      <c r="AA76" s="492">
        <f t="shared" si="7"/>
        <v>0.22258163889490526</v>
      </c>
      <c r="AB76" s="492">
        <f t="shared" si="7"/>
        <v>0.2247895551372624</v>
      </c>
      <c r="AC76" s="492">
        <f t="shared" si="7"/>
        <v>0.22774929922911386</v>
      </c>
      <c r="AD76" s="492">
        <f t="shared" si="7"/>
        <v>0.23115325666643119</v>
      </c>
      <c r="AE76" s="492">
        <f t="shared" si="7"/>
        <v>0.23405601172595192</v>
      </c>
      <c r="AF76" s="492">
        <f t="shared" si="7"/>
        <v>0.23809773800543718</v>
      </c>
      <c r="AG76" s="492">
        <f t="shared" si="7"/>
        <v>0.24246215570934973</v>
      </c>
      <c r="AH76" s="492">
        <f t="shared" si="7"/>
        <v>0.24748791275947529</v>
      </c>
      <c r="AI76" s="492">
        <f t="shared" si="7"/>
        <v>0.25272277169415874</v>
      </c>
      <c r="AJ76" s="492">
        <f t="shared" si="7"/>
        <v>0.25743473022065061</v>
      </c>
      <c r="AK76" s="485"/>
      <c r="AM76" s="18" t="s">
        <v>745</v>
      </c>
      <c r="AN76" s="18">
        <v>8.0000000000000002E-3</v>
      </c>
      <c r="AO76" s="18">
        <v>0</v>
      </c>
      <c r="AP76" s="18">
        <v>7.5999999999999998E-2</v>
      </c>
      <c r="AQ76" s="18">
        <v>0.13700000000000001</v>
      </c>
      <c r="AR76" s="18">
        <v>0.14000000000000001</v>
      </c>
    </row>
    <row r="77" spans="1:44" s="18" customFormat="1">
      <c r="A77" s="17" t="s">
        <v>52</v>
      </c>
      <c r="B77" s="491">
        <f>AN74</f>
        <v>1.2999999999999999E-2</v>
      </c>
      <c r="C77" s="491">
        <f t="shared" ref="C77:F77" si="8">AO74</f>
        <v>8.9999999999999993E-3</v>
      </c>
      <c r="D77" s="491">
        <f t="shared" si="8"/>
        <v>1.4999999999999999E-2</v>
      </c>
      <c r="E77" s="491">
        <f t="shared" si="8"/>
        <v>1.4E-2</v>
      </c>
      <c r="F77" s="491">
        <f t="shared" si="8"/>
        <v>1.6E-2</v>
      </c>
      <c r="G77" s="484">
        <f t="shared" ref="G77:AJ77" si="9">G64*$AM62</f>
        <v>0.89447696969696955</v>
      </c>
      <c r="H77" s="484">
        <f>H64*$AM62</f>
        <v>2.4862555681818179</v>
      </c>
      <c r="I77" s="484">
        <f t="shared" si="9"/>
        <v>3.7052390151515153</v>
      </c>
      <c r="J77" s="484">
        <f t="shared" si="9"/>
        <v>5.7636318560606066</v>
      </c>
      <c r="K77" s="484">
        <f t="shared" si="9"/>
        <v>6.8485131060606053</v>
      </c>
      <c r="L77" s="484">
        <f t="shared" si="9"/>
        <v>7.5209590530303041</v>
      </c>
      <c r="M77" s="484">
        <f t="shared" si="9"/>
        <v>7.5444870075757571</v>
      </c>
      <c r="N77" s="484">
        <f t="shared" si="9"/>
        <v>7.5832298106060616</v>
      </c>
      <c r="O77" s="484">
        <f t="shared" si="9"/>
        <v>7.6268461742424236</v>
      </c>
      <c r="P77" s="484">
        <f t="shared" si="9"/>
        <v>7.7010412121212122</v>
      </c>
      <c r="Q77" s="484">
        <f t="shared" si="9"/>
        <v>7.7921926515151512</v>
      </c>
      <c r="R77" s="484">
        <f t="shared" si="9"/>
        <v>7.8988473106060617</v>
      </c>
      <c r="S77" s="484">
        <f t="shared" si="9"/>
        <v>8.0258970454545455</v>
      </c>
      <c r="T77" s="484">
        <f t="shared" si="9"/>
        <v>8.1808621590909087</v>
      </c>
      <c r="U77" s="484">
        <f t="shared" si="9"/>
        <v>8.3797241666666658</v>
      </c>
      <c r="V77" s="484">
        <f t="shared" si="9"/>
        <v>8.6097485606060609</v>
      </c>
      <c r="W77" s="484">
        <f t="shared" si="9"/>
        <v>8.8800482196969703</v>
      </c>
      <c r="X77" s="484">
        <f t="shared" si="9"/>
        <v>9.2112612878787878</v>
      </c>
      <c r="Y77" s="484">
        <f t="shared" si="9"/>
        <v>9.5965278409090917</v>
      </c>
      <c r="Z77" s="484">
        <f t="shared" si="9"/>
        <v>10.086262310606061</v>
      </c>
      <c r="AA77" s="484">
        <f t="shared" si="9"/>
        <v>10.699072045454544</v>
      </c>
      <c r="AB77" s="484">
        <f t="shared" si="9"/>
        <v>11.292495568181819</v>
      </c>
      <c r="AC77" s="484">
        <f t="shared" si="9"/>
        <v>11.786967689393938</v>
      </c>
      <c r="AD77" s="484">
        <f t="shared" si="9"/>
        <v>12.481183484848485</v>
      </c>
      <c r="AE77" s="484">
        <f t="shared" si="9"/>
        <v>13.386608977272727</v>
      </c>
      <c r="AF77" s="484">
        <f t="shared" si="9"/>
        <v>14.08136840909091</v>
      </c>
      <c r="AG77" s="484">
        <f t="shared" si="9"/>
        <v>14.615446704545452</v>
      </c>
      <c r="AH77" s="484">
        <f t="shared" si="9"/>
        <v>15.147387916666666</v>
      </c>
      <c r="AI77" s="484">
        <f t="shared" si="9"/>
        <v>15.695148598484849</v>
      </c>
      <c r="AJ77" s="484">
        <f t="shared" si="9"/>
        <v>16.258652954545454</v>
      </c>
      <c r="AK77" s="485"/>
      <c r="AM77" s="18" t="s">
        <v>752</v>
      </c>
      <c r="AN77" s="18">
        <v>2.8000000000000001E-2</v>
      </c>
      <c r="AO77" s="18">
        <v>2.9000000000000001E-2</v>
      </c>
      <c r="AP77" s="18">
        <v>1.9E-2</v>
      </c>
      <c r="AQ77" s="18">
        <v>1.7999999999999999E-2</v>
      </c>
      <c r="AR77" s="18">
        <v>2.4E-2</v>
      </c>
    </row>
    <row r="78" spans="1:44" s="18" customFormat="1">
      <c r="A78" s="17" t="s">
        <v>53</v>
      </c>
      <c r="B78" s="491">
        <f>AN75</f>
        <v>0</v>
      </c>
      <c r="C78" s="491">
        <f t="shared" ref="C78:F78" si="10">AO75</f>
        <v>0</v>
      </c>
      <c r="D78" s="491">
        <f t="shared" si="10"/>
        <v>0</v>
      </c>
      <c r="E78" s="491">
        <f t="shared" si="10"/>
        <v>0.03</v>
      </c>
      <c r="F78" s="491">
        <f t="shared" si="10"/>
        <v>0.13500000000000001</v>
      </c>
      <c r="G78" s="484">
        <f t="shared" ref="G78:AJ78" si="11">G65*$AM63</f>
        <v>0.11695176300000001</v>
      </c>
      <c r="H78" s="484">
        <f t="shared" si="11"/>
        <v>0.13081776900000003</v>
      </c>
      <c r="I78" s="484">
        <f t="shared" si="11"/>
        <v>0.14034269399999999</v>
      </c>
      <c r="J78" s="484">
        <f t="shared" si="11"/>
        <v>0.141122259</v>
      </c>
      <c r="K78" s="484">
        <f t="shared" si="11"/>
        <v>0.17811886200000002</v>
      </c>
      <c r="L78" s="484">
        <f t="shared" si="11"/>
        <v>0.20214192</v>
      </c>
      <c r="M78" s="484">
        <f t="shared" si="11"/>
        <v>0.20214290999999998</v>
      </c>
      <c r="N78" s="484">
        <f t="shared" si="11"/>
        <v>0.20211346199999997</v>
      </c>
      <c r="O78" s="484">
        <f t="shared" si="11"/>
        <v>0.20215088099999998</v>
      </c>
      <c r="P78" s="484">
        <f t="shared" si="11"/>
        <v>0.20216247000000001</v>
      </c>
      <c r="Q78" s="484">
        <f t="shared" si="11"/>
        <v>0.20218157399999998</v>
      </c>
      <c r="R78" s="484">
        <f t="shared" si="11"/>
        <v>0.20226333899999999</v>
      </c>
      <c r="S78" s="484">
        <f t="shared" si="11"/>
        <v>0.202241157</v>
      </c>
      <c r="T78" s="484">
        <f t="shared" si="11"/>
        <v>0.20222922599999998</v>
      </c>
      <c r="U78" s="484">
        <f t="shared" si="11"/>
        <v>0.202218483</v>
      </c>
      <c r="V78" s="484">
        <f t="shared" si="11"/>
        <v>0.20224513800000002</v>
      </c>
      <c r="W78" s="484">
        <f t="shared" si="11"/>
        <v>0.20229363299999997</v>
      </c>
      <c r="X78" s="484">
        <f t="shared" si="11"/>
        <v>0.202286466</v>
      </c>
      <c r="Y78" s="484">
        <f t="shared" si="11"/>
        <v>0.202501821</v>
      </c>
      <c r="Z78" s="484">
        <f t="shared" si="11"/>
        <v>0.202781604</v>
      </c>
      <c r="AA78" s="484">
        <f t="shared" si="11"/>
        <v>0.203078643</v>
      </c>
      <c r="AB78" s="484">
        <f t="shared" si="11"/>
        <v>0.20340803400000002</v>
      </c>
      <c r="AC78" s="484">
        <f t="shared" si="11"/>
        <v>0.20379688800000004</v>
      </c>
      <c r="AD78" s="484">
        <f t="shared" si="11"/>
        <v>0.204471399</v>
      </c>
      <c r="AE78" s="484">
        <f t="shared" si="11"/>
        <v>0.20479069200000002</v>
      </c>
      <c r="AF78" s="484">
        <f t="shared" si="11"/>
        <v>0.204805389</v>
      </c>
      <c r="AG78" s="484">
        <f t="shared" si="11"/>
        <v>0.20574440100000002</v>
      </c>
      <c r="AH78" s="484">
        <f t="shared" si="11"/>
        <v>0.20644152299999999</v>
      </c>
      <c r="AI78" s="484">
        <f t="shared" si="11"/>
        <v>0.207626688</v>
      </c>
      <c r="AJ78" s="484">
        <f t="shared" si="11"/>
        <v>0.20958201299999998</v>
      </c>
      <c r="AK78" s="485"/>
      <c r="AM78" s="18" t="s">
        <v>753</v>
      </c>
      <c r="AN78" s="18">
        <v>4.0000000000000001E-3</v>
      </c>
      <c r="AO78" s="18">
        <v>4.0000000000000001E-3</v>
      </c>
      <c r="AP78" s="18">
        <v>4.0000000000000001E-3</v>
      </c>
      <c r="AQ78" s="18">
        <v>4.0000000000000001E-3</v>
      </c>
      <c r="AR78" s="18">
        <v>4.0000000000000001E-3</v>
      </c>
    </row>
    <row r="79" spans="1:44" s="18" customFormat="1">
      <c r="A79" s="17" t="s">
        <v>54</v>
      </c>
      <c r="B79" s="493">
        <f>AN79</f>
        <v>6.8460000000000001</v>
      </c>
      <c r="C79" s="493">
        <f t="shared" ref="C79:F79" si="12">AO79</f>
        <v>6.6390000000000002</v>
      </c>
      <c r="D79" s="493">
        <f t="shared" si="12"/>
        <v>7.4</v>
      </c>
      <c r="E79" s="493">
        <f t="shared" si="12"/>
        <v>6.63</v>
      </c>
      <c r="F79" s="493">
        <f t="shared" si="12"/>
        <v>6.9409999999999998</v>
      </c>
      <c r="G79" s="486">
        <f>SUM(G73:G78)</f>
        <v>8.7741437755696143</v>
      </c>
      <c r="H79" s="486">
        <f t="shared" ref="H79:AJ79" si="13">SUM(H73:H78)</f>
        <v>8.9582095173865834</v>
      </c>
      <c r="I79" s="486">
        <f t="shared" si="13"/>
        <v>11.85449507008296</v>
      </c>
      <c r="J79" s="486">
        <f t="shared" si="13"/>
        <v>14.109243628985478</v>
      </c>
      <c r="K79" s="486">
        <f t="shared" si="13"/>
        <v>15.39695732070251</v>
      </c>
      <c r="L79" s="486">
        <f t="shared" si="13"/>
        <v>16.251441948309527</v>
      </c>
      <c r="M79" s="486">
        <f t="shared" si="13"/>
        <v>16.3815515011805</v>
      </c>
      <c r="N79" s="486">
        <f t="shared" si="13"/>
        <v>16.424997002229986</v>
      </c>
      <c r="O79" s="486">
        <f t="shared" si="13"/>
        <v>16.472707843893527</v>
      </c>
      <c r="P79" s="486">
        <f t="shared" si="13"/>
        <v>16.552538160169131</v>
      </c>
      <c r="Q79" s="486">
        <f t="shared" si="13"/>
        <v>16.652410041618275</v>
      </c>
      <c r="R79" s="486">
        <f t="shared" si="13"/>
        <v>16.765417753168588</v>
      </c>
      <c r="S79" s="486">
        <f t="shared" si="13"/>
        <v>16.955772452079263</v>
      </c>
      <c r="T79" s="486">
        <f t="shared" si="13"/>
        <v>17.117316704616371</v>
      </c>
      <c r="U79" s="486">
        <f t="shared" si="13"/>
        <v>17.3370207623372</v>
      </c>
      <c r="V79" s="486">
        <f t="shared" si="13"/>
        <v>17.589868086976015</v>
      </c>
      <c r="W79" s="486">
        <f t="shared" si="13"/>
        <v>17.875582303628789</v>
      </c>
      <c r="X79" s="486">
        <f t="shared" si="13"/>
        <v>18.271013972948754</v>
      </c>
      <c r="Y79" s="486">
        <f t="shared" si="13"/>
        <v>18.738648487344836</v>
      </c>
      <c r="Z79" s="486">
        <f t="shared" si="13"/>
        <v>19.298007153670895</v>
      </c>
      <c r="AA79" s="486">
        <f t="shared" si="13"/>
        <v>19.914035512804258</v>
      </c>
      <c r="AB79" s="486">
        <f t="shared" si="13"/>
        <v>20.54855458784743</v>
      </c>
      <c r="AC79" s="486">
        <f t="shared" si="13"/>
        <v>21.046892156895026</v>
      </c>
      <c r="AD79" s="486">
        <f t="shared" si="13"/>
        <v>21.745952164201842</v>
      </c>
      <c r="AE79" s="486">
        <f t="shared" si="13"/>
        <v>22.69083661057822</v>
      </c>
      <c r="AF79" s="486">
        <f t="shared" si="13"/>
        <v>23.414747199436796</v>
      </c>
      <c r="AG79" s="486">
        <f t="shared" si="13"/>
        <v>23.955242664836597</v>
      </c>
      <c r="AH79" s="486">
        <f t="shared" si="13"/>
        <v>24.51567689568407</v>
      </c>
      <c r="AI79" s="486">
        <f t="shared" si="13"/>
        <v>25.069845205693138</v>
      </c>
      <c r="AJ79" s="486">
        <f t="shared" si="13"/>
        <v>25.640005601585845</v>
      </c>
      <c r="AK79" s="487"/>
      <c r="AM79" s="18" t="s">
        <v>58</v>
      </c>
      <c r="AN79" s="18">
        <v>6.8460000000000001</v>
      </c>
      <c r="AO79" s="18">
        <v>6.6390000000000002</v>
      </c>
      <c r="AP79" s="18">
        <v>7.4</v>
      </c>
      <c r="AQ79" s="18">
        <v>6.63</v>
      </c>
      <c r="AR79" s="18">
        <v>6.9409999999999998</v>
      </c>
    </row>
    <row r="80" spans="1:44" s="255" customFormat="1">
      <c r="A80" s="254" t="s">
        <v>57</v>
      </c>
      <c r="B80" s="474">
        <f>B79*1000</f>
        <v>6846</v>
      </c>
      <c r="C80" s="474">
        <f t="shared" ref="C80:AJ80" si="14">C79*1000</f>
        <v>6639</v>
      </c>
      <c r="D80" s="474">
        <f t="shared" si="14"/>
        <v>7400</v>
      </c>
      <c r="E80" s="474">
        <f t="shared" si="14"/>
        <v>6630</v>
      </c>
      <c r="F80" s="474">
        <f t="shared" si="14"/>
        <v>6941</v>
      </c>
      <c r="G80" s="276">
        <f t="shared" si="14"/>
        <v>8774.1437755696152</v>
      </c>
      <c r="H80" s="276">
        <f t="shared" si="14"/>
        <v>8958.2095173865837</v>
      </c>
      <c r="I80" s="276">
        <f t="shared" si="14"/>
        <v>11854.49507008296</v>
      </c>
      <c r="J80" s="276">
        <f t="shared" si="14"/>
        <v>14109.243628985478</v>
      </c>
      <c r="K80" s="276">
        <f t="shared" si="14"/>
        <v>15396.95732070251</v>
      </c>
      <c r="L80" s="276">
        <f t="shared" si="14"/>
        <v>16251.441948309526</v>
      </c>
      <c r="M80" s="276">
        <f t="shared" si="14"/>
        <v>16381.5515011805</v>
      </c>
      <c r="N80" s="276">
        <f t="shared" si="14"/>
        <v>16424.997002229986</v>
      </c>
      <c r="O80" s="276">
        <f t="shared" si="14"/>
        <v>16472.707843893528</v>
      </c>
      <c r="P80" s="276">
        <f t="shared" si="14"/>
        <v>16552.53816016913</v>
      </c>
      <c r="Q80" s="276">
        <f t="shared" si="14"/>
        <v>16652.410041618274</v>
      </c>
      <c r="R80" s="276">
        <f t="shared" si="14"/>
        <v>16765.417753168589</v>
      </c>
      <c r="S80" s="276">
        <f t="shared" si="14"/>
        <v>16955.772452079262</v>
      </c>
      <c r="T80" s="276">
        <f t="shared" si="14"/>
        <v>17117.316704616373</v>
      </c>
      <c r="U80" s="276">
        <f t="shared" si="14"/>
        <v>17337.020762337201</v>
      </c>
      <c r="V80" s="276">
        <f t="shared" si="14"/>
        <v>17589.868086976014</v>
      </c>
      <c r="W80" s="276">
        <f t="shared" si="14"/>
        <v>17875.582303628791</v>
      </c>
      <c r="X80" s="276">
        <f t="shared" si="14"/>
        <v>18271.013972948753</v>
      </c>
      <c r="Y80" s="276">
        <f t="shared" si="14"/>
        <v>18738.648487344835</v>
      </c>
      <c r="Z80" s="276">
        <f t="shared" si="14"/>
        <v>19298.007153670897</v>
      </c>
      <c r="AA80" s="276">
        <f t="shared" si="14"/>
        <v>19914.035512804257</v>
      </c>
      <c r="AB80" s="276">
        <f t="shared" si="14"/>
        <v>20548.55458784743</v>
      </c>
      <c r="AC80" s="276">
        <f t="shared" si="14"/>
        <v>21046.892156895028</v>
      </c>
      <c r="AD80" s="276">
        <f t="shared" si="14"/>
        <v>21745.952164201841</v>
      </c>
      <c r="AE80" s="276">
        <f t="shared" si="14"/>
        <v>22690.836610578219</v>
      </c>
      <c r="AF80" s="276">
        <f t="shared" si="14"/>
        <v>23414.747199436795</v>
      </c>
      <c r="AG80" s="276">
        <f t="shared" si="14"/>
        <v>23955.242664836598</v>
      </c>
      <c r="AH80" s="276">
        <f t="shared" si="14"/>
        <v>24515.676895684071</v>
      </c>
      <c r="AI80" s="276">
        <f t="shared" si="14"/>
        <v>25069.845205693138</v>
      </c>
      <c r="AJ80" s="276">
        <f t="shared" si="14"/>
        <v>25640.005601585846</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3.4856493711232265E-6</v>
      </c>
      <c r="H81" s="260">
        <f t="shared" si="15"/>
        <v>1.3636750335494564E-6</v>
      </c>
      <c r="I81" s="260">
        <f t="shared" si="15"/>
        <v>1.0320504751783721E-6</v>
      </c>
      <c r="J81" s="260">
        <f t="shared" si="15"/>
        <v>6.795355543886954E-7</v>
      </c>
      <c r="K81" s="260">
        <f t="shared" si="15"/>
        <v>5.7311461813359589E-7</v>
      </c>
      <c r="L81" s="260">
        <f t="shared" si="15"/>
        <v>5.2047758011274318E-7</v>
      </c>
      <c r="M81" s="260">
        <f t="shared" si="15"/>
        <v>5.6990166493914687E-7</v>
      </c>
      <c r="N81" s="260">
        <f t="shared" si="15"/>
        <v>6.1622324869617317E-7</v>
      </c>
      <c r="O81" s="260">
        <f t="shared" si="15"/>
        <v>6.1438806160397546E-7</v>
      </c>
      <c r="P81" s="260">
        <f t="shared" si="15"/>
        <v>6.081535916024586E-7</v>
      </c>
      <c r="Q81" s="260">
        <f t="shared" si="15"/>
        <v>6.005936199407464E-7</v>
      </c>
      <c r="R81" s="260">
        <f t="shared" ref="R81:AJ82" si="16">R74/SUM(R$74:R$78)</f>
        <v>5.9319645989376456E-7</v>
      </c>
      <c r="S81" s="260">
        <f t="shared" si="16"/>
        <v>5.8417416536727649E-7</v>
      </c>
      <c r="T81" s="260">
        <f t="shared" si="16"/>
        <v>5.727285622678874E-7</v>
      </c>
      <c r="U81" s="260">
        <f t="shared" si="16"/>
        <v>5.5890406538636707E-7</v>
      </c>
      <c r="V81" s="260">
        <f t="shared" si="16"/>
        <v>5.4426754956381853E-7</v>
      </c>
      <c r="W81" s="260">
        <f t="shared" si="16"/>
        <v>5.6924012560583074E-7</v>
      </c>
      <c r="X81" s="260">
        <f t="shared" si="16"/>
        <v>5.7433437077971713E-7</v>
      </c>
      <c r="Y81" s="260">
        <f t="shared" si="16"/>
        <v>5.5320764566290042E-7</v>
      </c>
      <c r="Z81" s="260">
        <f t="shared" si="16"/>
        <v>5.5172904104502556E-7</v>
      </c>
      <c r="AA81" s="260">
        <f t="shared" si="16"/>
        <v>5.4080809932137078E-7</v>
      </c>
      <c r="AB81" s="260">
        <f t="shared" si="16"/>
        <v>5.1320315928926846E-7</v>
      </c>
      <c r="AC81" s="260">
        <f t="shared" si="16"/>
        <v>4.921746320960508E-7</v>
      </c>
      <c r="AD81" s="260">
        <f t="shared" si="16"/>
        <v>4.6547894655741798E-7</v>
      </c>
      <c r="AE81" s="260">
        <f t="shared" si="16"/>
        <v>4.3485501438188818E-7</v>
      </c>
      <c r="AF81" s="260">
        <f t="shared" si="16"/>
        <v>4.138688974575283E-7</v>
      </c>
      <c r="AG81" s="260">
        <f t="shared" si="16"/>
        <v>3.9894016576595904E-7</v>
      </c>
      <c r="AH81" s="260">
        <f t="shared" si="16"/>
        <v>3.8511838997222889E-7</v>
      </c>
      <c r="AI81" s="260">
        <f t="shared" si="16"/>
        <v>3.7183619294601656E-7</v>
      </c>
      <c r="AJ81" s="260">
        <f t="shared" si="16"/>
        <v>3.5909765360093381E-7</v>
      </c>
      <c r="AK81" s="322"/>
    </row>
    <row r="82" spans="1:37" s="256" customFormat="1">
      <c r="A82" s="257" t="s">
        <v>340</v>
      </c>
      <c r="B82" s="260">
        <f t="shared" si="15"/>
        <v>0.5714285714285714</v>
      </c>
      <c r="C82" s="260">
        <f t="shared" ref="C82:AA82" si="17">C75/SUM(C$74:C$78)</f>
        <v>0.76315789473684215</v>
      </c>
      <c r="D82" s="260">
        <f t="shared" si="17"/>
        <v>0.17272727272727273</v>
      </c>
      <c r="E82" s="260">
        <f t="shared" si="17"/>
        <v>9.0452261306532653E-2</v>
      </c>
      <c r="F82" s="260">
        <f t="shared" si="17"/>
        <v>7.6190476190476197E-2</v>
      </c>
      <c r="G82" s="260">
        <f t="shared" si="17"/>
        <v>5.11671947049918E-2</v>
      </c>
      <c r="H82" s="260">
        <f t="shared" si="17"/>
        <v>2.2126798908931284E-2</v>
      </c>
      <c r="I82" s="260">
        <f t="shared" si="17"/>
        <v>1.2457575763172503E-2</v>
      </c>
      <c r="J82" s="260">
        <f t="shared" si="17"/>
        <v>8.8260817538393932E-3</v>
      </c>
      <c r="K82" s="260">
        <f t="shared" si="17"/>
        <v>6.8157712413168606E-3</v>
      </c>
      <c r="L82" s="260">
        <f t="shared" si="17"/>
        <v>7.2545198292141644E-3</v>
      </c>
      <c r="M82" s="260">
        <f t="shared" si="17"/>
        <v>7.2745946102598345E-3</v>
      </c>
      <c r="N82" s="260">
        <f t="shared" si="17"/>
        <v>7.236074043424987E-3</v>
      </c>
      <c r="O82" s="260">
        <f t="shared" si="17"/>
        <v>7.1457291287723105E-3</v>
      </c>
      <c r="P82" s="261">
        <f t="shared" si="17"/>
        <v>7.0730607685547163E-3</v>
      </c>
      <c r="Q82" s="260">
        <f t="shared" si="17"/>
        <v>6.9854973084317405E-3</v>
      </c>
      <c r="R82" s="260">
        <f t="shared" si="17"/>
        <v>6.9347585642282597E-3</v>
      </c>
      <c r="S82" s="260">
        <f t="shared" si="17"/>
        <v>6.7709192651958603E-3</v>
      </c>
      <c r="T82" s="260">
        <f t="shared" si="17"/>
        <v>6.6427095407598172E-3</v>
      </c>
      <c r="U82" s="260">
        <f t="shared" si="17"/>
        <v>6.5191139338998151E-3</v>
      </c>
      <c r="V82" s="260">
        <f t="shared" si="17"/>
        <v>6.2391231489832112E-3</v>
      </c>
      <c r="W82" s="260">
        <f t="shared" si="17"/>
        <v>6.1186421968093003E-3</v>
      </c>
      <c r="X82" s="260">
        <f t="shared" si="17"/>
        <v>5.9047077549935524E-3</v>
      </c>
      <c r="Y82" s="260">
        <f t="shared" si="17"/>
        <v>5.6631529429240724E-3</v>
      </c>
      <c r="Z82" s="260">
        <f t="shared" si="17"/>
        <v>5.3965734368933982E-3</v>
      </c>
      <c r="AA82" s="260">
        <f t="shared" si="17"/>
        <v>5.0973213809159543E-3</v>
      </c>
      <c r="AB82" s="260">
        <f t="shared" si="16"/>
        <v>4.8698759555347798E-3</v>
      </c>
      <c r="AC82" s="260">
        <f t="shared" si="16"/>
        <v>4.7141420234390009E-3</v>
      </c>
      <c r="AD82" s="260">
        <f t="shared" si="16"/>
        <v>4.5191798518318966E-3</v>
      </c>
      <c r="AE82" s="260">
        <f t="shared" si="16"/>
        <v>4.2223395956020706E-3</v>
      </c>
      <c r="AF82" s="260">
        <f t="shared" si="16"/>
        <v>4.0189951054566426E-3</v>
      </c>
      <c r="AG82" s="260">
        <f t="shared" si="16"/>
        <v>3.9487797983303492E-3</v>
      </c>
      <c r="AH82" s="260">
        <f t="shared" si="16"/>
        <v>3.8124886121966347E-3</v>
      </c>
      <c r="AI82" s="260">
        <f t="shared" si="16"/>
        <v>3.6814396647152476E-3</v>
      </c>
      <c r="AJ82" s="260">
        <f t="shared" si="16"/>
        <v>3.5556693515526958E-3</v>
      </c>
      <c r="AK82" s="322"/>
    </row>
    <row r="83" spans="1:37" s="256" customFormat="1">
      <c r="A83" s="257" t="s">
        <v>336</v>
      </c>
      <c r="B83" s="260">
        <f>B76/SUM(B$74:B$78)</f>
        <v>0.16326530612244897</v>
      </c>
      <c r="C83" s="260">
        <f t="shared" ref="C83:AJ83" si="18">C76/SUM(C$74:C$78)</f>
        <v>0</v>
      </c>
      <c r="D83" s="260">
        <f t="shared" si="18"/>
        <v>0.69090909090909092</v>
      </c>
      <c r="E83" s="260">
        <f t="shared" si="18"/>
        <v>0.68844221105527637</v>
      </c>
      <c r="F83" s="260">
        <f t="shared" si="18"/>
        <v>0.44444444444444448</v>
      </c>
      <c r="G83" s="260">
        <f t="shared" si="18"/>
        <v>7.0068417081640438E-2</v>
      </c>
      <c r="H83" s="260">
        <f t="shared" si="18"/>
        <v>2.8258054089818664E-2</v>
      </c>
      <c r="I83" s="260">
        <f t="shared" si="18"/>
        <v>2.1665930275392445E-2</v>
      </c>
      <c r="J83" s="260">
        <f t="shared" si="18"/>
        <v>1.4677252731627954E-2</v>
      </c>
      <c r="K83" s="260">
        <f t="shared" si="18"/>
        <v>1.2837130050457122E-2</v>
      </c>
      <c r="L83" s="260">
        <f t="shared" si="18"/>
        <v>1.2358081609193836E-2</v>
      </c>
      <c r="M83" s="260">
        <f t="shared" si="18"/>
        <v>1.3347778862247438E-2</v>
      </c>
      <c r="N83" s="260">
        <f t="shared" si="18"/>
        <v>1.3869119535796367E-2</v>
      </c>
      <c r="O83" s="260">
        <f t="shared" si="18"/>
        <v>1.4340412886039423E-2</v>
      </c>
      <c r="P83" s="261">
        <f t="shared" si="18"/>
        <v>1.4897022838507593E-2</v>
      </c>
      <c r="Q83" s="260">
        <f t="shared" si="18"/>
        <v>1.5779777363731727E-2</v>
      </c>
      <c r="R83" s="260">
        <f t="shared" si="18"/>
        <v>1.6277177625156538E-2</v>
      </c>
      <c r="S83" s="260">
        <f t="shared" si="18"/>
        <v>1.8008206237337461E-2</v>
      </c>
      <c r="T83" s="260">
        <f t="shared" si="18"/>
        <v>1.8437792573516878E-2</v>
      </c>
      <c r="U83" s="260">
        <f t="shared" si="18"/>
        <v>2.0300810283786178E-2</v>
      </c>
      <c r="V83" s="260">
        <f t="shared" si="18"/>
        <v>2.0439101878401828E-2</v>
      </c>
      <c r="W83" s="260">
        <f t="shared" si="18"/>
        <v>2.0276147639257974E-2</v>
      </c>
      <c r="X83" s="260">
        <f t="shared" si="18"/>
        <v>1.9969062109998048E-2</v>
      </c>
      <c r="Y83" s="260">
        <f t="shared" si="18"/>
        <v>2.1457853168015701E-2</v>
      </c>
      <c r="Z83" s="260">
        <f t="shared" si="18"/>
        <v>2.0787981061703258E-2</v>
      </c>
      <c r="AA83" s="260">
        <f t="shared" si="18"/>
        <v>1.990582261737665E-2</v>
      </c>
      <c r="AB83" s="260">
        <f t="shared" si="18"/>
        <v>1.9085453353519986E-2</v>
      </c>
      <c r="AC83" s="260">
        <f t="shared" si="18"/>
        <v>1.8551809727700701E-2</v>
      </c>
      <c r="AD83" s="260">
        <f t="shared" si="18"/>
        <v>1.7814658499686557E-2</v>
      </c>
      <c r="AE83" s="260">
        <f t="shared" si="18"/>
        <v>1.6857863592875572E-2</v>
      </c>
      <c r="AF83" s="260">
        <f t="shared" si="18"/>
        <v>1.6327202726220888E-2</v>
      </c>
      <c r="AG83" s="260">
        <f t="shared" si="18"/>
        <v>1.6032274849309368E-2</v>
      </c>
      <c r="AH83" s="260">
        <f t="shared" si="18"/>
        <v>1.5802785561562671E-2</v>
      </c>
      <c r="AI83" s="260">
        <f t="shared" si="18"/>
        <v>1.5585548225133142E-2</v>
      </c>
      <c r="AJ83" s="260">
        <f t="shared" si="18"/>
        <v>1.5336861819675487E-2</v>
      </c>
      <c r="AK83" s="322"/>
    </row>
    <row r="84" spans="1:37" s="256" customFormat="1">
      <c r="A84" s="257" t="s">
        <v>338</v>
      </c>
      <c r="B84" s="260">
        <f>B77/SUM(B$74:B$78)</f>
        <v>0.26530612244897955</v>
      </c>
      <c r="C84" s="260">
        <f t="shared" ref="C84:AJ84" si="19">C77/SUM(C$74:C$78)</f>
        <v>0.23684210526315788</v>
      </c>
      <c r="D84" s="260">
        <f t="shared" si="19"/>
        <v>0.13636363636363635</v>
      </c>
      <c r="E84" s="260">
        <f t="shared" si="19"/>
        <v>7.0351758793969849E-2</v>
      </c>
      <c r="F84" s="260">
        <f t="shared" si="19"/>
        <v>5.0793650793650794E-2</v>
      </c>
      <c r="G84" s="260">
        <f t="shared" si="19"/>
        <v>0.77714955468752489</v>
      </c>
      <c r="H84" s="260">
        <f t="shared" si="19"/>
        <v>0.90214611981772752</v>
      </c>
      <c r="I84" s="260">
        <f t="shared" si="19"/>
        <v>0.93062629165656241</v>
      </c>
      <c r="J84" s="260">
        <f t="shared" si="19"/>
        <v>0.95315795754282351</v>
      </c>
      <c r="K84" s="260">
        <f t="shared" si="19"/>
        <v>0.95549561433226526</v>
      </c>
      <c r="L84" s="260">
        <f t="shared" si="19"/>
        <v>0.95472655244917182</v>
      </c>
      <c r="M84" s="260">
        <f t="shared" si="19"/>
        <v>0.95382089474381893</v>
      </c>
      <c r="N84" s="260">
        <f t="shared" si="19"/>
        <v>0.95348134881278757</v>
      </c>
      <c r="O84" s="260">
        <f t="shared" si="19"/>
        <v>0.95324725960612844</v>
      </c>
      <c r="P84" s="261">
        <f t="shared" si="19"/>
        <v>0.95301150170940119</v>
      </c>
      <c r="Q84" s="260">
        <f t="shared" si="19"/>
        <v>0.95251940311477112</v>
      </c>
      <c r="R84" s="260">
        <f t="shared" si="19"/>
        <v>0.9523996670344832</v>
      </c>
      <c r="S84" s="260">
        <f t="shared" si="19"/>
        <v>0.95125014361550475</v>
      </c>
      <c r="T84" s="260">
        <f t="shared" si="19"/>
        <v>0.95140050091596484</v>
      </c>
      <c r="U84" s="260">
        <f t="shared" si="19"/>
        <v>0.95024824203484981</v>
      </c>
      <c r="V84" s="260">
        <f t="shared" si="19"/>
        <v>0.95098241688437302</v>
      </c>
      <c r="W84" s="260">
        <f t="shared" si="19"/>
        <v>0.95191926251453118</v>
      </c>
      <c r="X84" s="260">
        <f t="shared" si="19"/>
        <v>0.9531928001436778</v>
      </c>
      <c r="Y84" s="260">
        <f t="shared" si="19"/>
        <v>0.95277342389434994</v>
      </c>
      <c r="Z84" s="260">
        <f t="shared" si="19"/>
        <v>0.95462246464122369</v>
      </c>
      <c r="AA84" s="260">
        <f t="shared" si="19"/>
        <v>0.95683467587328541</v>
      </c>
      <c r="AB84" s="260">
        <f t="shared" si="19"/>
        <v>0.95877407328717579</v>
      </c>
      <c r="AC84" s="260">
        <f t="shared" si="19"/>
        <v>0.96013284159532186</v>
      </c>
      <c r="AD84" s="260">
        <f t="shared" si="19"/>
        <v>0.96190737115750791</v>
      </c>
      <c r="AE84" s="260">
        <f t="shared" si="19"/>
        <v>0.96416933043469943</v>
      </c>
      <c r="AF84" s="260">
        <f t="shared" si="19"/>
        <v>0.96560915951490311</v>
      </c>
      <c r="AG84" s="260">
        <f t="shared" si="19"/>
        <v>0.96641415204438785</v>
      </c>
      <c r="AH84" s="260">
        <f t="shared" si="19"/>
        <v>0.96720248029860334</v>
      </c>
      <c r="AI84" s="260">
        <f t="shared" si="19"/>
        <v>0.96792819160098809</v>
      </c>
      <c r="AJ84" s="260">
        <f t="shared" si="19"/>
        <v>0.96862110844249882</v>
      </c>
      <c r="AK84" s="322"/>
    </row>
    <row r="85" spans="1:37" s="256" customFormat="1">
      <c r="A85" s="257" t="s">
        <v>337</v>
      </c>
      <c r="B85" s="260">
        <f>B78/SUM(B$74:B$78)</f>
        <v>0</v>
      </c>
      <c r="C85" s="260">
        <f t="shared" ref="C85:AJ85" si="20">C78/SUM(C$74:C$78)</f>
        <v>0</v>
      </c>
      <c r="D85" s="260">
        <f t="shared" si="20"/>
        <v>0</v>
      </c>
      <c r="E85" s="260">
        <f t="shared" si="20"/>
        <v>0.15075376884422109</v>
      </c>
      <c r="F85" s="260">
        <f t="shared" si="20"/>
        <v>0.4285714285714286</v>
      </c>
      <c r="G85" s="260">
        <f t="shared" si="20"/>
        <v>0.10161134787647165</v>
      </c>
      <c r="H85" s="260">
        <f t="shared" si="20"/>
        <v>4.7467663508489064E-2</v>
      </c>
      <c r="I85" s="260">
        <f t="shared" si="20"/>
        <v>3.5249170254397444E-2</v>
      </c>
      <c r="J85" s="260">
        <f t="shared" si="20"/>
        <v>2.3338028436154668E-2</v>
      </c>
      <c r="K85" s="260">
        <f t="shared" si="20"/>
        <v>2.4850911261342618E-2</v>
      </c>
      <c r="L85" s="260">
        <f t="shared" si="20"/>
        <v>2.5660325634840109E-2</v>
      </c>
      <c r="M85" s="260">
        <f t="shared" si="20"/>
        <v>2.5556161882008939E-2</v>
      </c>
      <c r="N85" s="260">
        <f t="shared" si="20"/>
        <v>2.5412841384742407E-2</v>
      </c>
      <c r="O85" s="260">
        <f t="shared" si="20"/>
        <v>2.526598399099815E-2</v>
      </c>
      <c r="P85" s="261">
        <f t="shared" si="20"/>
        <v>2.5017806529945018E-2</v>
      </c>
      <c r="Q85" s="260">
        <f t="shared" si="20"/>
        <v>2.4714721619445379E-2</v>
      </c>
      <c r="R85" s="260">
        <f t="shared" si="20"/>
        <v>2.438780357967222E-2</v>
      </c>
      <c r="S85" s="260">
        <f t="shared" si="20"/>
        <v>2.3970146707796489E-2</v>
      </c>
      <c r="T85" s="260">
        <f t="shared" si="20"/>
        <v>2.3518424241196142E-2</v>
      </c>
      <c r="U85" s="260">
        <f t="shared" si="20"/>
        <v>2.2931274843398786E-2</v>
      </c>
      <c r="V85" s="260">
        <f t="shared" si="20"/>
        <v>2.2338813820692447E-2</v>
      </c>
      <c r="W85" s="260">
        <f t="shared" si="20"/>
        <v>2.1685378409275858E-2</v>
      </c>
      <c r="X85" s="260">
        <f t="shared" si="20"/>
        <v>2.0932855656959862E-2</v>
      </c>
      <c r="Y85" s="260">
        <f t="shared" si="20"/>
        <v>2.010501678706467E-2</v>
      </c>
      <c r="Z85" s="260">
        <f t="shared" si="20"/>
        <v>1.9192429131138555E-2</v>
      </c>
      <c r="AA85" s="260">
        <f t="shared" si="20"/>
        <v>1.8161639320322606E-2</v>
      </c>
      <c r="AB85" s="260">
        <f t="shared" si="20"/>
        <v>1.7270084200610096E-2</v>
      </c>
      <c r="AC85" s="260">
        <f t="shared" si="20"/>
        <v>1.6600714478906375E-2</v>
      </c>
      <c r="AD85" s="260">
        <f t="shared" si="20"/>
        <v>1.5758325012027136E-2</v>
      </c>
      <c r="AE85" s="260">
        <f t="shared" si="20"/>
        <v>1.4750031521808605E-2</v>
      </c>
      <c r="AF85" s="260">
        <f t="shared" si="20"/>
        <v>1.4044228784521962E-2</v>
      </c>
      <c r="AG85" s="260">
        <f t="shared" si="20"/>
        <v>1.360439436780659E-2</v>
      </c>
      <c r="AH85" s="260">
        <f t="shared" si="20"/>
        <v>1.3181860409247424E-2</v>
      </c>
      <c r="AI85" s="260">
        <f t="shared" si="20"/>
        <v>1.2804448672970401E-2</v>
      </c>
      <c r="AJ85" s="260">
        <f t="shared" si="20"/>
        <v>1.2486001288619403E-2</v>
      </c>
      <c r="AK85" s="322"/>
    </row>
    <row r="86" spans="1:37" s="256" customFormat="1">
      <c r="A86" s="256" t="s">
        <v>341</v>
      </c>
      <c r="B86" s="260">
        <f>SUM(B81:B85)</f>
        <v>0.99999999999999989</v>
      </c>
      <c r="C86" s="260">
        <f t="shared" ref="C86:AJ86" si="21">SUM(C81:C85)</f>
        <v>1</v>
      </c>
      <c r="D86" s="260">
        <f t="shared" si="21"/>
        <v>1</v>
      </c>
      <c r="E86" s="260">
        <f t="shared" si="21"/>
        <v>0.99999999999999989</v>
      </c>
      <c r="F86" s="260">
        <f t="shared" si="21"/>
        <v>1</v>
      </c>
      <c r="G86" s="260">
        <f t="shared" si="21"/>
        <v>0.99999999999999989</v>
      </c>
      <c r="H86" s="260">
        <f t="shared" si="21"/>
        <v>1</v>
      </c>
      <c r="I86" s="260">
        <f t="shared" si="21"/>
        <v>1</v>
      </c>
      <c r="J86" s="260">
        <f t="shared" si="21"/>
        <v>0.99999999999999989</v>
      </c>
      <c r="K86" s="260">
        <f t="shared" si="21"/>
        <v>1</v>
      </c>
      <c r="L86" s="260">
        <f t="shared" si="21"/>
        <v>1</v>
      </c>
      <c r="M86" s="260">
        <f t="shared" si="21"/>
        <v>1.0000000000000002</v>
      </c>
      <c r="N86" s="260">
        <f t="shared" si="21"/>
        <v>1</v>
      </c>
      <c r="O86" s="260">
        <f t="shared" si="21"/>
        <v>0.99999999999999989</v>
      </c>
      <c r="P86" s="260">
        <f t="shared" si="21"/>
        <v>1.0000000000000002</v>
      </c>
      <c r="Q86" s="260">
        <f t="shared" si="21"/>
        <v>1</v>
      </c>
      <c r="R86" s="260">
        <f t="shared" si="21"/>
        <v>1.0000000000000002</v>
      </c>
      <c r="S86" s="260">
        <f t="shared" si="21"/>
        <v>1</v>
      </c>
      <c r="T86" s="260">
        <f t="shared" si="21"/>
        <v>0.99999999999999989</v>
      </c>
      <c r="U86" s="260">
        <f t="shared" si="21"/>
        <v>0.99999999999999989</v>
      </c>
      <c r="V86" s="260">
        <f t="shared" si="21"/>
        <v>1</v>
      </c>
      <c r="W86" s="260">
        <f t="shared" si="21"/>
        <v>0.99999999999999989</v>
      </c>
      <c r="X86" s="260">
        <f t="shared" si="21"/>
        <v>1</v>
      </c>
      <c r="Y86" s="260">
        <f t="shared" si="21"/>
        <v>1</v>
      </c>
      <c r="Z86" s="260">
        <f t="shared" si="21"/>
        <v>1</v>
      </c>
      <c r="AA86" s="260">
        <f t="shared" si="21"/>
        <v>0.99999999999999989</v>
      </c>
      <c r="AB86" s="260">
        <f t="shared" si="21"/>
        <v>0.99999999999999989</v>
      </c>
      <c r="AC86" s="260">
        <f t="shared" si="21"/>
        <v>1</v>
      </c>
      <c r="AD86" s="260">
        <f t="shared" si="21"/>
        <v>1</v>
      </c>
      <c r="AE86" s="260">
        <f t="shared" si="21"/>
        <v>1</v>
      </c>
      <c r="AF86" s="260">
        <f t="shared" si="21"/>
        <v>1</v>
      </c>
      <c r="AG86" s="260">
        <f t="shared" si="21"/>
        <v>0.99999999999999989</v>
      </c>
      <c r="AH86" s="260">
        <f t="shared" si="21"/>
        <v>1</v>
      </c>
      <c r="AI86" s="260">
        <f t="shared" si="21"/>
        <v>0.99999999999999978</v>
      </c>
      <c r="AJ86" s="260">
        <f t="shared" si="21"/>
        <v>1</v>
      </c>
      <c r="AK86" s="322"/>
    </row>
    <row r="87" spans="1:37">
      <c r="A87" s="567" t="s">
        <v>631</v>
      </c>
      <c r="B87" s="567"/>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row>
    <row r="88" spans="1:37">
      <c r="A88" s="566" t="s">
        <v>664</v>
      </c>
      <c r="B88" s="566"/>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row>
    <row r="89" spans="1:37">
      <c r="A89" s="566" t="s">
        <v>665</v>
      </c>
      <c r="B89" s="566"/>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row>
    <row r="90" spans="1:37">
      <c r="A90" s="566" t="s">
        <v>666</v>
      </c>
      <c r="B90" s="566"/>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row>
    <row r="91" spans="1:37">
      <c r="A91" s="566" t="s">
        <v>667</v>
      </c>
      <c r="B91" s="566"/>
      <c r="C91" s="566"/>
      <c r="D91" s="566"/>
      <c r="E91" s="566"/>
      <c r="F91" s="566"/>
      <c r="G91" s="566"/>
      <c r="H91" s="566"/>
      <c r="I91" s="566"/>
      <c r="J91" s="566"/>
      <c r="K91" s="566"/>
      <c r="L91" s="566"/>
      <c r="M91" s="566"/>
      <c r="N91" s="566"/>
      <c r="O91" s="566"/>
      <c r="P91" s="566"/>
      <c r="Q91" s="566"/>
      <c r="R91" s="566"/>
      <c r="S91" s="566"/>
      <c r="T91" s="566"/>
      <c r="U91" s="566"/>
      <c r="V91" s="566"/>
      <c r="W91" s="566"/>
      <c r="X91" s="566"/>
      <c r="Y91" s="566"/>
      <c r="Z91" s="566"/>
      <c r="AA91" s="566"/>
      <c r="AB91" s="566"/>
      <c r="AC91" s="566"/>
      <c r="AD91" s="566"/>
      <c r="AE91" s="566"/>
      <c r="AF91" s="566"/>
    </row>
    <row r="92" spans="1:37">
      <c r="A92" s="566" t="s">
        <v>668</v>
      </c>
      <c r="B92" s="566"/>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row>
    <row r="93" spans="1:37">
      <c r="A93" s="566" t="s">
        <v>669</v>
      </c>
      <c r="B93" s="566"/>
      <c r="C93" s="566"/>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row>
    <row r="94" spans="1:37">
      <c r="A94" s="566" t="s">
        <v>670</v>
      </c>
      <c r="B94" s="566"/>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row>
    <row r="95" spans="1:37">
      <c r="A95" s="566" t="s">
        <v>671</v>
      </c>
      <c r="B95" s="566"/>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row>
    <row r="96" spans="1:37">
      <c r="A96" s="566" t="s">
        <v>672</v>
      </c>
      <c r="B96" s="566"/>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row>
    <row r="97" spans="1:32">
      <c r="A97" s="566" t="s">
        <v>673</v>
      </c>
      <c r="B97" s="566"/>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row>
    <row r="98" spans="1:32">
      <c r="A98" s="566" t="s">
        <v>674</v>
      </c>
      <c r="B98" s="566"/>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row>
    <row r="99" spans="1:32">
      <c r="A99" s="566" t="s">
        <v>675</v>
      </c>
      <c r="B99" s="566"/>
      <c r="C99" s="566"/>
      <c r="D99" s="566"/>
      <c r="E99" s="566"/>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row>
    <row r="100" spans="1:32">
      <c r="A100" s="566" t="s">
        <v>676</v>
      </c>
      <c r="B100" s="566"/>
      <c r="C100" s="566"/>
      <c r="D100" s="566"/>
      <c r="E100" s="566"/>
      <c r="F100" s="566"/>
      <c r="G100" s="566"/>
      <c r="H100" s="566"/>
      <c r="I100" s="566"/>
      <c r="J100" s="566"/>
      <c r="K100" s="566"/>
      <c r="L100" s="566"/>
      <c r="M100" s="566"/>
      <c r="N100" s="566"/>
      <c r="O100" s="566"/>
      <c r="P100" s="566"/>
      <c r="Q100" s="566"/>
      <c r="R100" s="566"/>
      <c r="S100" s="566"/>
      <c r="T100" s="566"/>
      <c r="U100" s="566"/>
      <c r="V100" s="566"/>
      <c r="W100" s="566"/>
      <c r="X100" s="566"/>
      <c r="Y100" s="566"/>
      <c r="Z100" s="566"/>
      <c r="AA100" s="566"/>
      <c r="AB100" s="566"/>
      <c r="AC100" s="566"/>
      <c r="AD100" s="566"/>
      <c r="AE100" s="566"/>
      <c r="AF100" s="566"/>
    </row>
    <row r="101" spans="1:32">
      <c r="A101" s="566" t="s">
        <v>677</v>
      </c>
      <c r="B101" s="566"/>
      <c r="C101" s="566"/>
      <c r="D101" s="566"/>
      <c r="E101" s="566"/>
      <c r="F101" s="566"/>
      <c r="G101" s="566"/>
      <c r="H101" s="566"/>
      <c r="I101" s="566"/>
      <c r="J101" s="566"/>
      <c r="K101" s="566"/>
      <c r="L101" s="566"/>
      <c r="M101" s="566"/>
      <c r="N101" s="566"/>
      <c r="O101" s="566"/>
      <c r="P101" s="566"/>
      <c r="Q101" s="566"/>
      <c r="R101" s="566"/>
      <c r="S101" s="566"/>
      <c r="T101" s="566"/>
      <c r="U101" s="566"/>
      <c r="V101" s="566"/>
      <c r="W101" s="566"/>
      <c r="X101" s="566"/>
      <c r="Y101" s="566"/>
      <c r="Z101" s="566"/>
      <c r="AA101" s="566"/>
      <c r="AB101" s="566"/>
      <c r="AC101" s="566"/>
      <c r="AD101" s="566"/>
      <c r="AE101" s="566"/>
      <c r="AF101" s="566"/>
    </row>
    <row r="102" spans="1:32">
      <c r="A102" s="566" t="s">
        <v>678</v>
      </c>
      <c r="B102" s="566"/>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row>
    <row r="103" spans="1:32">
      <c r="A103" s="566" t="s">
        <v>679</v>
      </c>
      <c r="B103" s="566"/>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c r="AF103" s="566"/>
    </row>
    <row r="104" spans="1:32">
      <c r="A104" s="566" t="s">
        <v>680</v>
      </c>
      <c r="B104" s="566"/>
      <c r="C104" s="566"/>
      <c r="D104" s="566"/>
      <c r="E104" s="566"/>
      <c r="F104" s="566"/>
      <c r="G104" s="566"/>
      <c r="H104" s="566"/>
      <c r="I104" s="566"/>
      <c r="J104" s="566"/>
      <c r="K104" s="566"/>
      <c r="L104" s="566"/>
      <c r="M104" s="566"/>
      <c r="N104" s="566"/>
      <c r="O104" s="566"/>
      <c r="P104" s="566"/>
      <c r="Q104" s="566"/>
      <c r="R104" s="566"/>
      <c r="S104" s="566"/>
      <c r="T104" s="566"/>
      <c r="U104" s="566"/>
      <c r="V104" s="566"/>
      <c r="W104" s="566"/>
      <c r="X104" s="566"/>
      <c r="Y104" s="566"/>
      <c r="Z104" s="566"/>
      <c r="AA104" s="566"/>
      <c r="AB104" s="566"/>
      <c r="AC104" s="566"/>
      <c r="AD104" s="566"/>
      <c r="AE104" s="566"/>
      <c r="AF104" s="566"/>
    </row>
    <row r="105" spans="1:32">
      <c r="A105" s="566" t="s">
        <v>681</v>
      </c>
      <c r="B105" s="566"/>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row>
    <row r="106" spans="1:32">
      <c r="A106" s="566" t="s">
        <v>682</v>
      </c>
      <c r="B106" s="566"/>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row>
    <row r="107" spans="1:32">
      <c r="A107" s="566" t="s">
        <v>683</v>
      </c>
      <c r="B107" s="566"/>
      <c r="C107" s="566"/>
      <c r="D107" s="566"/>
      <c r="E107" s="566"/>
      <c r="F107" s="566"/>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row>
    <row r="108" spans="1:32">
      <c r="A108" s="566" t="s">
        <v>635</v>
      </c>
      <c r="B108" s="566"/>
      <c r="C108" s="566"/>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row>
    <row r="109" spans="1:32">
      <c r="A109" s="566" t="s">
        <v>684</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row>
    <row r="110" spans="1:32">
      <c r="A110" s="566" t="s">
        <v>685</v>
      </c>
      <c r="B110" s="566"/>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row>
    <row r="111" spans="1:32">
      <c r="A111" s="566" t="s">
        <v>642</v>
      </c>
      <c r="B111" s="566"/>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row>
    <row r="112" spans="1:32">
      <c r="A112" s="566" t="s">
        <v>643</v>
      </c>
      <c r="B112" s="566"/>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row>
    <row r="113" spans="1:32">
      <c r="A113" s="566" t="s">
        <v>644</v>
      </c>
      <c r="B113" s="566"/>
      <c r="C113" s="566"/>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row>
    <row r="114" spans="1:32">
      <c r="A114" s="566" t="s">
        <v>686</v>
      </c>
      <c r="B114" s="566"/>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row>
    <row r="115" spans="1:32">
      <c r="A115" s="566" t="s">
        <v>687</v>
      </c>
      <c r="B115" s="566"/>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row>
    <row r="116" spans="1:32">
      <c r="A116" s="566" t="s">
        <v>619</v>
      </c>
      <c r="B116" s="566"/>
      <c r="C116" s="566"/>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row>
    <row r="117" spans="1:32">
      <c r="A117" s="566" t="s">
        <v>620</v>
      </c>
      <c r="B117" s="566"/>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row>
    <row r="118" spans="1:32">
      <c r="A118" s="566" t="s">
        <v>621</v>
      </c>
      <c r="B118" s="566"/>
      <c r="C118" s="566"/>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row>
    <row r="119" spans="1:32">
      <c r="A119" s="566" t="s">
        <v>688</v>
      </c>
      <c r="B119" s="566"/>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row>
    <row r="120" spans="1:32">
      <c r="A120" s="566" t="s">
        <v>689</v>
      </c>
      <c r="B120" s="566"/>
      <c r="C120" s="566"/>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row>
    <row r="121" spans="1:32">
      <c r="A121" s="566" t="s">
        <v>623</v>
      </c>
      <c r="B121" s="566"/>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row>
    <row r="122" spans="1:32">
      <c r="A122" s="566" t="s">
        <v>626</v>
      </c>
      <c r="B122" s="566"/>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2015-02-18T22:25:54Z</dcterms:modified>
</cp:coreProperties>
</file>