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426"/>
  <workbookPr autoCompressPictures="0"/>
  <bookViews>
    <workbookView xWindow="1540" yWindow="0" windowWidth="25600" windowHeight="15400" tabRatio="923" activeTab="4"/>
  </bookViews>
  <sheets>
    <sheet name="Inputs" sheetId="5" r:id="rId1"/>
    <sheet name="Instructions" sheetId="31" r:id="rId2"/>
    <sheet name="Output -Jobs vs Yr" sheetId="15" r:id="rId3"/>
    <sheet name="Output - Jobs vs Yr (BAU)" sheetId="9" r:id="rId4"/>
    <sheet name="Technologies and jobs per MW" sheetId="27" r:id="rId5"/>
    <sheet name="Refs" sheetId="30" r:id="rId6"/>
    <sheet name="EIA_electricity_aeo2014" sheetId="11" r:id="rId7"/>
    <sheet name="EIA_RE_aeo2014" sheetId="8" r:id="rId8"/>
    <sheet name="backup - Mass Transit" sheetId="21" r:id="rId9"/>
    <sheet name="backup - EIA liq_fuelS_aeo2014" sheetId="18" r:id="rId10"/>
  </sheets>
  <definedNames>
    <definedName name="_Regression_Int" localSheetId="9" hidden="1">1</definedName>
    <definedName name="_Regression_Int" localSheetId="6" hidden="1">1</definedName>
    <definedName name="_Regression_Int" localSheetId="7" hidden="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39" i="27" l="1"/>
  <c r="E38" i="27"/>
  <c r="H38" i="27"/>
  <c r="J38" i="27"/>
  <c r="L38" i="27"/>
  <c r="F38" i="27"/>
  <c r="I38" i="27"/>
  <c r="K38" i="27"/>
  <c r="M38" i="27"/>
  <c r="N38" i="27"/>
  <c r="O36" i="27"/>
  <c r="H35" i="27"/>
  <c r="J35" i="27"/>
  <c r="L35" i="27"/>
  <c r="I35" i="27"/>
  <c r="K35" i="27"/>
  <c r="M35" i="27"/>
  <c r="N35" i="27"/>
  <c r="O35" i="27"/>
  <c r="H34" i="27"/>
  <c r="J34" i="27"/>
  <c r="L34" i="27"/>
  <c r="K34" i="27"/>
  <c r="M34" i="27"/>
  <c r="N34" i="27"/>
  <c r="O34" i="27"/>
  <c r="H33" i="27"/>
  <c r="J33" i="27"/>
  <c r="L33" i="27"/>
  <c r="I33" i="27"/>
  <c r="K33" i="27"/>
  <c r="M33" i="27"/>
  <c r="N33" i="27"/>
  <c r="O33" i="27"/>
  <c r="O32" i="27"/>
  <c r="H31" i="27"/>
  <c r="J31" i="27"/>
  <c r="L31" i="27"/>
  <c r="I31" i="27"/>
  <c r="K31" i="27"/>
  <c r="M31" i="27"/>
  <c r="N31" i="27"/>
  <c r="H30" i="27"/>
  <c r="J30" i="27"/>
  <c r="L30" i="27"/>
  <c r="I30" i="27"/>
  <c r="K30" i="27"/>
  <c r="M30" i="27"/>
  <c r="N30" i="27"/>
  <c r="H29" i="27"/>
  <c r="J29" i="27"/>
  <c r="L29" i="27"/>
  <c r="I29" i="27"/>
  <c r="K29" i="27"/>
  <c r="M29" i="27"/>
  <c r="N29" i="27"/>
  <c r="H28" i="27"/>
  <c r="J28" i="27"/>
  <c r="L28" i="27"/>
  <c r="I28" i="27"/>
  <c r="K28" i="27"/>
  <c r="M28" i="27"/>
  <c r="N28" i="27"/>
  <c r="H27" i="27"/>
  <c r="J27" i="27"/>
  <c r="L27" i="27"/>
  <c r="I27" i="27"/>
  <c r="K27" i="27"/>
  <c r="M27" i="27"/>
  <c r="N27" i="27"/>
  <c r="O27" i="27"/>
  <c r="H26" i="27"/>
  <c r="J26" i="27"/>
  <c r="L26" i="27"/>
  <c r="I26" i="27"/>
  <c r="K26" i="27"/>
  <c r="M26" i="27"/>
  <c r="N26" i="27"/>
  <c r="H25" i="27"/>
  <c r="J25" i="27"/>
  <c r="L25" i="27"/>
  <c r="I25" i="27"/>
  <c r="K25" i="27"/>
  <c r="M25" i="27"/>
  <c r="N25" i="27"/>
  <c r="E24" i="27"/>
  <c r="H24" i="27"/>
  <c r="J24" i="27"/>
  <c r="L24" i="27"/>
  <c r="I24" i="27"/>
  <c r="K24" i="27"/>
  <c r="M24" i="27"/>
  <c r="N24" i="27"/>
  <c r="O24" i="27"/>
  <c r="H23" i="27"/>
  <c r="J23" i="27"/>
  <c r="L23" i="27"/>
  <c r="I23" i="27"/>
  <c r="K23" i="27"/>
  <c r="M23" i="27"/>
  <c r="N23" i="27"/>
  <c r="H22" i="27"/>
  <c r="J22" i="27"/>
  <c r="L22" i="27"/>
  <c r="I22" i="27"/>
  <c r="K22" i="27"/>
  <c r="M22" i="27"/>
  <c r="N22" i="27"/>
  <c r="O21" i="27"/>
  <c r="H21" i="27"/>
  <c r="J21" i="27"/>
  <c r="L21" i="27"/>
  <c r="I21" i="27"/>
  <c r="K21" i="27"/>
  <c r="M21" i="27"/>
  <c r="N21" i="27"/>
  <c r="H20" i="27"/>
  <c r="J20" i="27"/>
  <c r="L20" i="27"/>
  <c r="I20" i="27"/>
  <c r="K20" i="27"/>
  <c r="M20" i="27"/>
  <c r="N20" i="27"/>
  <c r="O20" i="27"/>
  <c r="H19" i="27"/>
  <c r="J19" i="27"/>
  <c r="L19" i="27"/>
  <c r="I19" i="27"/>
  <c r="K19" i="27"/>
  <c r="M19" i="27"/>
  <c r="N19" i="27"/>
  <c r="H18" i="27"/>
  <c r="J18" i="27"/>
  <c r="L18" i="27"/>
  <c r="I18" i="27"/>
  <c r="K18" i="27"/>
  <c r="M18" i="27"/>
  <c r="N18" i="27"/>
  <c r="O18" i="27"/>
  <c r="H17" i="27"/>
  <c r="J17" i="27"/>
  <c r="L17" i="27"/>
  <c r="I17" i="27"/>
  <c r="K17" i="27"/>
  <c r="M17" i="27"/>
  <c r="N17" i="27"/>
  <c r="H16" i="27"/>
  <c r="J16" i="27"/>
  <c r="L16" i="27"/>
  <c r="I16" i="27"/>
  <c r="K16" i="27"/>
  <c r="M16" i="27"/>
  <c r="N16" i="27"/>
  <c r="E15" i="27"/>
  <c r="H15" i="27"/>
  <c r="J15" i="27"/>
  <c r="L15" i="27"/>
  <c r="F15" i="27"/>
  <c r="I15" i="27"/>
  <c r="K15" i="27"/>
  <c r="M15" i="27"/>
  <c r="N15" i="27"/>
  <c r="O15" i="27"/>
  <c r="H14" i="27"/>
  <c r="J14" i="27"/>
  <c r="L14" i="27"/>
  <c r="I14" i="27"/>
  <c r="K14" i="27"/>
  <c r="M14" i="27"/>
  <c r="N14" i="27"/>
  <c r="H13" i="27"/>
  <c r="J13" i="27"/>
  <c r="L13" i="27"/>
  <c r="I13" i="27"/>
  <c r="K13" i="27"/>
  <c r="M13" i="27"/>
  <c r="N13" i="27"/>
  <c r="O13" i="27"/>
  <c r="H108" i="15"/>
  <c r="H113" i="15"/>
  <c r="H118" i="15"/>
  <c r="H135" i="15"/>
  <c r="H140" i="15"/>
  <c r="H145" i="15"/>
  <c r="H179" i="15"/>
  <c r="H47" i="9"/>
  <c r="H52" i="9"/>
  <c r="H55" i="9"/>
  <c r="H65" i="9"/>
  <c r="H70" i="9"/>
  <c r="H73" i="9"/>
  <c r="H176" i="15"/>
  <c r="H182" i="15"/>
  <c r="H185" i="15"/>
  <c r="H76" i="8"/>
  <c r="I76" i="8"/>
  <c r="J76" i="8"/>
  <c r="K76" i="8"/>
  <c r="L76" i="8"/>
  <c r="M76" i="8"/>
  <c r="N76" i="8"/>
  <c r="O76" i="8"/>
  <c r="P76" i="8"/>
  <c r="Q76" i="8"/>
  <c r="R76" i="8"/>
  <c r="S76" i="8"/>
  <c r="T76" i="8"/>
  <c r="U76" i="8"/>
  <c r="V76" i="8"/>
  <c r="W76" i="8"/>
  <c r="X76" i="8"/>
  <c r="Y76" i="8"/>
  <c r="Z76" i="8"/>
  <c r="AA76" i="8"/>
  <c r="AB76" i="8"/>
  <c r="AC76" i="8"/>
  <c r="AD76" i="8"/>
  <c r="AE76" i="8"/>
  <c r="AF76" i="8"/>
  <c r="AG76" i="8"/>
  <c r="AH76" i="8"/>
  <c r="AI76" i="8"/>
  <c r="AJ76" i="8"/>
  <c r="G76" i="8"/>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G55" i="11"/>
  <c r="P79" i="8"/>
  <c r="P54" i="11"/>
  <c r="P58" i="11"/>
  <c r="N13" i="15"/>
  <c r="N14" i="15"/>
  <c r="N10" i="9"/>
  <c r="D17" i="5"/>
  <c r="N18" i="9"/>
  <c r="D11" i="5"/>
  <c r="C17" i="5"/>
  <c r="F17" i="5"/>
  <c r="I17" i="5"/>
  <c r="AJ79" i="8"/>
  <c r="AJ54" i="11"/>
  <c r="AJ58" i="11"/>
  <c r="AH13" i="15"/>
  <c r="AH14" i="15"/>
  <c r="AH34" i="15"/>
  <c r="D19" i="5"/>
  <c r="C19" i="5"/>
  <c r="F19" i="5"/>
  <c r="I19" i="5"/>
  <c r="AH35" i="15"/>
  <c r="D20" i="5"/>
  <c r="C20" i="5"/>
  <c r="F20" i="5"/>
  <c r="I20" i="5"/>
  <c r="AH37" i="15"/>
  <c r="D21" i="5"/>
  <c r="C21" i="5"/>
  <c r="F21" i="5"/>
  <c r="I21" i="5"/>
  <c r="AH38" i="15"/>
  <c r="D22" i="5"/>
  <c r="C22" i="5"/>
  <c r="F22" i="5"/>
  <c r="I22" i="5"/>
  <c r="AH39" i="15"/>
  <c r="D18" i="5"/>
  <c r="C18" i="5"/>
  <c r="F18" i="5"/>
  <c r="I18" i="5"/>
  <c r="AH40" i="15"/>
  <c r="D23" i="5"/>
  <c r="C23" i="5"/>
  <c r="F23" i="5"/>
  <c r="I23" i="5"/>
  <c r="AH42" i="15"/>
  <c r="D35" i="5"/>
  <c r="C35" i="5"/>
  <c r="Z79" i="8"/>
  <c r="Z54" i="11"/>
  <c r="Z58" i="11"/>
  <c r="X13" i="15"/>
  <c r="X14" i="15"/>
  <c r="D29" i="5"/>
  <c r="C29" i="5"/>
  <c r="D28" i="5"/>
  <c r="C28" i="5"/>
  <c r="F35" i="5"/>
  <c r="D30" i="5"/>
  <c r="C30" i="5"/>
  <c r="H35" i="5"/>
  <c r="AH26" i="15"/>
  <c r="AH31" i="15"/>
  <c r="D36" i="5"/>
  <c r="C36" i="5"/>
  <c r="F36" i="5"/>
  <c r="H36" i="5"/>
  <c r="AH18" i="15"/>
  <c r="AH32" i="15"/>
  <c r="AH43" i="15"/>
  <c r="AH46" i="15"/>
  <c r="F34" i="5"/>
  <c r="H34" i="5"/>
  <c r="AH24" i="15"/>
  <c r="AH30" i="15"/>
  <c r="AH47" i="15"/>
  <c r="AH48" i="15"/>
  <c r="AH49" i="15"/>
  <c r="AH93" i="15"/>
  <c r="X34" i="15"/>
  <c r="X35" i="15"/>
  <c r="X37" i="15"/>
  <c r="X38" i="15"/>
  <c r="X39" i="15"/>
  <c r="X40" i="15"/>
  <c r="X42" i="15"/>
  <c r="X26" i="15"/>
  <c r="X31" i="15"/>
  <c r="X18" i="15"/>
  <c r="X32" i="15"/>
  <c r="X43" i="15"/>
  <c r="X46" i="15"/>
  <c r="X24" i="15"/>
  <c r="X30" i="15"/>
  <c r="X47" i="15"/>
  <c r="X48" i="15"/>
  <c r="X49" i="15"/>
  <c r="X93" i="15"/>
  <c r="AH78" i="15"/>
  <c r="AH94" i="15"/>
  <c r="X94" i="15"/>
  <c r="AH79" i="15"/>
  <c r="AH87" i="15"/>
  <c r="X87" i="15"/>
  <c r="AH72" i="15"/>
  <c r="C24" i="5"/>
  <c r="E17" i="5"/>
  <c r="N16" i="15"/>
  <c r="N19" i="15"/>
  <c r="N20" i="15"/>
  <c r="N21" i="15"/>
  <c r="N34" i="15"/>
  <c r="E19" i="5"/>
  <c r="N35" i="15"/>
  <c r="E20" i="5"/>
  <c r="N37" i="15"/>
  <c r="E21" i="5"/>
  <c r="N38" i="15"/>
  <c r="E22" i="5"/>
  <c r="N39" i="15"/>
  <c r="E18" i="5"/>
  <c r="N40" i="15"/>
  <c r="E23" i="5"/>
  <c r="N42" i="15"/>
  <c r="N26" i="15"/>
  <c r="N31" i="15"/>
  <c r="N18" i="15"/>
  <c r="N32" i="15"/>
  <c r="N43" i="15"/>
  <c r="N46" i="15"/>
  <c r="N30" i="15"/>
  <c r="N47" i="15"/>
  <c r="N48" i="15"/>
  <c r="N49" i="15"/>
  <c r="N93" i="15"/>
  <c r="X78" i="15"/>
  <c r="N94" i="15"/>
  <c r="X79" i="15"/>
  <c r="N87" i="15"/>
  <c r="X72" i="15"/>
  <c r="H46" i="15"/>
  <c r="J79" i="8"/>
  <c r="J54" i="11"/>
  <c r="J58" i="11"/>
  <c r="H14" i="15"/>
  <c r="H30" i="15"/>
  <c r="H10" i="9"/>
  <c r="H34" i="15"/>
  <c r="H43" i="15"/>
  <c r="H47" i="15"/>
  <c r="H48" i="15"/>
  <c r="H49" i="15"/>
  <c r="H93" i="15"/>
  <c r="N78" i="15"/>
  <c r="H94" i="15"/>
  <c r="N79" i="15"/>
  <c r="H87" i="15"/>
  <c r="N72" i="15"/>
  <c r="H79" i="8"/>
  <c r="H54" i="11"/>
  <c r="H58" i="11"/>
  <c r="H56" i="11"/>
  <c r="I79" i="8"/>
  <c r="I54" i="11"/>
  <c r="I58" i="11"/>
  <c r="I56" i="11"/>
  <c r="J56" i="11"/>
  <c r="K79" i="8"/>
  <c r="K54" i="11"/>
  <c r="K58" i="11"/>
  <c r="K56" i="11"/>
  <c r="L79" i="8"/>
  <c r="L54" i="11"/>
  <c r="L58" i="11"/>
  <c r="L56" i="11"/>
  <c r="M79" i="8"/>
  <c r="M54" i="11"/>
  <c r="M58" i="11"/>
  <c r="M56" i="11"/>
  <c r="N79" i="8"/>
  <c r="N54" i="11"/>
  <c r="N58" i="11"/>
  <c r="N56" i="11"/>
  <c r="O79" i="8"/>
  <c r="O54" i="11"/>
  <c r="O58" i="11"/>
  <c r="O56" i="11"/>
  <c r="P56" i="11"/>
  <c r="Q79" i="8"/>
  <c r="Q54" i="11"/>
  <c r="Q58" i="11"/>
  <c r="Q56" i="11"/>
  <c r="R79" i="8"/>
  <c r="R54" i="11"/>
  <c r="R58" i="11"/>
  <c r="R56" i="11"/>
  <c r="S79" i="8"/>
  <c r="S54" i="11"/>
  <c r="S58" i="11"/>
  <c r="S56" i="11"/>
  <c r="T79" i="8"/>
  <c r="T54" i="11"/>
  <c r="T58" i="11"/>
  <c r="T56" i="11"/>
  <c r="U79" i="8"/>
  <c r="U54" i="11"/>
  <c r="U58" i="11"/>
  <c r="U56" i="11"/>
  <c r="V79" i="8"/>
  <c r="V54" i="11"/>
  <c r="V58" i="11"/>
  <c r="V56" i="11"/>
  <c r="W79" i="8"/>
  <c r="W54" i="11"/>
  <c r="W58" i="11"/>
  <c r="W56" i="11"/>
  <c r="X79" i="8"/>
  <c r="X54" i="11"/>
  <c r="X58" i="11"/>
  <c r="X56" i="11"/>
  <c r="Y79" i="8"/>
  <c r="Y54" i="11"/>
  <c r="Y58" i="11"/>
  <c r="Y56" i="11"/>
  <c r="Z56" i="11"/>
  <c r="AA79" i="8"/>
  <c r="AA54" i="11"/>
  <c r="AA58" i="11"/>
  <c r="AA56" i="11"/>
  <c r="AB79" i="8"/>
  <c r="AB54" i="11"/>
  <c r="AB58" i="11"/>
  <c r="AB56" i="11"/>
  <c r="AC79" i="8"/>
  <c r="AC54" i="11"/>
  <c r="AC58" i="11"/>
  <c r="AC56" i="11"/>
  <c r="AD79" i="8"/>
  <c r="AD54" i="11"/>
  <c r="AD58" i="11"/>
  <c r="AD56" i="11"/>
  <c r="AE79" i="8"/>
  <c r="AE54" i="11"/>
  <c r="AE58" i="11"/>
  <c r="AE56" i="11"/>
  <c r="AF79" i="8"/>
  <c r="AF54" i="11"/>
  <c r="AF58" i="11"/>
  <c r="AF56" i="11"/>
  <c r="AG79" i="8"/>
  <c r="AG54" i="11"/>
  <c r="AG58" i="11"/>
  <c r="AG56" i="11"/>
  <c r="AH79" i="8"/>
  <c r="AH54" i="11"/>
  <c r="AH58" i="11"/>
  <c r="AH56" i="11"/>
  <c r="AI79" i="8"/>
  <c r="AI54" i="11"/>
  <c r="AI58" i="11"/>
  <c r="AI56" i="11"/>
  <c r="AJ56" i="11"/>
  <c r="G79" i="8"/>
  <c r="G54" i="11"/>
  <c r="G58" i="11"/>
  <c r="G56" i="11"/>
  <c r="H74" i="8"/>
  <c r="H78" i="8"/>
  <c r="I74" i="8"/>
  <c r="I78" i="8"/>
  <c r="J74" i="8"/>
  <c r="J78" i="8"/>
  <c r="K74" i="8"/>
  <c r="K78" i="8"/>
  <c r="L74" i="8"/>
  <c r="L78" i="8"/>
  <c r="M74" i="8"/>
  <c r="M78" i="8"/>
  <c r="N74" i="8"/>
  <c r="N78" i="8"/>
  <c r="O74" i="8"/>
  <c r="O78" i="8"/>
  <c r="P74" i="8"/>
  <c r="P78" i="8"/>
  <c r="Q74" i="8"/>
  <c r="Q78" i="8"/>
  <c r="R74" i="8"/>
  <c r="R78" i="8"/>
  <c r="S74" i="8"/>
  <c r="S78" i="8"/>
  <c r="T74" i="8"/>
  <c r="T78" i="8"/>
  <c r="U74" i="8"/>
  <c r="U78" i="8"/>
  <c r="V74" i="8"/>
  <c r="V78" i="8"/>
  <c r="W74" i="8"/>
  <c r="W78" i="8"/>
  <c r="X74" i="8"/>
  <c r="X78" i="8"/>
  <c r="Y74" i="8"/>
  <c r="Y78" i="8"/>
  <c r="Z74" i="8"/>
  <c r="Z78" i="8"/>
  <c r="AA74" i="8"/>
  <c r="AA78" i="8"/>
  <c r="AB74" i="8"/>
  <c r="AB78" i="8"/>
  <c r="AC74" i="8"/>
  <c r="AC78" i="8"/>
  <c r="AD74" i="8"/>
  <c r="AD78" i="8"/>
  <c r="AE74" i="8"/>
  <c r="AE78" i="8"/>
  <c r="AF74" i="8"/>
  <c r="AF78" i="8"/>
  <c r="AG74" i="8"/>
  <c r="AG78" i="8"/>
  <c r="AH74" i="8"/>
  <c r="AH78" i="8"/>
  <c r="AI74" i="8"/>
  <c r="AI78" i="8"/>
  <c r="AJ74" i="8"/>
  <c r="AJ78" i="8"/>
  <c r="G74" i="8"/>
  <c r="G78" i="8"/>
  <c r="C76" i="8"/>
  <c r="D76" i="8"/>
  <c r="E76" i="8"/>
  <c r="F76" i="8"/>
  <c r="B76" i="8"/>
  <c r="B56" i="11"/>
  <c r="C56" i="11"/>
  <c r="D56" i="11"/>
  <c r="E56" i="11"/>
  <c r="F56" i="11"/>
  <c r="C55" i="11"/>
  <c r="D55" i="11"/>
  <c r="E55" i="11"/>
  <c r="F55" i="11"/>
  <c r="B55" i="11"/>
  <c r="C54" i="11"/>
  <c r="D54" i="11"/>
  <c r="E54" i="11"/>
  <c r="F54" i="11"/>
  <c r="B54" i="11"/>
  <c r="C52" i="11"/>
  <c r="D52" i="11"/>
  <c r="E52" i="11"/>
  <c r="F52" i="11"/>
  <c r="B52" i="11"/>
  <c r="B50" i="11"/>
  <c r="C50" i="11"/>
  <c r="D50" i="11"/>
  <c r="E50" i="11"/>
  <c r="F50" i="11"/>
  <c r="B51" i="11"/>
  <c r="C51" i="11"/>
  <c r="D51" i="11"/>
  <c r="E51" i="11"/>
  <c r="F51" i="11"/>
  <c r="C49" i="11"/>
  <c r="D49" i="11"/>
  <c r="E49" i="11"/>
  <c r="F49" i="11"/>
  <c r="B49" i="11"/>
  <c r="C79" i="8"/>
  <c r="D79" i="8"/>
  <c r="E79" i="8"/>
  <c r="F79" i="8"/>
  <c r="B79" i="8"/>
  <c r="C78" i="8"/>
  <c r="D78" i="8"/>
  <c r="E78" i="8"/>
  <c r="F78" i="8"/>
  <c r="B78" i="8"/>
  <c r="C77" i="8"/>
  <c r="D77" i="8"/>
  <c r="E77" i="8"/>
  <c r="F77" i="8"/>
  <c r="B77" i="8"/>
  <c r="C75" i="8"/>
  <c r="D75" i="8"/>
  <c r="E75" i="8"/>
  <c r="F75" i="8"/>
  <c r="B75" i="8"/>
  <c r="C74" i="8"/>
  <c r="D74" i="8"/>
  <c r="E74" i="8"/>
  <c r="F74" i="8"/>
  <c r="B74" i="8"/>
  <c r="C73" i="8"/>
  <c r="D73" i="8"/>
  <c r="E73" i="8"/>
  <c r="F73" i="8"/>
  <c r="B73" i="8"/>
  <c r="H52" i="11"/>
  <c r="I52" i="11"/>
  <c r="J52" i="11"/>
  <c r="K52" i="11"/>
  <c r="L52" i="11"/>
  <c r="M52" i="11"/>
  <c r="N52" i="11"/>
  <c r="O52" i="11"/>
  <c r="P52" i="11"/>
  <c r="Q52" i="11"/>
  <c r="R52" i="11"/>
  <c r="S52" i="11"/>
  <c r="T52" i="11"/>
  <c r="U52" i="11"/>
  <c r="V52" i="11"/>
  <c r="W52" i="11"/>
  <c r="X52" i="11"/>
  <c r="Y52" i="11"/>
  <c r="Z52" i="11"/>
  <c r="AA52" i="11"/>
  <c r="AB52" i="11"/>
  <c r="AC52" i="11"/>
  <c r="AD52" i="11"/>
  <c r="AE52" i="11"/>
  <c r="AF52" i="11"/>
  <c r="AG52" i="11"/>
  <c r="AH52" i="11"/>
  <c r="AI52" i="11"/>
  <c r="AJ52" i="11"/>
  <c r="G52" i="11"/>
  <c r="H49" i="11"/>
  <c r="H50" i="11"/>
  <c r="H51" i="11"/>
  <c r="I49" i="11"/>
  <c r="I50" i="11"/>
  <c r="I51" i="11"/>
  <c r="J49" i="11"/>
  <c r="J50" i="11"/>
  <c r="J51" i="11"/>
  <c r="K49" i="11"/>
  <c r="K50" i="11"/>
  <c r="K51" i="11"/>
  <c r="L49" i="11"/>
  <c r="L50" i="11"/>
  <c r="L51" i="11"/>
  <c r="M49" i="11"/>
  <c r="M50" i="11"/>
  <c r="M51" i="11"/>
  <c r="N49" i="11"/>
  <c r="N50" i="11"/>
  <c r="N51" i="11"/>
  <c r="O49" i="11"/>
  <c r="O50" i="11"/>
  <c r="O51" i="11"/>
  <c r="P49" i="11"/>
  <c r="P50" i="11"/>
  <c r="P51" i="11"/>
  <c r="Q49" i="11"/>
  <c r="Q50" i="11"/>
  <c r="Q51" i="11"/>
  <c r="R49" i="11"/>
  <c r="R50" i="11"/>
  <c r="R51" i="11"/>
  <c r="S49" i="11"/>
  <c r="S50" i="11"/>
  <c r="S51" i="11"/>
  <c r="T49" i="11"/>
  <c r="T50" i="11"/>
  <c r="T51" i="11"/>
  <c r="U49" i="11"/>
  <c r="U50" i="11"/>
  <c r="U51" i="11"/>
  <c r="V49" i="11"/>
  <c r="V50" i="11"/>
  <c r="V51" i="11"/>
  <c r="W49" i="11"/>
  <c r="W50" i="11"/>
  <c r="W51" i="11"/>
  <c r="X49" i="11"/>
  <c r="X50" i="11"/>
  <c r="X51" i="11"/>
  <c r="Y49" i="11"/>
  <c r="Y50" i="11"/>
  <c r="Y51" i="11"/>
  <c r="Z49" i="11"/>
  <c r="Z50" i="11"/>
  <c r="Z51" i="11"/>
  <c r="AA49" i="11"/>
  <c r="AA50" i="11"/>
  <c r="AA51" i="11"/>
  <c r="AB49" i="11"/>
  <c r="AB50" i="11"/>
  <c r="AB51" i="11"/>
  <c r="AC49" i="11"/>
  <c r="AC50" i="11"/>
  <c r="AC51" i="11"/>
  <c r="AD49" i="11"/>
  <c r="AD50" i="11"/>
  <c r="AD51" i="11"/>
  <c r="AE49" i="11"/>
  <c r="AE50" i="11"/>
  <c r="AE51" i="11"/>
  <c r="AF49" i="11"/>
  <c r="AF50" i="11"/>
  <c r="AF51" i="11"/>
  <c r="AG49" i="11"/>
  <c r="AG50" i="11"/>
  <c r="AG51" i="11"/>
  <c r="AH49" i="11"/>
  <c r="AH50" i="11"/>
  <c r="AH51" i="11"/>
  <c r="AI49" i="11"/>
  <c r="AI50" i="11"/>
  <c r="AI51" i="11"/>
  <c r="AJ49" i="11"/>
  <c r="AJ50" i="11"/>
  <c r="AJ51" i="11"/>
  <c r="AH16" i="15"/>
  <c r="Z13" i="15"/>
  <c r="Z14" i="15"/>
  <c r="N8" i="9"/>
  <c r="P73" i="8"/>
  <c r="N7" i="9"/>
  <c r="N11" i="9"/>
  <c r="P75" i="8"/>
  <c r="N12" i="9"/>
  <c r="N16" i="9"/>
  <c r="N13" i="9"/>
  <c r="N14" i="9"/>
  <c r="X8" i="9"/>
  <c r="Z73" i="8"/>
  <c r="X7" i="9"/>
  <c r="Z60" i="11"/>
  <c r="X58" i="15"/>
  <c r="AJ60" i="11"/>
  <c r="AH86" i="15"/>
  <c r="X86" i="15"/>
  <c r="AH71" i="15"/>
  <c r="Y58" i="15"/>
  <c r="Z58" i="15"/>
  <c r="Z10" i="9"/>
  <c r="Z34" i="15"/>
  <c r="Y26" i="15"/>
  <c r="Z26" i="15"/>
  <c r="Z31" i="15"/>
  <c r="Y18" i="15"/>
  <c r="Z18" i="15"/>
  <c r="Z32" i="15"/>
  <c r="X59" i="15"/>
  <c r="Y59" i="15"/>
  <c r="Z59" i="15"/>
  <c r="Z11" i="9"/>
  <c r="Z35" i="15"/>
  <c r="X61" i="15"/>
  <c r="AH89" i="15"/>
  <c r="X89" i="15"/>
  <c r="AH74" i="15"/>
  <c r="Y61" i="15"/>
  <c r="Z61" i="15"/>
  <c r="AB75" i="8"/>
  <c r="Z12" i="9"/>
  <c r="Z37" i="15"/>
  <c r="X62" i="15"/>
  <c r="AH90" i="15"/>
  <c r="X90" i="15"/>
  <c r="AH75" i="15"/>
  <c r="Y62" i="15"/>
  <c r="Z62" i="15"/>
  <c r="Z13" i="9"/>
  <c r="Z38" i="15"/>
  <c r="X63" i="15"/>
  <c r="AH91" i="15"/>
  <c r="X91" i="15"/>
  <c r="AH76" i="15"/>
  <c r="Y63" i="15"/>
  <c r="Z63" i="15"/>
  <c r="Z14" i="9"/>
  <c r="Z39" i="15"/>
  <c r="X64" i="15"/>
  <c r="AH92" i="15"/>
  <c r="X92" i="15"/>
  <c r="AH77" i="15"/>
  <c r="Y64" i="15"/>
  <c r="Z64" i="15"/>
  <c r="Z40" i="15"/>
  <c r="X66" i="15"/>
  <c r="Y66" i="15"/>
  <c r="Z66" i="15"/>
  <c r="Z16" i="9"/>
  <c r="Z42" i="15"/>
  <c r="Z43" i="15"/>
  <c r="Y24" i="15"/>
  <c r="Z24" i="15"/>
  <c r="Z30" i="15"/>
  <c r="Z46" i="15"/>
  <c r="AB60" i="11"/>
  <c r="Z47" i="15"/>
  <c r="Z48" i="15"/>
  <c r="Z49" i="15"/>
  <c r="Z86" i="15"/>
  <c r="Z87" i="15"/>
  <c r="Z88" i="15"/>
  <c r="Z89" i="15"/>
  <c r="Z90" i="15"/>
  <c r="Z91" i="15"/>
  <c r="Z92" i="15"/>
  <c r="Z93" i="15"/>
  <c r="Z94" i="15"/>
  <c r="Z95" i="15"/>
  <c r="Z16" i="15"/>
  <c r="AA13" i="15"/>
  <c r="AA14" i="15"/>
  <c r="AA58" i="15"/>
  <c r="AA10" i="9"/>
  <c r="AA34" i="15"/>
  <c r="AA26" i="15"/>
  <c r="AA31" i="15"/>
  <c r="AA18" i="15"/>
  <c r="AA32" i="15"/>
  <c r="AA59" i="15"/>
  <c r="AA11" i="9"/>
  <c r="AA35" i="15"/>
  <c r="AA61" i="15"/>
  <c r="AC75" i="8"/>
  <c r="AA12" i="9"/>
  <c r="AA37" i="15"/>
  <c r="AA62" i="15"/>
  <c r="AA13" i="9"/>
  <c r="AA38" i="15"/>
  <c r="AA63" i="15"/>
  <c r="AA14" i="9"/>
  <c r="AA39" i="15"/>
  <c r="AA64" i="15"/>
  <c r="AA40" i="15"/>
  <c r="AA66" i="15"/>
  <c r="AA16" i="9"/>
  <c r="AA42" i="15"/>
  <c r="AA43" i="15"/>
  <c r="AA24" i="15"/>
  <c r="AA30" i="15"/>
  <c r="AA46" i="15"/>
  <c r="AC60" i="11"/>
  <c r="AA47" i="15"/>
  <c r="AA48" i="15"/>
  <c r="AA49" i="15"/>
  <c r="AA86" i="15"/>
  <c r="AA87" i="15"/>
  <c r="AA88" i="15"/>
  <c r="AA89" i="15"/>
  <c r="AA90" i="15"/>
  <c r="AA91" i="15"/>
  <c r="AA92" i="15"/>
  <c r="AA93" i="15"/>
  <c r="AA94" i="15"/>
  <c r="AA95" i="15"/>
  <c r="AA16" i="15"/>
  <c r="AB13" i="15"/>
  <c r="AB14" i="15"/>
  <c r="AB58" i="15"/>
  <c r="AB10" i="9"/>
  <c r="AB34" i="15"/>
  <c r="AB26" i="15"/>
  <c r="AB31" i="15"/>
  <c r="AB18" i="15"/>
  <c r="AB32" i="15"/>
  <c r="AB59" i="15"/>
  <c r="AB11" i="9"/>
  <c r="AB35" i="15"/>
  <c r="AB61" i="15"/>
  <c r="AD75" i="8"/>
  <c r="AB12" i="9"/>
  <c r="AB37" i="15"/>
  <c r="AB62" i="15"/>
  <c r="AB13" i="9"/>
  <c r="AB38" i="15"/>
  <c r="AB63" i="15"/>
  <c r="AB14" i="9"/>
  <c r="AB39" i="15"/>
  <c r="AB64" i="15"/>
  <c r="AB40" i="15"/>
  <c r="AB66" i="15"/>
  <c r="AB16" i="9"/>
  <c r="AB42" i="15"/>
  <c r="AB43" i="15"/>
  <c r="AB24" i="15"/>
  <c r="AB30" i="15"/>
  <c r="AB46" i="15"/>
  <c r="AD60" i="11"/>
  <c r="AB47" i="15"/>
  <c r="AB48" i="15"/>
  <c r="AB49" i="15"/>
  <c r="AB86" i="15"/>
  <c r="AB87" i="15"/>
  <c r="AB88" i="15"/>
  <c r="AB89" i="15"/>
  <c r="AB90" i="15"/>
  <c r="AB91" i="15"/>
  <c r="AB92" i="15"/>
  <c r="AB93" i="15"/>
  <c r="AB94" i="15"/>
  <c r="AB95" i="15"/>
  <c r="AB16" i="15"/>
  <c r="AC58" i="15"/>
  <c r="AC13" i="15"/>
  <c r="AC14" i="15"/>
  <c r="AC10" i="9"/>
  <c r="AC34" i="15"/>
  <c r="AC26" i="15"/>
  <c r="AC31" i="15"/>
  <c r="AC18" i="15"/>
  <c r="AC32" i="15"/>
  <c r="AC59" i="15"/>
  <c r="AC11" i="9"/>
  <c r="AC35" i="15"/>
  <c r="AC61" i="15"/>
  <c r="AE75" i="8"/>
  <c r="AC12" i="9"/>
  <c r="AC37" i="15"/>
  <c r="AC62" i="15"/>
  <c r="AC13" i="9"/>
  <c r="AC38" i="15"/>
  <c r="AC63" i="15"/>
  <c r="AC14" i="9"/>
  <c r="AC39" i="15"/>
  <c r="AC64" i="15"/>
  <c r="AC40" i="15"/>
  <c r="AC66" i="15"/>
  <c r="AC16" i="9"/>
  <c r="AC42" i="15"/>
  <c r="AC43" i="15"/>
  <c r="AC24" i="15"/>
  <c r="AC30" i="15"/>
  <c r="AC46" i="15"/>
  <c r="AE60" i="11"/>
  <c r="AC47" i="15"/>
  <c r="AC48" i="15"/>
  <c r="AC49" i="15"/>
  <c r="AC86" i="15"/>
  <c r="AC87" i="15"/>
  <c r="AC88" i="15"/>
  <c r="AC89" i="15"/>
  <c r="AC90" i="15"/>
  <c r="AC91" i="15"/>
  <c r="AC92" i="15"/>
  <c r="AC93" i="15"/>
  <c r="AC94" i="15"/>
  <c r="AC95" i="15"/>
  <c r="AC16" i="15"/>
  <c r="AD58" i="15"/>
  <c r="AD13" i="15"/>
  <c r="AD14" i="15"/>
  <c r="AD10" i="9"/>
  <c r="AD34" i="15"/>
  <c r="AD26" i="15"/>
  <c r="AD31" i="15"/>
  <c r="AD18" i="15"/>
  <c r="AD32" i="15"/>
  <c r="AD59" i="15"/>
  <c r="AD11" i="9"/>
  <c r="AD35" i="15"/>
  <c r="AD61" i="15"/>
  <c r="AF75" i="8"/>
  <c r="AD12" i="9"/>
  <c r="AD37" i="15"/>
  <c r="AD62" i="15"/>
  <c r="AD13" i="9"/>
  <c r="AD38" i="15"/>
  <c r="AD63" i="15"/>
  <c r="AD14" i="9"/>
  <c r="AD39" i="15"/>
  <c r="AD64" i="15"/>
  <c r="AD40" i="15"/>
  <c r="AD66" i="15"/>
  <c r="AD16" i="9"/>
  <c r="AD42" i="15"/>
  <c r="AD43" i="15"/>
  <c r="AD24" i="15"/>
  <c r="AD30" i="15"/>
  <c r="AD46" i="15"/>
  <c r="AF60" i="11"/>
  <c r="AD47" i="15"/>
  <c r="AD48" i="15"/>
  <c r="AD49" i="15"/>
  <c r="AD86" i="15"/>
  <c r="AD87" i="15"/>
  <c r="AD88" i="15"/>
  <c r="AD89" i="15"/>
  <c r="AD90" i="15"/>
  <c r="AD91" i="15"/>
  <c r="AD92" i="15"/>
  <c r="AD93" i="15"/>
  <c r="AD94" i="15"/>
  <c r="AD95" i="15"/>
  <c r="AD16" i="15"/>
  <c r="AE58" i="15"/>
  <c r="AE13" i="15"/>
  <c r="AE14" i="15"/>
  <c r="AE10" i="9"/>
  <c r="AE34" i="15"/>
  <c r="AE26" i="15"/>
  <c r="AE31" i="15"/>
  <c r="AE18" i="15"/>
  <c r="AE32" i="15"/>
  <c r="AE59" i="15"/>
  <c r="AE11" i="9"/>
  <c r="AE35" i="15"/>
  <c r="AE61" i="15"/>
  <c r="AG75" i="8"/>
  <c r="AE12" i="9"/>
  <c r="AE37" i="15"/>
  <c r="AE62" i="15"/>
  <c r="AE13" i="9"/>
  <c r="AE38" i="15"/>
  <c r="AE63" i="15"/>
  <c r="AE14" i="9"/>
  <c r="AE39" i="15"/>
  <c r="AE64" i="15"/>
  <c r="AE40" i="15"/>
  <c r="AE66" i="15"/>
  <c r="AE16" i="9"/>
  <c r="AE42" i="15"/>
  <c r="AE43" i="15"/>
  <c r="AE24" i="15"/>
  <c r="AE30" i="15"/>
  <c r="AE46" i="15"/>
  <c r="AG60" i="11"/>
  <c r="AE47" i="15"/>
  <c r="AE48" i="15"/>
  <c r="AE49" i="15"/>
  <c r="AE86" i="15"/>
  <c r="AE87" i="15"/>
  <c r="AE88" i="15"/>
  <c r="AE89" i="15"/>
  <c r="AE90" i="15"/>
  <c r="AE91" i="15"/>
  <c r="AE92" i="15"/>
  <c r="AE93" i="15"/>
  <c r="AE94" i="15"/>
  <c r="AE95" i="15"/>
  <c r="AE16" i="15"/>
  <c r="AF58" i="15"/>
  <c r="AF13" i="15"/>
  <c r="AF14" i="15"/>
  <c r="AF10" i="9"/>
  <c r="AF34" i="15"/>
  <c r="AF26" i="15"/>
  <c r="AF31" i="15"/>
  <c r="AF18" i="15"/>
  <c r="AF32" i="15"/>
  <c r="AF59" i="15"/>
  <c r="AF11" i="9"/>
  <c r="AF35" i="15"/>
  <c r="AF61" i="15"/>
  <c r="AH75" i="8"/>
  <c r="AF12" i="9"/>
  <c r="AF37" i="15"/>
  <c r="AF62" i="15"/>
  <c r="AF13" i="9"/>
  <c r="AF38" i="15"/>
  <c r="AF63" i="15"/>
  <c r="AF14" i="9"/>
  <c r="AF39" i="15"/>
  <c r="AF64" i="15"/>
  <c r="AF40" i="15"/>
  <c r="AF66" i="15"/>
  <c r="AF16" i="9"/>
  <c r="AF42" i="15"/>
  <c r="AF43" i="15"/>
  <c r="AF24" i="15"/>
  <c r="AF30" i="15"/>
  <c r="AF46" i="15"/>
  <c r="AH60" i="11"/>
  <c r="AF47" i="15"/>
  <c r="AF48" i="15"/>
  <c r="AF49" i="15"/>
  <c r="AF86" i="15"/>
  <c r="AF87" i="15"/>
  <c r="AF88" i="15"/>
  <c r="AF89" i="15"/>
  <c r="AF90" i="15"/>
  <c r="AF91" i="15"/>
  <c r="AF92" i="15"/>
  <c r="AF93" i="15"/>
  <c r="AF94" i="15"/>
  <c r="AF95" i="15"/>
  <c r="AF16" i="15"/>
  <c r="AG58" i="15"/>
  <c r="AG13" i="15"/>
  <c r="AG14" i="15"/>
  <c r="AG10" i="9"/>
  <c r="AG34" i="15"/>
  <c r="AG26" i="15"/>
  <c r="AG31" i="15"/>
  <c r="AG18" i="15"/>
  <c r="AG32" i="15"/>
  <c r="AG59" i="15"/>
  <c r="AG11" i="9"/>
  <c r="AG35" i="15"/>
  <c r="AG61" i="15"/>
  <c r="AI75" i="8"/>
  <c r="AG12" i="9"/>
  <c r="AG37" i="15"/>
  <c r="AG62" i="15"/>
  <c r="AG13" i="9"/>
  <c r="AG38" i="15"/>
  <c r="AG63" i="15"/>
  <c r="AG14" i="9"/>
  <c r="AG39" i="15"/>
  <c r="AG64" i="15"/>
  <c r="AG40" i="15"/>
  <c r="AG66" i="15"/>
  <c r="AG16" i="9"/>
  <c r="AG42" i="15"/>
  <c r="AG43" i="15"/>
  <c r="AG24" i="15"/>
  <c r="AG30" i="15"/>
  <c r="AG46" i="15"/>
  <c r="AI60" i="11"/>
  <c r="AG47" i="15"/>
  <c r="AG48" i="15"/>
  <c r="AG49" i="15"/>
  <c r="AG86" i="15"/>
  <c r="AG87" i="15"/>
  <c r="AG88" i="15"/>
  <c r="AG89" i="15"/>
  <c r="AG90" i="15"/>
  <c r="AG91" i="15"/>
  <c r="AG92" i="15"/>
  <c r="AG93" i="15"/>
  <c r="AG94" i="15"/>
  <c r="AG95" i="15"/>
  <c r="AG16" i="15"/>
  <c r="Y13" i="15"/>
  <c r="Y14" i="15"/>
  <c r="Y10" i="9"/>
  <c r="Y34" i="15"/>
  <c r="Y31" i="15"/>
  <c r="Y32" i="15"/>
  <c r="Y11" i="9"/>
  <c r="Y35" i="15"/>
  <c r="AA75" i="8"/>
  <c r="Y12" i="9"/>
  <c r="Y37" i="15"/>
  <c r="Y13" i="9"/>
  <c r="Y38" i="15"/>
  <c r="Y14" i="9"/>
  <c r="Y39" i="15"/>
  <c r="Y40" i="15"/>
  <c r="Y16" i="9"/>
  <c r="Y42" i="15"/>
  <c r="Y43" i="15"/>
  <c r="Y30" i="15"/>
  <c r="Y46" i="15"/>
  <c r="AA60" i="11"/>
  <c r="Y47" i="15"/>
  <c r="Y48" i="15"/>
  <c r="Y49" i="15"/>
  <c r="Y86" i="15"/>
  <c r="Y87" i="15"/>
  <c r="Y88" i="15"/>
  <c r="Y89" i="15"/>
  <c r="Y90" i="15"/>
  <c r="Y91" i="15"/>
  <c r="Y92" i="15"/>
  <c r="Y93" i="15"/>
  <c r="Y94" i="15"/>
  <c r="Y95" i="15"/>
  <c r="Y16" i="15"/>
  <c r="G11" i="5"/>
  <c r="E11" i="5"/>
  <c r="H77" i="8"/>
  <c r="I77" i="8"/>
  <c r="J77" i="8"/>
  <c r="K77" i="8"/>
  <c r="L77" i="8"/>
  <c r="M77" i="8"/>
  <c r="N77" i="8"/>
  <c r="O77" i="8"/>
  <c r="P77" i="8"/>
  <c r="Q77" i="8"/>
  <c r="R77" i="8"/>
  <c r="S77" i="8"/>
  <c r="T77" i="8"/>
  <c r="U77" i="8"/>
  <c r="V77" i="8"/>
  <c r="W77" i="8"/>
  <c r="X77" i="8"/>
  <c r="Y77" i="8"/>
  <c r="Z77" i="8"/>
  <c r="AA77" i="8"/>
  <c r="AB77" i="8"/>
  <c r="AC77" i="8"/>
  <c r="AD77" i="8"/>
  <c r="AE77" i="8"/>
  <c r="AF77" i="8"/>
  <c r="AG77" i="8"/>
  <c r="AH77" i="8"/>
  <c r="AI77" i="8"/>
  <c r="AJ77" i="8"/>
  <c r="G77" i="8"/>
  <c r="H75" i="8"/>
  <c r="I75" i="8"/>
  <c r="J75" i="8"/>
  <c r="K75" i="8"/>
  <c r="L75" i="8"/>
  <c r="M75" i="8"/>
  <c r="N75" i="8"/>
  <c r="O75" i="8"/>
  <c r="Q75" i="8"/>
  <c r="R75" i="8"/>
  <c r="S75" i="8"/>
  <c r="T75" i="8"/>
  <c r="U75" i="8"/>
  <c r="V75" i="8"/>
  <c r="W75" i="8"/>
  <c r="X75" i="8"/>
  <c r="Y75" i="8"/>
  <c r="Z75" i="8"/>
  <c r="AJ75" i="8"/>
  <c r="G75" i="8"/>
  <c r="H73" i="8"/>
  <c r="I73" i="8"/>
  <c r="J73" i="8"/>
  <c r="K73" i="8"/>
  <c r="L73" i="8"/>
  <c r="M73" i="8"/>
  <c r="N73" i="8"/>
  <c r="O73" i="8"/>
  <c r="Q73" i="8"/>
  <c r="R73" i="8"/>
  <c r="S73" i="8"/>
  <c r="T73" i="8"/>
  <c r="U73" i="8"/>
  <c r="V73" i="8"/>
  <c r="W73" i="8"/>
  <c r="X73" i="8"/>
  <c r="Y73" i="8"/>
  <c r="AA73" i="8"/>
  <c r="AB73" i="8"/>
  <c r="AC73" i="8"/>
  <c r="AD73" i="8"/>
  <c r="AE73" i="8"/>
  <c r="AF73" i="8"/>
  <c r="AG73" i="8"/>
  <c r="AH73" i="8"/>
  <c r="AI73" i="8"/>
  <c r="AJ73" i="8"/>
  <c r="G73" i="8"/>
  <c r="G50" i="11"/>
  <c r="G51" i="11"/>
  <c r="G49" i="11"/>
  <c r="B58" i="11"/>
  <c r="C58" i="11"/>
  <c r="D58" i="11"/>
  <c r="E58" i="11"/>
  <c r="F58" i="11"/>
  <c r="X10" i="9"/>
  <c r="X11" i="9"/>
  <c r="X12" i="9"/>
  <c r="X13" i="9"/>
  <c r="X14" i="9"/>
  <c r="X16" i="9"/>
  <c r="X18" i="9"/>
  <c r="D12" i="5"/>
  <c r="E12" i="5"/>
  <c r="AH8" i="9"/>
  <c r="AH7" i="9"/>
  <c r="AH10" i="9"/>
  <c r="AH11" i="9"/>
  <c r="AH12" i="9"/>
  <c r="AH13" i="9"/>
  <c r="AH14" i="9"/>
  <c r="AH16" i="9"/>
  <c r="AH18" i="9"/>
  <c r="D13" i="5"/>
  <c r="E13" i="5"/>
  <c r="G13" i="5"/>
  <c r="G12" i="5"/>
  <c r="E60" i="11"/>
  <c r="F60" i="11"/>
  <c r="G60" i="11"/>
  <c r="H60" i="11"/>
  <c r="I60" i="11"/>
  <c r="J60" i="11"/>
  <c r="K60" i="11"/>
  <c r="L60" i="11"/>
  <c r="M60" i="11"/>
  <c r="N60" i="11"/>
  <c r="O60" i="11"/>
  <c r="P60" i="11"/>
  <c r="Q60" i="11"/>
  <c r="R60" i="11"/>
  <c r="S60" i="11"/>
  <c r="T60" i="11"/>
  <c r="U60" i="11"/>
  <c r="V60" i="11"/>
  <c r="W60" i="11"/>
  <c r="X60" i="11"/>
  <c r="Y60" i="11"/>
  <c r="B61"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B62" i="11"/>
  <c r="C62"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G64" i="11"/>
  <c r="H64" i="11"/>
  <c r="I64" i="11"/>
  <c r="J64" i="11"/>
  <c r="K64" i="11"/>
  <c r="L64" i="11"/>
  <c r="M64" i="11"/>
  <c r="N64" i="11"/>
  <c r="O64" i="11"/>
  <c r="P64" i="11"/>
  <c r="Q64" i="11"/>
  <c r="R64" i="11"/>
  <c r="S64" i="11"/>
  <c r="T64" i="11"/>
  <c r="U64" i="11"/>
  <c r="H65" i="11"/>
  <c r="I65" i="11"/>
  <c r="J65" i="11"/>
  <c r="K65" i="11"/>
  <c r="L65" i="11"/>
  <c r="M65" i="11"/>
  <c r="N65" i="11"/>
  <c r="O65" i="11"/>
  <c r="P65" i="11"/>
  <c r="Q65" i="11"/>
  <c r="R65" i="11"/>
  <c r="S65" i="11"/>
  <c r="T65" i="11"/>
  <c r="U65" i="11"/>
  <c r="B66" i="11"/>
  <c r="C66" i="11"/>
  <c r="D66" i="11"/>
  <c r="E66" i="11"/>
  <c r="F66" i="11"/>
  <c r="G66" i="11"/>
  <c r="H66" i="11"/>
  <c r="I66" i="11"/>
  <c r="J66" i="11"/>
  <c r="K66" i="11"/>
  <c r="L66" i="11"/>
  <c r="M66" i="11"/>
  <c r="N66" i="11"/>
  <c r="O66" i="11"/>
  <c r="P66" i="11"/>
  <c r="Q66" i="11"/>
  <c r="R66" i="11"/>
  <c r="S66" i="11"/>
  <c r="T66" i="11"/>
  <c r="U66" i="11"/>
  <c r="V66" i="11"/>
  <c r="W66" i="11"/>
  <c r="X66" i="11"/>
  <c r="Y66" i="11"/>
  <c r="Z66" i="11"/>
  <c r="AA66" i="11"/>
  <c r="AB66" i="11"/>
  <c r="AC66" i="11"/>
  <c r="AD66" i="11"/>
  <c r="AE66" i="11"/>
  <c r="AF66" i="11"/>
  <c r="AG66" i="11"/>
  <c r="AH66" i="11"/>
  <c r="AI66" i="11"/>
  <c r="AJ66" i="11"/>
  <c r="C32" i="15"/>
  <c r="C13" i="9"/>
  <c r="C38" i="15"/>
  <c r="C14" i="9"/>
  <c r="C39" i="15"/>
  <c r="C7" i="9"/>
  <c r="C31" i="15"/>
  <c r="C34" i="15"/>
  <c r="C35" i="15"/>
  <c r="C37" i="15"/>
  <c r="C42" i="15"/>
  <c r="C40" i="15"/>
  <c r="C43" i="15"/>
  <c r="C46" i="15"/>
  <c r="C14" i="15"/>
  <c r="C47" i="15"/>
  <c r="C48" i="15"/>
  <c r="C49" i="15"/>
  <c r="C58" i="15"/>
  <c r="N86" i="15"/>
  <c r="H32" i="15"/>
  <c r="H13" i="9"/>
  <c r="H38" i="15"/>
  <c r="H14" i="9"/>
  <c r="H39" i="15"/>
  <c r="H7" i="9"/>
  <c r="H31" i="15"/>
  <c r="H11" i="9"/>
  <c r="H35" i="15"/>
  <c r="H12" i="9"/>
  <c r="H37" i="15"/>
  <c r="H16" i="9"/>
  <c r="H42" i="15"/>
  <c r="H40" i="15"/>
  <c r="H86" i="15"/>
  <c r="N71" i="15"/>
  <c r="D58" i="15"/>
  <c r="D13" i="15"/>
  <c r="D14" i="15"/>
  <c r="D10" i="9"/>
  <c r="D34" i="15"/>
  <c r="C26" i="15"/>
  <c r="D26" i="15"/>
  <c r="D31" i="15"/>
  <c r="C18" i="15"/>
  <c r="D18" i="15"/>
  <c r="D32" i="15"/>
  <c r="C59" i="15"/>
  <c r="D59" i="15"/>
  <c r="D11" i="9"/>
  <c r="D35" i="15"/>
  <c r="C61" i="15"/>
  <c r="N89" i="15"/>
  <c r="H89" i="15"/>
  <c r="N74" i="15"/>
  <c r="D61" i="15"/>
  <c r="D12" i="9"/>
  <c r="D37" i="15"/>
  <c r="C62" i="15"/>
  <c r="N90" i="15"/>
  <c r="H90" i="15"/>
  <c r="N75" i="15"/>
  <c r="D62" i="15"/>
  <c r="D13" i="9"/>
  <c r="D38" i="15"/>
  <c r="C63" i="15"/>
  <c r="N91" i="15"/>
  <c r="H91" i="15"/>
  <c r="N76" i="15"/>
  <c r="D63" i="15"/>
  <c r="D14" i="9"/>
  <c r="D39" i="15"/>
  <c r="C64" i="15"/>
  <c r="N92" i="15"/>
  <c r="H92" i="15"/>
  <c r="N77" i="15"/>
  <c r="D64" i="15"/>
  <c r="D40" i="15"/>
  <c r="C66" i="15"/>
  <c r="D66" i="15"/>
  <c r="D16" i="9"/>
  <c r="D42" i="15"/>
  <c r="D43" i="15"/>
  <c r="D30" i="15"/>
  <c r="D46" i="15"/>
  <c r="D47" i="15"/>
  <c r="D48" i="15"/>
  <c r="D49" i="15"/>
  <c r="D86" i="15"/>
  <c r="D87" i="15"/>
  <c r="D88" i="15"/>
  <c r="D89" i="15"/>
  <c r="D90" i="15"/>
  <c r="D91" i="15"/>
  <c r="D92" i="15"/>
  <c r="D93" i="15"/>
  <c r="D94" i="15"/>
  <c r="D95" i="15"/>
  <c r="E13" i="15"/>
  <c r="E14" i="15"/>
  <c r="E29" i="15"/>
  <c r="E100" i="15"/>
  <c r="E127" i="15"/>
  <c r="E30" i="15"/>
  <c r="E101" i="15"/>
  <c r="E128" i="15"/>
  <c r="E26" i="15"/>
  <c r="E31" i="15"/>
  <c r="E102" i="15"/>
  <c r="E129" i="15"/>
  <c r="E18" i="15"/>
  <c r="E32" i="15"/>
  <c r="E103" i="15"/>
  <c r="E130" i="15"/>
  <c r="E58" i="15"/>
  <c r="E10" i="9"/>
  <c r="E34" i="15"/>
  <c r="E104" i="15"/>
  <c r="E131" i="15"/>
  <c r="E59" i="15"/>
  <c r="E11" i="9"/>
  <c r="E35" i="15"/>
  <c r="E105" i="15"/>
  <c r="E132" i="15"/>
  <c r="E61" i="15"/>
  <c r="E12" i="9"/>
  <c r="E37" i="15"/>
  <c r="E107" i="15"/>
  <c r="E134" i="15"/>
  <c r="E62" i="15"/>
  <c r="E13" i="9"/>
  <c r="E38" i="15"/>
  <c r="E108" i="15"/>
  <c r="E135" i="15"/>
  <c r="E63" i="15"/>
  <c r="E14" i="9"/>
  <c r="E39" i="15"/>
  <c r="E109" i="15"/>
  <c r="E136" i="15"/>
  <c r="E64" i="15"/>
  <c r="E40" i="15"/>
  <c r="E110" i="15"/>
  <c r="E137" i="15"/>
  <c r="E66" i="15"/>
  <c r="E16" i="9"/>
  <c r="E42" i="15"/>
  <c r="E112" i="15"/>
  <c r="E139" i="15"/>
  <c r="E140" i="15"/>
  <c r="E43" i="15"/>
  <c r="E46" i="15"/>
  <c r="E47" i="15"/>
  <c r="E116" i="15"/>
  <c r="E143" i="15"/>
  <c r="E48" i="15"/>
  <c r="E117" i="15"/>
  <c r="E144" i="15"/>
  <c r="E145" i="15"/>
  <c r="E8" i="9"/>
  <c r="E43" i="9"/>
  <c r="E61" i="9"/>
  <c r="E47" i="9"/>
  <c r="E65" i="9"/>
  <c r="E48" i="9"/>
  <c r="E66" i="9"/>
  <c r="E7" i="9"/>
  <c r="E42" i="9"/>
  <c r="E60" i="9"/>
  <c r="E44" i="9"/>
  <c r="E62" i="9"/>
  <c r="E45" i="9"/>
  <c r="E63" i="9"/>
  <c r="E46" i="9"/>
  <c r="E64" i="9"/>
  <c r="E50" i="9"/>
  <c r="E68" i="9"/>
  <c r="E49" i="9"/>
  <c r="E67" i="9"/>
  <c r="E70" i="9"/>
  <c r="E20" i="9"/>
  <c r="E53" i="9"/>
  <c r="E71" i="9"/>
  <c r="E21" i="9"/>
  <c r="E54" i="9"/>
  <c r="E72" i="9"/>
  <c r="E73" i="9"/>
  <c r="E146" i="15"/>
  <c r="D29" i="15"/>
  <c r="D100" i="15"/>
  <c r="D101" i="15"/>
  <c r="D102" i="15"/>
  <c r="D103" i="15"/>
  <c r="D104" i="15"/>
  <c r="D105" i="15"/>
  <c r="D107" i="15"/>
  <c r="D108" i="15"/>
  <c r="D109" i="15"/>
  <c r="D110" i="15"/>
  <c r="D112" i="15"/>
  <c r="D113" i="15"/>
  <c r="D116" i="15"/>
  <c r="D117" i="15"/>
  <c r="D118" i="15"/>
  <c r="D249" i="15"/>
  <c r="D252" i="15"/>
  <c r="D127" i="15"/>
  <c r="D128" i="15"/>
  <c r="D129" i="15"/>
  <c r="D130" i="15"/>
  <c r="D131" i="15"/>
  <c r="D132" i="15"/>
  <c r="D134" i="15"/>
  <c r="D135" i="15"/>
  <c r="D136" i="15"/>
  <c r="D137" i="15"/>
  <c r="D139" i="15"/>
  <c r="D140" i="15"/>
  <c r="D143" i="15"/>
  <c r="D144" i="15"/>
  <c r="D145" i="15"/>
  <c r="D179" i="15"/>
  <c r="D8" i="9"/>
  <c r="D43" i="9"/>
  <c r="D47" i="9"/>
  <c r="D48" i="9"/>
  <c r="D7" i="9"/>
  <c r="D42" i="9"/>
  <c r="D44" i="9"/>
  <c r="D45" i="9"/>
  <c r="D46" i="9"/>
  <c r="D50" i="9"/>
  <c r="D49" i="9"/>
  <c r="D52" i="9"/>
  <c r="D20" i="9"/>
  <c r="D53" i="9"/>
  <c r="D21" i="9"/>
  <c r="D54" i="9"/>
  <c r="D55" i="9"/>
  <c r="D61" i="9"/>
  <c r="D65" i="9"/>
  <c r="D66" i="9"/>
  <c r="D60" i="9"/>
  <c r="D62" i="9"/>
  <c r="D63" i="9"/>
  <c r="D64" i="9"/>
  <c r="D68" i="9"/>
  <c r="D67" i="9"/>
  <c r="D70" i="9"/>
  <c r="D71" i="9"/>
  <c r="D72" i="9"/>
  <c r="D73" i="9"/>
  <c r="D176" i="15"/>
  <c r="D182" i="15"/>
  <c r="D185" i="15"/>
  <c r="E113" i="15"/>
  <c r="E118" i="15"/>
  <c r="E249" i="15"/>
  <c r="E252" i="15"/>
  <c r="E179" i="15"/>
  <c r="E52" i="9"/>
  <c r="E55" i="9"/>
  <c r="E176" i="15"/>
  <c r="E182" i="15"/>
  <c r="E185" i="15"/>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G46" i="15"/>
  <c r="I46" i="15"/>
  <c r="J46" i="15"/>
  <c r="K46" i="15"/>
  <c r="L46" i="15"/>
  <c r="M46" i="15"/>
  <c r="O46" i="15"/>
  <c r="P46" i="15"/>
  <c r="Q46" i="15"/>
  <c r="R46" i="15"/>
  <c r="S46" i="15"/>
  <c r="T46" i="15"/>
  <c r="U46" i="15"/>
  <c r="V46" i="15"/>
  <c r="W46" i="15"/>
  <c r="F46" i="15"/>
  <c r="C34" i="5"/>
  <c r="N24" i="15"/>
  <c r="F58" i="15"/>
  <c r="F13" i="15"/>
  <c r="F14" i="15"/>
  <c r="F10" i="9"/>
  <c r="F34" i="15"/>
  <c r="F59" i="15"/>
  <c r="F11" i="9"/>
  <c r="F35" i="15"/>
  <c r="F61" i="15"/>
  <c r="F12" i="9"/>
  <c r="F37" i="15"/>
  <c r="F62" i="15"/>
  <c r="F13" i="9"/>
  <c r="F38" i="15"/>
  <c r="F63" i="15"/>
  <c r="F14" i="9"/>
  <c r="F39" i="15"/>
  <c r="F64" i="15"/>
  <c r="F40" i="15"/>
  <c r="F66" i="15"/>
  <c r="F16" i="9"/>
  <c r="F42" i="15"/>
  <c r="F26" i="15"/>
  <c r="F31" i="15"/>
  <c r="F18" i="15"/>
  <c r="F32" i="15"/>
  <c r="F43" i="15"/>
  <c r="D24" i="15"/>
  <c r="E24" i="15"/>
  <c r="F24" i="15"/>
  <c r="F30" i="15"/>
  <c r="F47" i="15"/>
  <c r="F48" i="15"/>
  <c r="H61" i="15"/>
  <c r="I61" i="15"/>
  <c r="J61" i="15"/>
  <c r="K61" i="15"/>
  <c r="L61" i="15"/>
  <c r="M61" i="15"/>
  <c r="N61" i="15"/>
  <c r="X74" i="15"/>
  <c r="O61" i="15"/>
  <c r="P61" i="15"/>
  <c r="P13" i="15"/>
  <c r="P14" i="15"/>
  <c r="P12" i="9"/>
  <c r="P37" i="15"/>
  <c r="Q61" i="15"/>
  <c r="Q13" i="15"/>
  <c r="Q14" i="15"/>
  <c r="Q12" i="9"/>
  <c r="Q37" i="15"/>
  <c r="R61" i="15"/>
  <c r="R13" i="15"/>
  <c r="R14" i="15"/>
  <c r="R12" i="9"/>
  <c r="R37" i="15"/>
  <c r="S61" i="15"/>
  <c r="S13" i="15"/>
  <c r="S14" i="15"/>
  <c r="S12" i="9"/>
  <c r="S37" i="15"/>
  <c r="T61" i="15"/>
  <c r="T13" i="15"/>
  <c r="T14" i="15"/>
  <c r="T12" i="9"/>
  <c r="T37" i="15"/>
  <c r="U61" i="15"/>
  <c r="U13" i="15"/>
  <c r="U14" i="15"/>
  <c r="U12" i="9"/>
  <c r="U37" i="15"/>
  <c r="V61" i="15"/>
  <c r="V13" i="15"/>
  <c r="V14" i="15"/>
  <c r="V12" i="9"/>
  <c r="V37" i="15"/>
  <c r="W61" i="15"/>
  <c r="W13" i="15"/>
  <c r="W14" i="15"/>
  <c r="W12" i="9"/>
  <c r="W37" i="15"/>
  <c r="H62" i="15"/>
  <c r="I62" i="15"/>
  <c r="J62" i="15"/>
  <c r="K62" i="15"/>
  <c r="L62" i="15"/>
  <c r="M62" i="15"/>
  <c r="N62" i="15"/>
  <c r="X75" i="15"/>
  <c r="O62" i="15"/>
  <c r="P62" i="15"/>
  <c r="P13" i="9"/>
  <c r="P38" i="15"/>
  <c r="Q62" i="15"/>
  <c r="Q13" i="9"/>
  <c r="Q38" i="15"/>
  <c r="R62" i="15"/>
  <c r="R13" i="9"/>
  <c r="R38" i="15"/>
  <c r="S62" i="15"/>
  <c r="S13" i="9"/>
  <c r="S38" i="15"/>
  <c r="T62" i="15"/>
  <c r="T13" i="9"/>
  <c r="T38" i="15"/>
  <c r="U62" i="15"/>
  <c r="U13" i="9"/>
  <c r="U38" i="15"/>
  <c r="V62" i="15"/>
  <c r="V13" i="9"/>
  <c r="V38" i="15"/>
  <c r="W62" i="15"/>
  <c r="W13" i="9"/>
  <c r="W38" i="15"/>
  <c r="H63" i="15"/>
  <c r="I63" i="15"/>
  <c r="J63" i="15"/>
  <c r="K63" i="15"/>
  <c r="L63" i="15"/>
  <c r="M63" i="15"/>
  <c r="N63" i="15"/>
  <c r="X76" i="15"/>
  <c r="O63" i="15"/>
  <c r="P63" i="15"/>
  <c r="P14" i="9"/>
  <c r="P39" i="15"/>
  <c r="Q63" i="15"/>
  <c r="Q14" i="9"/>
  <c r="Q39" i="15"/>
  <c r="R63" i="15"/>
  <c r="R14" i="9"/>
  <c r="R39" i="15"/>
  <c r="S63" i="15"/>
  <c r="S14" i="9"/>
  <c r="S39" i="15"/>
  <c r="T63" i="15"/>
  <c r="T14" i="9"/>
  <c r="T39" i="15"/>
  <c r="U63" i="15"/>
  <c r="U14" i="9"/>
  <c r="U39" i="15"/>
  <c r="V63" i="15"/>
  <c r="V14" i="9"/>
  <c r="V39" i="15"/>
  <c r="W63" i="15"/>
  <c r="W14" i="9"/>
  <c r="W39" i="15"/>
  <c r="H64" i="15"/>
  <c r="I64" i="15"/>
  <c r="J64" i="15"/>
  <c r="K64" i="15"/>
  <c r="L64" i="15"/>
  <c r="M64" i="15"/>
  <c r="N64" i="15"/>
  <c r="X77" i="15"/>
  <c r="O64" i="15"/>
  <c r="P64" i="15"/>
  <c r="P40" i="15"/>
  <c r="Q64" i="15"/>
  <c r="Q40" i="15"/>
  <c r="R64" i="15"/>
  <c r="R40" i="15"/>
  <c r="S64" i="15"/>
  <c r="S40" i="15"/>
  <c r="T64" i="15"/>
  <c r="T40" i="15"/>
  <c r="U64" i="15"/>
  <c r="U40" i="15"/>
  <c r="V64" i="15"/>
  <c r="V40" i="15"/>
  <c r="W64" i="15"/>
  <c r="W40" i="15"/>
  <c r="O13" i="15"/>
  <c r="O14" i="15"/>
  <c r="O13" i="9"/>
  <c r="O38" i="15"/>
  <c r="O14" i="9"/>
  <c r="O39" i="15"/>
  <c r="O40" i="15"/>
  <c r="O12" i="9"/>
  <c r="O37" i="15"/>
  <c r="H59" i="15"/>
  <c r="I59" i="15"/>
  <c r="J59" i="15"/>
  <c r="K59" i="15"/>
  <c r="L59" i="15"/>
  <c r="M59" i="15"/>
  <c r="N59" i="15"/>
  <c r="O59" i="15"/>
  <c r="P59" i="15"/>
  <c r="P11" i="9"/>
  <c r="P35" i="15"/>
  <c r="Q59" i="15"/>
  <c r="Q11" i="9"/>
  <c r="Q35" i="15"/>
  <c r="R59" i="15"/>
  <c r="R11" i="9"/>
  <c r="R35" i="15"/>
  <c r="S59" i="15"/>
  <c r="S11" i="9"/>
  <c r="S35" i="15"/>
  <c r="T59" i="15"/>
  <c r="T11" i="9"/>
  <c r="T35" i="15"/>
  <c r="U59" i="15"/>
  <c r="U11" i="9"/>
  <c r="U35" i="15"/>
  <c r="V59" i="15"/>
  <c r="V11" i="9"/>
  <c r="V35" i="15"/>
  <c r="W59" i="15"/>
  <c r="W11" i="9"/>
  <c r="W35" i="15"/>
  <c r="O11" i="9"/>
  <c r="O35" i="15"/>
  <c r="H58" i="15"/>
  <c r="I58" i="15"/>
  <c r="J58" i="15"/>
  <c r="K58" i="15"/>
  <c r="L58" i="15"/>
  <c r="M58" i="15"/>
  <c r="N58" i="15"/>
  <c r="X71" i="15"/>
  <c r="O58" i="15"/>
  <c r="P58" i="15"/>
  <c r="P10" i="9"/>
  <c r="P34" i="15"/>
  <c r="Q58" i="15"/>
  <c r="Q10" i="9"/>
  <c r="Q34" i="15"/>
  <c r="R58" i="15"/>
  <c r="R10" i="9"/>
  <c r="R34" i="15"/>
  <c r="S58" i="15"/>
  <c r="S10" i="9"/>
  <c r="S34" i="15"/>
  <c r="T58" i="15"/>
  <c r="T10" i="9"/>
  <c r="T34" i="15"/>
  <c r="U58" i="15"/>
  <c r="U10" i="9"/>
  <c r="U34" i="15"/>
  <c r="V58" i="15"/>
  <c r="V10" i="9"/>
  <c r="V34" i="15"/>
  <c r="W58" i="15"/>
  <c r="W10" i="9"/>
  <c r="W34" i="15"/>
  <c r="O10" i="9"/>
  <c r="O34" i="15"/>
  <c r="H66" i="15"/>
  <c r="I66" i="15"/>
  <c r="J66" i="15"/>
  <c r="K66" i="15"/>
  <c r="L66" i="15"/>
  <c r="M66" i="15"/>
  <c r="N66" i="15"/>
  <c r="O66" i="15"/>
  <c r="P66" i="15"/>
  <c r="P16" i="9"/>
  <c r="P42" i="15"/>
  <c r="Q66" i="15"/>
  <c r="Q16" i="9"/>
  <c r="Q42" i="15"/>
  <c r="R66" i="15"/>
  <c r="R16" i="9"/>
  <c r="R42" i="15"/>
  <c r="S66" i="15"/>
  <c r="S16" i="9"/>
  <c r="S42" i="15"/>
  <c r="T66" i="15"/>
  <c r="T16" i="9"/>
  <c r="T42" i="15"/>
  <c r="U66" i="15"/>
  <c r="U16" i="9"/>
  <c r="U42" i="15"/>
  <c r="V66" i="15"/>
  <c r="V16" i="9"/>
  <c r="V42" i="15"/>
  <c r="W66" i="15"/>
  <c r="W16" i="9"/>
  <c r="W42" i="15"/>
  <c r="O16" i="9"/>
  <c r="O42" i="15"/>
  <c r="H60" i="15"/>
  <c r="H65" i="15"/>
  <c r="N23" i="15"/>
  <c r="I23" i="15"/>
  <c r="J23" i="15"/>
  <c r="K23" i="15"/>
  <c r="L23" i="15"/>
  <c r="M23" i="15"/>
  <c r="C128" i="15"/>
  <c r="C102" i="15"/>
  <c r="C129" i="15"/>
  <c r="C103" i="15"/>
  <c r="C130" i="15"/>
  <c r="C104" i="15"/>
  <c r="C131" i="15"/>
  <c r="C105" i="15"/>
  <c r="C132" i="15"/>
  <c r="C133" i="15"/>
  <c r="C107" i="15"/>
  <c r="C134" i="15"/>
  <c r="C108" i="15"/>
  <c r="C135" i="15"/>
  <c r="C109" i="15"/>
  <c r="C136" i="15"/>
  <c r="C110" i="15"/>
  <c r="C137" i="15"/>
  <c r="C138" i="15"/>
  <c r="C112" i="15"/>
  <c r="C139" i="15"/>
  <c r="C140" i="15"/>
  <c r="C116" i="15"/>
  <c r="C143" i="15"/>
  <c r="C117" i="15"/>
  <c r="C144" i="15"/>
  <c r="C145" i="15"/>
  <c r="C181" i="15"/>
  <c r="H26" i="15"/>
  <c r="H18" i="15"/>
  <c r="Y211" i="15"/>
  <c r="Y232" i="15"/>
  <c r="Z211" i="15"/>
  <c r="Z232" i="15"/>
  <c r="AC211" i="15"/>
  <c r="AC232" i="15"/>
  <c r="AG211" i="15"/>
  <c r="AG232" i="15"/>
  <c r="AA211" i="15"/>
  <c r="AB211" i="15"/>
  <c r="AB232" i="15"/>
  <c r="AD211" i="15"/>
  <c r="AD232" i="15"/>
  <c r="AE211" i="15"/>
  <c r="AE232" i="15"/>
  <c r="AF211" i="15"/>
  <c r="AF232" i="15"/>
  <c r="AG127" i="15"/>
  <c r="AG212" i="15"/>
  <c r="AG210" i="15"/>
  <c r="AH211" i="15"/>
  <c r="AH232" i="15"/>
  <c r="Y138" i="15"/>
  <c r="Z138" i="15"/>
  <c r="AA138" i="15"/>
  <c r="AB138" i="15"/>
  <c r="AC138" i="15"/>
  <c r="AD138" i="15"/>
  <c r="AE138" i="15"/>
  <c r="AF138" i="15"/>
  <c r="AG138" i="15"/>
  <c r="AH138" i="15"/>
  <c r="Y133" i="15"/>
  <c r="Z133" i="15"/>
  <c r="AA133" i="15"/>
  <c r="AB133" i="15"/>
  <c r="AC133" i="15"/>
  <c r="AD133" i="15"/>
  <c r="AE133" i="15"/>
  <c r="AF133" i="15"/>
  <c r="AG133" i="15"/>
  <c r="AH133" i="15"/>
  <c r="Y128" i="15"/>
  <c r="Z128" i="15"/>
  <c r="AA128" i="15"/>
  <c r="AB128" i="15"/>
  <c r="AC128" i="15"/>
  <c r="AD128" i="15"/>
  <c r="AE128" i="15"/>
  <c r="AF128" i="15"/>
  <c r="AG128" i="15"/>
  <c r="AH128" i="15"/>
  <c r="Y127" i="15"/>
  <c r="Y212" i="15"/>
  <c r="Z127" i="15"/>
  <c r="Z212" i="15"/>
  <c r="Z233" i="15"/>
  <c r="AA127" i="15"/>
  <c r="AA212" i="15"/>
  <c r="AA233" i="15"/>
  <c r="AB127" i="15"/>
  <c r="AB212" i="15"/>
  <c r="AB233" i="15"/>
  <c r="AC127" i="15"/>
  <c r="AC212" i="15"/>
  <c r="AD127" i="15"/>
  <c r="AE127" i="15"/>
  <c r="AE212" i="15"/>
  <c r="AE233" i="15"/>
  <c r="AF127" i="15"/>
  <c r="AF212" i="15"/>
  <c r="AH127" i="15"/>
  <c r="AH212" i="15"/>
  <c r="AH17" i="9"/>
  <c r="AH20" i="9"/>
  <c r="AH21" i="9"/>
  <c r="AH22" i="9"/>
  <c r="AH24" i="9"/>
  <c r="J18" i="5"/>
  <c r="J19" i="5"/>
  <c r="J20" i="5"/>
  <c r="J21" i="5"/>
  <c r="J22" i="5"/>
  <c r="J23" i="5"/>
  <c r="Y7" i="9"/>
  <c r="Y8" i="9"/>
  <c r="Y18" i="9"/>
  <c r="Y20" i="15"/>
  <c r="Z7" i="9"/>
  <c r="Z8" i="9"/>
  <c r="Z18" i="9"/>
  <c r="Z20" i="15"/>
  <c r="AA7" i="9"/>
  <c r="AA8" i="9"/>
  <c r="AA18" i="9"/>
  <c r="AA20" i="15"/>
  <c r="AB7" i="9"/>
  <c r="AB8" i="9"/>
  <c r="AB18" i="9"/>
  <c r="AB20" i="15"/>
  <c r="AC7" i="9"/>
  <c r="AC8" i="9"/>
  <c r="AC18" i="9"/>
  <c r="AC20" i="15"/>
  <c r="AD7" i="9"/>
  <c r="AD8" i="9"/>
  <c r="AD18" i="9"/>
  <c r="AD20" i="15"/>
  <c r="AE7" i="9"/>
  <c r="AE8" i="9"/>
  <c r="AE18" i="9"/>
  <c r="AE20" i="15"/>
  <c r="AF7" i="9"/>
  <c r="AF8" i="9"/>
  <c r="AF18" i="9"/>
  <c r="AF20" i="15"/>
  <c r="AG7" i="9"/>
  <c r="AG8" i="9"/>
  <c r="AG18" i="9"/>
  <c r="AG20" i="15"/>
  <c r="AH20" i="15"/>
  <c r="I36" i="5"/>
  <c r="I35" i="5"/>
  <c r="I37" i="5"/>
  <c r="J17" i="5"/>
  <c r="X17" i="9"/>
  <c r="X20" i="9"/>
  <c r="X21" i="9"/>
  <c r="X22" i="9"/>
  <c r="X24" i="9"/>
  <c r="G17" i="5"/>
  <c r="X16" i="15"/>
  <c r="Y21" i="9"/>
  <c r="Y54" i="9"/>
  <c r="Y72" i="9"/>
  <c r="Z21" i="9"/>
  <c r="Z54" i="9"/>
  <c r="Z72" i="9"/>
  <c r="AA21" i="9"/>
  <c r="AA54" i="9"/>
  <c r="AA72" i="9"/>
  <c r="AB21" i="9"/>
  <c r="AB54" i="9"/>
  <c r="AB72" i="9"/>
  <c r="AC21" i="9"/>
  <c r="AC54" i="9"/>
  <c r="AC72" i="9"/>
  <c r="AD21" i="9"/>
  <c r="AD54" i="9"/>
  <c r="AD72" i="9"/>
  <c r="AE21" i="9"/>
  <c r="AE54" i="9"/>
  <c r="AE72" i="9"/>
  <c r="AF21" i="9"/>
  <c r="AF54" i="9"/>
  <c r="AF72" i="9"/>
  <c r="AG21" i="9"/>
  <c r="AG54" i="9"/>
  <c r="AG72" i="9"/>
  <c r="AH54" i="9"/>
  <c r="AH72" i="9"/>
  <c r="Y20" i="9"/>
  <c r="Y53" i="9"/>
  <c r="Z20" i="9"/>
  <c r="Z53" i="9"/>
  <c r="Z71" i="9"/>
  <c r="AA20" i="9"/>
  <c r="AA53" i="9"/>
  <c r="AB20" i="9"/>
  <c r="AB53" i="9"/>
  <c r="AC20" i="9"/>
  <c r="AC53" i="9"/>
  <c r="AD20" i="9"/>
  <c r="AD53" i="9"/>
  <c r="AD71" i="9"/>
  <c r="AE20" i="9"/>
  <c r="AE53" i="9"/>
  <c r="AF20" i="9"/>
  <c r="AF53" i="9"/>
  <c r="AG20" i="9"/>
  <c r="AG53" i="9"/>
  <c r="AH53" i="9"/>
  <c r="AH71" i="9"/>
  <c r="Y50" i="9"/>
  <c r="Y68" i="9"/>
  <c r="Z50" i="9"/>
  <c r="Z68" i="9"/>
  <c r="AA50" i="9"/>
  <c r="AA68" i="9"/>
  <c r="AB50" i="9"/>
  <c r="AB68" i="9"/>
  <c r="AC50" i="9"/>
  <c r="AC68" i="9"/>
  <c r="AD50" i="9"/>
  <c r="AD68" i="9"/>
  <c r="AE50" i="9"/>
  <c r="AE68" i="9"/>
  <c r="AF50" i="9"/>
  <c r="AF68" i="9"/>
  <c r="AG50" i="9"/>
  <c r="AG68" i="9"/>
  <c r="AH50" i="9"/>
  <c r="AH68" i="9"/>
  <c r="Y49" i="9"/>
  <c r="Y67" i="9"/>
  <c r="Z49" i="9"/>
  <c r="Z67" i="9"/>
  <c r="AA49" i="9"/>
  <c r="AA67" i="9"/>
  <c r="AB49" i="9"/>
  <c r="AB67" i="9"/>
  <c r="AC49" i="9"/>
  <c r="AC67" i="9"/>
  <c r="AD49" i="9"/>
  <c r="AD67" i="9"/>
  <c r="AE49" i="9"/>
  <c r="AE67" i="9"/>
  <c r="AF49" i="9"/>
  <c r="AF67" i="9"/>
  <c r="AG49" i="9"/>
  <c r="AG67" i="9"/>
  <c r="AH49" i="9"/>
  <c r="AH67" i="9"/>
  <c r="Y48" i="9"/>
  <c r="Y66" i="9"/>
  <c r="Z48" i="9"/>
  <c r="Z66" i="9"/>
  <c r="AA48" i="9"/>
  <c r="AA66" i="9"/>
  <c r="AB48" i="9"/>
  <c r="AB66" i="9"/>
  <c r="AC48" i="9"/>
  <c r="AC66" i="9"/>
  <c r="AD48" i="9"/>
  <c r="AD66" i="9"/>
  <c r="AE48" i="9"/>
  <c r="AE66" i="9"/>
  <c r="AF48" i="9"/>
  <c r="AF66" i="9"/>
  <c r="AG48" i="9"/>
  <c r="AG66" i="9"/>
  <c r="AH48" i="9"/>
  <c r="AH66" i="9"/>
  <c r="Y47" i="9"/>
  <c r="Y65" i="9"/>
  <c r="Z47" i="9"/>
  <c r="Z65" i="9"/>
  <c r="AA47" i="9"/>
  <c r="AA65" i="9"/>
  <c r="AB47" i="9"/>
  <c r="AB65" i="9"/>
  <c r="AC47" i="9"/>
  <c r="AC65" i="9"/>
  <c r="AD47" i="9"/>
  <c r="AD65" i="9"/>
  <c r="AE47" i="9"/>
  <c r="AE65" i="9"/>
  <c r="AF47" i="9"/>
  <c r="AF65" i="9"/>
  <c r="AG47" i="9"/>
  <c r="AG65" i="9"/>
  <c r="AH47" i="9"/>
  <c r="AH65" i="9"/>
  <c r="Y46" i="9"/>
  <c r="Y64" i="9"/>
  <c r="Z46" i="9"/>
  <c r="Z64" i="9"/>
  <c r="AA46" i="9"/>
  <c r="AA64" i="9"/>
  <c r="AB46" i="9"/>
  <c r="AB64" i="9"/>
  <c r="AC46" i="9"/>
  <c r="AC64" i="9"/>
  <c r="AD46" i="9"/>
  <c r="AD64" i="9"/>
  <c r="AE46" i="9"/>
  <c r="AE64" i="9"/>
  <c r="AF46" i="9"/>
  <c r="AF64" i="9"/>
  <c r="AG46" i="9"/>
  <c r="AG64" i="9"/>
  <c r="AH46" i="9"/>
  <c r="AH64" i="9"/>
  <c r="Y45" i="9"/>
  <c r="Y63" i="9"/>
  <c r="Z45" i="9"/>
  <c r="Z63" i="9"/>
  <c r="AA45" i="9"/>
  <c r="AA63" i="9"/>
  <c r="AB45" i="9"/>
  <c r="AB63" i="9"/>
  <c r="AC45" i="9"/>
  <c r="AC63" i="9"/>
  <c r="AD45" i="9"/>
  <c r="AD63" i="9"/>
  <c r="AE45" i="9"/>
  <c r="AE63" i="9"/>
  <c r="AF45" i="9"/>
  <c r="AF63" i="9"/>
  <c r="AG45" i="9"/>
  <c r="AG63" i="9"/>
  <c r="AH45" i="9"/>
  <c r="AH63" i="9"/>
  <c r="Y44" i="9"/>
  <c r="Y62" i="9"/>
  <c r="Z44" i="9"/>
  <c r="Z62" i="9"/>
  <c r="AA44" i="9"/>
  <c r="AA62" i="9"/>
  <c r="AB44" i="9"/>
  <c r="AB62" i="9"/>
  <c r="AC44" i="9"/>
  <c r="AC62" i="9"/>
  <c r="AD44" i="9"/>
  <c r="AD62" i="9"/>
  <c r="AE44" i="9"/>
  <c r="AE62" i="9"/>
  <c r="AF44" i="9"/>
  <c r="AF62" i="9"/>
  <c r="AG44" i="9"/>
  <c r="AG62" i="9"/>
  <c r="AH44" i="9"/>
  <c r="AH62" i="9"/>
  <c r="Y43" i="9"/>
  <c r="Y61" i="9"/>
  <c r="Z43" i="9"/>
  <c r="Z61" i="9"/>
  <c r="AA43" i="9"/>
  <c r="AA61" i="9"/>
  <c r="AB43" i="9"/>
  <c r="AC43" i="9"/>
  <c r="AC61" i="9"/>
  <c r="AD43" i="9"/>
  <c r="AD61" i="9"/>
  <c r="AE43" i="9"/>
  <c r="AE61" i="9"/>
  <c r="AF43" i="9"/>
  <c r="AG43" i="9"/>
  <c r="AG61" i="9"/>
  <c r="AH43" i="9"/>
  <c r="AH61" i="9"/>
  <c r="Y42" i="9"/>
  <c r="Y60" i="9"/>
  <c r="Z42" i="9"/>
  <c r="AA42" i="9"/>
  <c r="AA60" i="9"/>
  <c r="AB42" i="9"/>
  <c r="AB60" i="9"/>
  <c r="AC42" i="9"/>
  <c r="AC60" i="9"/>
  <c r="AD42" i="9"/>
  <c r="AE42" i="9"/>
  <c r="AE60" i="9"/>
  <c r="AF42" i="9"/>
  <c r="AF60" i="9"/>
  <c r="AG42" i="9"/>
  <c r="AH42" i="9"/>
  <c r="Y41" i="9"/>
  <c r="Y59" i="9"/>
  <c r="Z41" i="9"/>
  <c r="Z59" i="9"/>
  <c r="AA41" i="9"/>
  <c r="AA59" i="9"/>
  <c r="AB41" i="9"/>
  <c r="AB59" i="9"/>
  <c r="AC41" i="9"/>
  <c r="AC59" i="9"/>
  <c r="AD41" i="9"/>
  <c r="AD59" i="9"/>
  <c r="AE41" i="9"/>
  <c r="AE59" i="9"/>
  <c r="AF41" i="9"/>
  <c r="AF59" i="9"/>
  <c r="AG41" i="9"/>
  <c r="AG59" i="9"/>
  <c r="AH41" i="9"/>
  <c r="AH59" i="9"/>
  <c r="Y40" i="9"/>
  <c r="Z40" i="9"/>
  <c r="AA40" i="9"/>
  <c r="AB40" i="9"/>
  <c r="AB58" i="9"/>
  <c r="AC40" i="9"/>
  <c r="AD40" i="9"/>
  <c r="AE40" i="9"/>
  <c r="AF40" i="9"/>
  <c r="AF58" i="9"/>
  <c r="AG40" i="9"/>
  <c r="AH40" i="9"/>
  <c r="Y34" i="9"/>
  <c r="Z34" i="9"/>
  <c r="AA34" i="9"/>
  <c r="AB34" i="9"/>
  <c r="AC34" i="9"/>
  <c r="AD34" i="9"/>
  <c r="AE34" i="9"/>
  <c r="AF34" i="9"/>
  <c r="AG34" i="9"/>
  <c r="AH34" i="9"/>
  <c r="Y33" i="9"/>
  <c r="Z33" i="9"/>
  <c r="AA33" i="9"/>
  <c r="AB33" i="9"/>
  <c r="AC33" i="9"/>
  <c r="AD33" i="9"/>
  <c r="AE33" i="9"/>
  <c r="AF33" i="9"/>
  <c r="AG33" i="9"/>
  <c r="AH33" i="9"/>
  <c r="Y32" i="9"/>
  <c r="Z32" i="9"/>
  <c r="AA32" i="9"/>
  <c r="AB32" i="9"/>
  <c r="AC32" i="9"/>
  <c r="AD32" i="9"/>
  <c r="AE32" i="9"/>
  <c r="AF32" i="9"/>
  <c r="AG32" i="9"/>
  <c r="AH32" i="9"/>
  <c r="Y31" i="9"/>
  <c r="Z31" i="9"/>
  <c r="AA31" i="9"/>
  <c r="AB31" i="9"/>
  <c r="AC31" i="9"/>
  <c r="AD31" i="9"/>
  <c r="AE31" i="9"/>
  <c r="AF31" i="9"/>
  <c r="AG31" i="9"/>
  <c r="AH31" i="9"/>
  <c r="Y30" i="9"/>
  <c r="Z30" i="9"/>
  <c r="AA30" i="9"/>
  <c r="AB30" i="9"/>
  <c r="AC30" i="9"/>
  <c r="AD30" i="9"/>
  <c r="AE30" i="9"/>
  <c r="AF30" i="9"/>
  <c r="AG30" i="9"/>
  <c r="AH30" i="9"/>
  <c r="Y29" i="9"/>
  <c r="Z29" i="9"/>
  <c r="AA29" i="9"/>
  <c r="AB29" i="9"/>
  <c r="AC29" i="9"/>
  <c r="AD29" i="9"/>
  <c r="AE29" i="9"/>
  <c r="AF29" i="9"/>
  <c r="AG29" i="9"/>
  <c r="AH29" i="9"/>
  <c r="Y28" i="9"/>
  <c r="Z28" i="9"/>
  <c r="AA28" i="9"/>
  <c r="AB28" i="9"/>
  <c r="AC28" i="9"/>
  <c r="AD28" i="9"/>
  <c r="AE28" i="9"/>
  <c r="AF28" i="9"/>
  <c r="AG28" i="9"/>
  <c r="AH28" i="9"/>
  <c r="Y17" i="9"/>
  <c r="Y22" i="9"/>
  <c r="Y24" i="9"/>
  <c r="Y4" i="9"/>
  <c r="Y25" i="9"/>
  <c r="Z17" i="9"/>
  <c r="Z22" i="9"/>
  <c r="Z24" i="9"/>
  <c r="Z4" i="9"/>
  <c r="Z25" i="9"/>
  <c r="AA17" i="9"/>
  <c r="AA22" i="9"/>
  <c r="AA24" i="9"/>
  <c r="AA4" i="9"/>
  <c r="AA25" i="9"/>
  <c r="AB17" i="9"/>
  <c r="AB22" i="9"/>
  <c r="AB24" i="9"/>
  <c r="AB4" i="9"/>
  <c r="AB25" i="9"/>
  <c r="AC17" i="9"/>
  <c r="AC22" i="9"/>
  <c r="AC24" i="9"/>
  <c r="AC4" i="9"/>
  <c r="AC25" i="9"/>
  <c r="AD17" i="9"/>
  <c r="AD22" i="9"/>
  <c r="AD24" i="9"/>
  <c r="AD4" i="9"/>
  <c r="AD25" i="9"/>
  <c r="AE17" i="9"/>
  <c r="AE22" i="9"/>
  <c r="AE24" i="9"/>
  <c r="AE4" i="9"/>
  <c r="AE25" i="9"/>
  <c r="AF17" i="9"/>
  <c r="AF22" i="9"/>
  <c r="AF24" i="9"/>
  <c r="AF4" i="9"/>
  <c r="AF25" i="9"/>
  <c r="AG17" i="9"/>
  <c r="AG22" i="9"/>
  <c r="AG24" i="9"/>
  <c r="AG4" i="9"/>
  <c r="AG25" i="9"/>
  <c r="AH4" i="9"/>
  <c r="AH25" i="9"/>
  <c r="Y19" i="9"/>
  <c r="Z19" i="9"/>
  <c r="AA19" i="9"/>
  <c r="AB19" i="9"/>
  <c r="AC19" i="9"/>
  <c r="AD19" i="9"/>
  <c r="AE19" i="9"/>
  <c r="AF19" i="9"/>
  <c r="AG19" i="9"/>
  <c r="AH19" i="9"/>
  <c r="I12" i="9"/>
  <c r="J12" i="9"/>
  <c r="K12" i="9"/>
  <c r="K46" i="9"/>
  <c r="K64" i="9"/>
  <c r="L12" i="9"/>
  <c r="L46" i="9"/>
  <c r="L64" i="9"/>
  <c r="M12" i="9"/>
  <c r="O46" i="9"/>
  <c r="O64" i="9"/>
  <c r="P46" i="9"/>
  <c r="P64" i="9"/>
  <c r="I10" i="9"/>
  <c r="J10" i="9"/>
  <c r="K10" i="9"/>
  <c r="L10" i="9"/>
  <c r="M10" i="9"/>
  <c r="P44" i="9"/>
  <c r="P62" i="9"/>
  <c r="Q7" i="9"/>
  <c r="R7" i="9"/>
  <c r="L7" i="9"/>
  <c r="M7" i="9"/>
  <c r="O7" i="9"/>
  <c r="P7" i="9"/>
  <c r="F7" i="9"/>
  <c r="G7" i="9"/>
  <c r="I7" i="9"/>
  <c r="J7" i="9"/>
  <c r="K7" i="9"/>
  <c r="AH45" i="18"/>
  <c r="AH46" i="18"/>
  <c r="AG45" i="18"/>
  <c r="AG46" i="18"/>
  <c r="AH47" i="18"/>
  <c r="H44" i="18"/>
  <c r="B81" i="8"/>
  <c r="B82" i="8"/>
  <c r="B83" i="8"/>
  <c r="B84" i="8"/>
  <c r="B85" i="8"/>
  <c r="B86" i="8"/>
  <c r="C81" i="8"/>
  <c r="Y29" i="15"/>
  <c r="AI41" i="15"/>
  <c r="AA49" i="18"/>
  <c r="AB49" i="18"/>
  <c r="AC49" i="18"/>
  <c r="AD49" i="18"/>
  <c r="AE49" i="18"/>
  <c r="AF49" i="18"/>
  <c r="AG49" i="18"/>
  <c r="AH49" i="18"/>
  <c r="AI49" i="18"/>
  <c r="AJ49" i="18"/>
  <c r="AA48" i="18"/>
  <c r="AB48" i="18"/>
  <c r="AC48" i="18"/>
  <c r="AD48" i="18"/>
  <c r="AE48" i="18"/>
  <c r="AF48" i="18"/>
  <c r="AG48" i="18"/>
  <c r="AH48" i="18"/>
  <c r="AI48" i="18"/>
  <c r="AJ48" i="18"/>
  <c r="AA45" i="18"/>
  <c r="AA46" i="18"/>
  <c r="Z45" i="18"/>
  <c r="Z46" i="18"/>
  <c r="AA47" i="18"/>
  <c r="AB45" i="18"/>
  <c r="AB46" i="18"/>
  <c r="AB47" i="18"/>
  <c r="AC45" i="18"/>
  <c r="AC46" i="18"/>
  <c r="AC47" i="18"/>
  <c r="AD45" i="18"/>
  <c r="AD46" i="18"/>
  <c r="AD47" i="18"/>
  <c r="AE45" i="18"/>
  <c r="AE46" i="18"/>
  <c r="AE47" i="18"/>
  <c r="AF45" i="18"/>
  <c r="AF46" i="18"/>
  <c r="AF47" i="18"/>
  <c r="AG47" i="18"/>
  <c r="AI45" i="18"/>
  <c r="AI46" i="18"/>
  <c r="AI47" i="18"/>
  <c r="AJ45" i="18"/>
  <c r="AJ46" i="18"/>
  <c r="AJ47" i="18"/>
  <c r="J45" i="18"/>
  <c r="K45" i="18"/>
  <c r="L45" i="18"/>
  <c r="M45" i="18"/>
  <c r="M46" i="18"/>
  <c r="N45" i="18"/>
  <c r="O45" i="18"/>
  <c r="P45" i="18"/>
  <c r="Q45" i="18"/>
  <c r="Q46" i="18"/>
  <c r="R45" i="18"/>
  <c r="S45" i="18"/>
  <c r="T45" i="18"/>
  <c r="U45" i="18"/>
  <c r="U46" i="18"/>
  <c r="V45" i="18"/>
  <c r="W45" i="18"/>
  <c r="X45" i="18"/>
  <c r="Y45" i="18"/>
  <c r="G45" i="18"/>
  <c r="H45" i="18"/>
  <c r="I45" i="18"/>
  <c r="I46" i="18"/>
  <c r="AA44" i="18"/>
  <c r="AB44" i="18"/>
  <c r="AC44" i="18"/>
  <c r="AD44" i="18"/>
  <c r="AE44" i="18"/>
  <c r="AF44" i="18"/>
  <c r="AG44" i="18"/>
  <c r="AH44" i="18"/>
  <c r="AI44" i="18"/>
  <c r="AJ44" i="18"/>
  <c r="C44" i="18"/>
  <c r="D44" i="18"/>
  <c r="E44" i="18"/>
  <c r="C149" i="15"/>
  <c r="C150" i="15"/>
  <c r="C157" i="15"/>
  <c r="C164" i="15"/>
  <c r="C166" i="15"/>
  <c r="F44" i="18"/>
  <c r="D149" i="15"/>
  <c r="G44" i="18"/>
  <c r="E150" i="15"/>
  <c r="AA81" i="8"/>
  <c r="AA82" i="8"/>
  <c r="AA83" i="8"/>
  <c r="AA84" i="8"/>
  <c r="AA85" i="8"/>
  <c r="AA86" i="8"/>
  <c r="AB81" i="8"/>
  <c r="AB82" i="8"/>
  <c r="AB83" i="8"/>
  <c r="AB84" i="8"/>
  <c r="AB85" i="8"/>
  <c r="AB86" i="8"/>
  <c r="AC81" i="8"/>
  <c r="AC82" i="8"/>
  <c r="AC83" i="8"/>
  <c r="AC84" i="8"/>
  <c r="AC85" i="8"/>
  <c r="AC86" i="8"/>
  <c r="AD81" i="8"/>
  <c r="AD82" i="8"/>
  <c r="AD83" i="8"/>
  <c r="AD84" i="8"/>
  <c r="AD85" i="8"/>
  <c r="AD86" i="8"/>
  <c r="AE81" i="8"/>
  <c r="AE82" i="8"/>
  <c r="AE83" i="8"/>
  <c r="AE84" i="8"/>
  <c r="AE85" i="8"/>
  <c r="AE86" i="8"/>
  <c r="AF81" i="8"/>
  <c r="AF82" i="8"/>
  <c r="AF83" i="8"/>
  <c r="AF84" i="8"/>
  <c r="AF85" i="8"/>
  <c r="AF86" i="8"/>
  <c r="AG81" i="8"/>
  <c r="AG82" i="8"/>
  <c r="AG83" i="8"/>
  <c r="AG84" i="8"/>
  <c r="AG85" i="8"/>
  <c r="AG86" i="8"/>
  <c r="AH81" i="8"/>
  <c r="AH82" i="8"/>
  <c r="AH83" i="8"/>
  <c r="AH84" i="8"/>
  <c r="AH85" i="8"/>
  <c r="AH86" i="8"/>
  <c r="AI81" i="8"/>
  <c r="AI82" i="8"/>
  <c r="AI83" i="8"/>
  <c r="AI84" i="8"/>
  <c r="AI85" i="8"/>
  <c r="AI86" i="8"/>
  <c r="AJ81" i="8"/>
  <c r="AJ82" i="8"/>
  <c r="AJ83" i="8"/>
  <c r="AJ84" i="8"/>
  <c r="AJ85" i="8"/>
  <c r="AJ86" i="8"/>
  <c r="G81" i="8"/>
  <c r="H81" i="8"/>
  <c r="I81" i="8"/>
  <c r="J81" i="8"/>
  <c r="J82" i="8"/>
  <c r="J83" i="8"/>
  <c r="J84" i="8"/>
  <c r="J85" i="8"/>
  <c r="J86" i="8"/>
  <c r="K81" i="8"/>
  <c r="L81" i="8"/>
  <c r="M81" i="8"/>
  <c r="N81" i="8"/>
  <c r="N82" i="8"/>
  <c r="N83" i="8"/>
  <c r="N84" i="8"/>
  <c r="N85" i="8"/>
  <c r="N86" i="8"/>
  <c r="O81" i="8"/>
  <c r="P81" i="8"/>
  <c r="Q81" i="8"/>
  <c r="Q82" i="8"/>
  <c r="Q83" i="8"/>
  <c r="Q84" i="8"/>
  <c r="Q85" i="8"/>
  <c r="Q86" i="8"/>
  <c r="R81" i="8"/>
  <c r="R82" i="8"/>
  <c r="R83" i="8"/>
  <c r="R84" i="8"/>
  <c r="R85" i="8"/>
  <c r="R86" i="8"/>
  <c r="S81" i="8"/>
  <c r="T81" i="8"/>
  <c r="U81" i="8"/>
  <c r="U82" i="8"/>
  <c r="U83" i="8"/>
  <c r="U84" i="8"/>
  <c r="U85" i="8"/>
  <c r="U86" i="8"/>
  <c r="V81" i="8"/>
  <c r="V82" i="8"/>
  <c r="V83" i="8"/>
  <c r="V84" i="8"/>
  <c r="V85" i="8"/>
  <c r="V86" i="8"/>
  <c r="W81" i="8"/>
  <c r="X81" i="8"/>
  <c r="Y81" i="8"/>
  <c r="Y82" i="8"/>
  <c r="Y83" i="8"/>
  <c r="Y84" i="8"/>
  <c r="Y85" i="8"/>
  <c r="Y86" i="8"/>
  <c r="Z81" i="8"/>
  <c r="H80" i="8"/>
  <c r="I80" i="8"/>
  <c r="J80" i="8"/>
  <c r="K80" i="8"/>
  <c r="L80" i="8"/>
  <c r="M80" i="8"/>
  <c r="N80" i="8"/>
  <c r="O80" i="8"/>
  <c r="P80" i="8"/>
  <c r="Q80" i="8"/>
  <c r="R80" i="8"/>
  <c r="S80" i="8"/>
  <c r="T80" i="8"/>
  <c r="U80" i="8"/>
  <c r="V80" i="8"/>
  <c r="W80" i="8"/>
  <c r="X80" i="8"/>
  <c r="Y80" i="8"/>
  <c r="Z80" i="8"/>
  <c r="AA80" i="8"/>
  <c r="AB80" i="8"/>
  <c r="AC80" i="8"/>
  <c r="AD80" i="8"/>
  <c r="AE80" i="8"/>
  <c r="AF80" i="8"/>
  <c r="AG80" i="8"/>
  <c r="AH80" i="8"/>
  <c r="AI80" i="8"/>
  <c r="AJ80" i="8"/>
  <c r="D23" i="15"/>
  <c r="E23" i="15"/>
  <c r="F23" i="15"/>
  <c r="G23" i="15"/>
  <c r="AL32" i="18"/>
  <c r="B44" i="18"/>
  <c r="F150" i="15"/>
  <c r="I44" i="18"/>
  <c r="J44" i="18"/>
  <c r="K44" i="18"/>
  <c r="I150" i="15"/>
  <c r="L44" i="18"/>
  <c r="M44" i="18"/>
  <c r="N44" i="18"/>
  <c r="L150" i="15"/>
  <c r="O44" i="18"/>
  <c r="M150" i="15"/>
  <c r="P44" i="18"/>
  <c r="N150" i="15"/>
  <c r="Q44" i="18"/>
  <c r="R44" i="18"/>
  <c r="S44" i="18"/>
  <c r="Q150" i="15"/>
  <c r="T44" i="18"/>
  <c r="R150" i="15"/>
  <c r="U44" i="18"/>
  <c r="V44" i="18"/>
  <c r="T150" i="15"/>
  <c r="T149" i="15"/>
  <c r="T157" i="15"/>
  <c r="W44" i="18"/>
  <c r="U150" i="15"/>
  <c r="X44" i="18"/>
  <c r="V150" i="15"/>
  <c r="Y44" i="18"/>
  <c r="Z44" i="18"/>
  <c r="B45" i="18"/>
  <c r="C45" i="18"/>
  <c r="D45" i="18"/>
  <c r="D46" i="18"/>
  <c r="E45" i="18"/>
  <c r="F45" i="18"/>
  <c r="G46" i="18"/>
  <c r="H46" i="18"/>
  <c r="J46" i="18"/>
  <c r="H151" i="15"/>
  <c r="H149" i="15"/>
  <c r="H152" i="15"/>
  <c r="L46" i="18"/>
  <c r="J78" i="9"/>
  <c r="C58" i="5"/>
  <c r="J83" i="9"/>
  <c r="N46" i="18"/>
  <c r="P46" i="18"/>
  <c r="T46" i="18"/>
  <c r="V46" i="18"/>
  <c r="W46" i="18"/>
  <c r="X46" i="18"/>
  <c r="B46" i="18"/>
  <c r="C46" i="18"/>
  <c r="C47" i="18"/>
  <c r="E46" i="18"/>
  <c r="F46" i="18"/>
  <c r="K46" i="18"/>
  <c r="I151" i="15"/>
  <c r="O46" i="18"/>
  <c r="O47" i="18"/>
  <c r="R46" i="18"/>
  <c r="P78" i="9"/>
  <c r="P83" i="9"/>
  <c r="S46" i="18"/>
  <c r="Q78" i="9"/>
  <c r="Q83" i="9"/>
  <c r="Y46" i="18"/>
  <c r="W153" i="15"/>
  <c r="X78" i="9"/>
  <c r="X83" i="9"/>
  <c r="F47" i="18"/>
  <c r="B48" i="18"/>
  <c r="C48" i="18"/>
  <c r="D48" i="18"/>
  <c r="E48" i="18"/>
  <c r="F48" i="18"/>
  <c r="G48" i="18"/>
  <c r="H48" i="18"/>
  <c r="I48" i="18"/>
  <c r="J48" i="18"/>
  <c r="K48" i="18"/>
  <c r="L48" i="18"/>
  <c r="M48" i="18"/>
  <c r="N48" i="18"/>
  <c r="O48" i="18"/>
  <c r="P48" i="18"/>
  <c r="Q48" i="18"/>
  <c r="R48" i="18"/>
  <c r="S48" i="18"/>
  <c r="T48" i="18"/>
  <c r="U48" i="18"/>
  <c r="V48" i="18"/>
  <c r="W48" i="18"/>
  <c r="X48" i="18"/>
  <c r="Y48" i="18"/>
  <c r="Z48" i="18"/>
  <c r="B49" i="18"/>
  <c r="C49" i="18"/>
  <c r="D49" i="18"/>
  <c r="E49" i="18"/>
  <c r="F49" i="18"/>
  <c r="G49" i="18"/>
  <c r="H49" i="18"/>
  <c r="I49" i="18"/>
  <c r="J49" i="18"/>
  <c r="K49" i="18"/>
  <c r="L49" i="18"/>
  <c r="M49" i="18"/>
  <c r="N49" i="18"/>
  <c r="O49" i="18"/>
  <c r="P49" i="18"/>
  <c r="Q49" i="18"/>
  <c r="R49" i="18"/>
  <c r="S49" i="18"/>
  <c r="T49" i="18"/>
  <c r="U49" i="18"/>
  <c r="V49" i="18"/>
  <c r="W49" i="18"/>
  <c r="X49" i="18"/>
  <c r="Y49" i="18"/>
  <c r="Z49" i="18"/>
  <c r="B25" i="21"/>
  <c r="C25" i="21"/>
  <c r="D25" i="21"/>
  <c r="E25" i="21"/>
  <c r="F25" i="21"/>
  <c r="G25" i="21"/>
  <c r="H25" i="21"/>
  <c r="I25" i="21"/>
  <c r="J25" i="21"/>
  <c r="K25" i="21"/>
  <c r="L25" i="21"/>
  <c r="M25" i="21"/>
  <c r="N25" i="21"/>
  <c r="O25" i="21"/>
  <c r="P25" i="21"/>
  <c r="Q25" i="21"/>
  <c r="R25" i="21"/>
  <c r="S25" i="21"/>
  <c r="T25" i="21"/>
  <c r="U25" i="21"/>
  <c r="V25" i="21"/>
  <c r="W25" i="21"/>
  <c r="X25" i="21"/>
  <c r="Y25" i="21"/>
  <c r="Z25" i="21"/>
  <c r="AA25" i="21"/>
  <c r="AB25" i="21"/>
  <c r="AC25" i="21"/>
  <c r="AD25" i="21"/>
  <c r="AE25" i="21"/>
  <c r="AF25" i="21"/>
  <c r="AG25" i="21"/>
  <c r="AH25" i="21"/>
  <c r="AI25" i="21"/>
  <c r="AJ25" i="21"/>
  <c r="AK25" i="21"/>
  <c r="AL25" i="21"/>
  <c r="AM25" i="21"/>
  <c r="AN25" i="21"/>
  <c r="AO25" i="21"/>
  <c r="AP25" i="21"/>
  <c r="AQ25" i="21"/>
  <c r="AR25" i="21"/>
  <c r="AS25" i="21"/>
  <c r="AT25" i="21"/>
  <c r="AU25" i="21"/>
  <c r="AV25" i="21"/>
  <c r="AW25" i="21"/>
  <c r="AX25"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E26" i="21"/>
  <c r="AF26" i="21"/>
  <c r="AG26" i="21"/>
  <c r="AH26" i="21"/>
  <c r="AI26" i="21"/>
  <c r="AJ26" i="21"/>
  <c r="AK26" i="21"/>
  <c r="AL26" i="21"/>
  <c r="AM26" i="21"/>
  <c r="AN26" i="21"/>
  <c r="AO26" i="21"/>
  <c r="AP26" i="21"/>
  <c r="AQ26" i="21"/>
  <c r="AR26" i="21"/>
  <c r="AS26" i="21"/>
  <c r="AT26" i="21"/>
  <c r="AU26" i="21"/>
  <c r="AV26" i="21"/>
  <c r="AW26" i="21"/>
  <c r="AX26" i="21"/>
  <c r="AY26" i="21"/>
  <c r="AZ26" i="21"/>
  <c r="BA26" i="21"/>
  <c r="BB26" i="21"/>
  <c r="BC26" i="21"/>
  <c r="D61" i="21"/>
  <c r="B80" i="8"/>
  <c r="C80" i="8"/>
  <c r="D80" i="8"/>
  <c r="E80" i="8"/>
  <c r="F80" i="8"/>
  <c r="G80" i="8"/>
  <c r="D81" i="8"/>
  <c r="E81" i="8"/>
  <c r="F81" i="8"/>
  <c r="Z82" i="8"/>
  <c r="Z83" i="8"/>
  <c r="Z84" i="8"/>
  <c r="Z85" i="8"/>
  <c r="Z86" i="8"/>
  <c r="C82" i="8"/>
  <c r="D82" i="8"/>
  <c r="E82" i="8"/>
  <c r="F82" i="8"/>
  <c r="G82" i="8"/>
  <c r="H82" i="8"/>
  <c r="I82" i="8"/>
  <c r="K82" i="8"/>
  <c r="L82" i="8"/>
  <c r="L83" i="8"/>
  <c r="L84" i="8"/>
  <c r="L85" i="8"/>
  <c r="L86" i="8"/>
  <c r="M82" i="8"/>
  <c r="O82" i="8"/>
  <c r="O83" i="8"/>
  <c r="O84" i="8"/>
  <c r="O85" i="8"/>
  <c r="O86" i="8"/>
  <c r="P82" i="8"/>
  <c r="P83" i="8"/>
  <c r="P84" i="8"/>
  <c r="P85" i="8"/>
  <c r="P86" i="8"/>
  <c r="S82" i="8"/>
  <c r="S83" i="8"/>
  <c r="S84" i="8"/>
  <c r="S85" i="8"/>
  <c r="S86" i="8"/>
  <c r="T82" i="8"/>
  <c r="T83" i="8"/>
  <c r="T84" i="8"/>
  <c r="T85" i="8"/>
  <c r="T86" i="8"/>
  <c r="W82" i="8"/>
  <c r="X82" i="8"/>
  <c r="X83" i="8"/>
  <c r="X84" i="8"/>
  <c r="X85" i="8"/>
  <c r="X86" i="8"/>
  <c r="C83" i="8"/>
  <c r="C84" i="8"/>
  <c r="C85" i="8"/>
  <c r="C86" i="8"/>
  <c r="D83" i="8"/>
  <c r="E83" i="8"/>
  <c r="F83" i="8"/>
  <c r="G83" i="8"/>
  <c r="H83" i="8"/>
  <c r="H84" i="8"/>
  <c r="H85" i="8"/>
  <c r="H86" i="8"/>
  <c r="I83" i="8"/>
  <c r="K83" i="8"/>
  <c r="M83" i="8"/>
  <c r="W83" i="8"/>
  <c r="D84" i="8"/>
  <c r="E84" i="8"/>
  <c r="F84" i="8"/>
  <c r="F85" i="8"/>
  <c r="F86" i="8"/>
  <c r="G84" i="8"/>
  <c r="I84" i="8"/>
  <c r="K84" i="8"/>
  <c r="M84" i="8"/>
  <c r="W84" i="8"/>
  <c r="D85" i="8"/>
  <c r="E85" i="8"/>
  <c r="G85" i="8"/>
  <c r="G86" i="8"/>
  <c r="I85" i="8"/>
  <c r="K85" i="8"/>
  <c r="K86" i="8"/>
  <c r="M85" i="8"/>
  <c r="W85" i="8"/>
  <c r="W86" i="8"/>
  <c r="D86" i="8"/>
  <c r="F11" i="30"/>
  <c r="B12" i="30"/>
  <c r="B13" i="30"/>
  <c r="F12" i="30"/>
  <c r="F13" i="30"/>
  <c r="B14" i="30"/>
  <c r="B15" i="30"/>
  <c r="F14" i="30"/>
  <c r="F15" i="30"/>
  <c r="B16" i="30"/>
  <c r="F16" i="30"/>
  <c r="F17" i="30"/>
  <c r="F18" i="30"/>
  <c r="F19" i="30"/>
  <c r="F20" i="30"/>
  <c r="F21" i="30"/>
  <c r="F22" i="30"/>
  <c r="F23" i="30"/>
  <c r="F24" i="30"/>
  <c r="F25" i="30"/>
  <c r="F26" i="30"/>
  <c r="B27" i="30"/>
  <c r="C4" i="9"/>
  <c r="D4" i="9"/>
  <c r="E4" i="9"/>
  <c r="F4" i="9"/>
  <c r="G4" i="9"/>
  <c r="H4" i="9"/>
  <c r="I4" i="9"/>
  <c r="J4" i="9"/>
  <c r="K4" i="9"/>
  <c r="L4" i="9"/>
  <c r="M4" i="9"/>
  <c r="N4" i="9"/>
  <c r="O4" i="9"/>
  <c r="P4" i="9"/>
  <c r="Q4" i="9"/>
  <c r="R4" i="9"/>
  <c r="S4" i="9"/>
  <c r="T4" i="9"/>
  <c r="U4" i="9"/>
  <c r="V4" i="9"/>
  <c r="W4" i="9"/>
  <c r="X4" i="9"/>
  <c r="C8" i="9"/>
  <c r="C43" i="9"/>
  <c r="C61" i="9"/>
  <c r="F8" i="9"/>
  <c r="F43" i="9"/>
  <c r="F61" i="9"/>
  <c r="G8" i="9"/>
  <c r="G43" i="9"/>
  <c r="G61" i="9"/>
  <c r="H8" i="9"/>
  <c r="I8" i="9"/>
  <c r="I43" i="9"/>
  <c r="I61" i="9"/>
  <c r="J8" i="9"/>
  <c r="J43" i="9"/>
  <c r="J61" i="9"/>
  <c r="K8" i="9"/>
  <c r="K43" i="9"/>
  <c r="K61" i="9"/>
  <c r="L8" i="9"/>
  <c r="L43" i="9"/>
  <c r="L61" i="9"/>
  <c r="M8" i="9"/>
  <c r="N43" i="9"/>
  <c r="N61" i="9"/>
  <c r="O8" i="9"/>
  <c r="O43" i="9"/>
  <c r="O61" i="9"/>
  <c r="P8" i="9"/>
  <c r="Q8" i="9"/>
  <c r="Q43" i="9"/>
  <c r="Q61" i="9"/>
  <c r="R8" i="9"/>
  <c r="R43" i="9"/>
  <c r="R61" i="9"/>
  <c r="S8" i="9"/>
  <c r="S43" i="9"/>
  <c r="S61" i="9"/>
  <c r="T8" i="9"/>
  <c r="U8" i="9"/>
  <c r="U43" i="9"/>
  <c r="U61" i="9"/>
  <c r="V8" i="9"/>
  <c r="V43" i="9"/>
  <c r="V61" i="9"/>
  <c r="W8" i="9"/>
  <c r="W43" i="9"/>
  <c r="W61" i="9"/>
  <c r="C10" i="9"/>
  <c r="C44" i="9"/>
  <c r="C62" i="9"/>
  <c r="F44" i="9"/>
  <c r="F62" i="9"/>
  <c r="G10" i="9"/>
  <c r="G44" i="9"/>
  <c r="G62" i="9"/>
  <c r="H44" i="9"/>
  <c r="H62" i="9"/>
  <c r="I44" i="9"/>
  <c r="I62" i="9"/>
  <c r="K44" i="9"/>
  <c r="K62" i="9"/>
  <c r="L44" i="9"/>
  <c r="L62" i="9"/>
  <c r="M44" i="9"/>
  <c r="M62" i="9"/>
  <c r="Q44" i="9"/>
  <c r="Q62" i="9"/>
  <c r="R44" i="9"/>
  <c r="R62" i="9"/>
  <c r="S44" i="9"/>
  <c r="S62" i="9"/>
  <c r="T44" i="9"/>
  <c r="T62" i="9"/>
  <c r="U44" i="9"/>
  <c r="U62" i="9"/>
  <c r="V44" i="9"/>
  <c r="V62" i="9"/>
  <c r="W44" i="9"/>
  <c r="W62" i="9"/>
  <c r="X44" i="9"/>
  <c r="X62" i="9"/>
  <c r="C11" i="9"/>
  <c r="C45" i="9"/>
  <c r="C63" i="9"/>
  <c r="F45" i="9"/>
  <c r="F63" i="9"/>
  <c r="G11" i="9"/>
  <c r="G45" i="9"/>
  <c r="G63" i="9"/>
  <c r="I11" i="9"/>
  <c r="I45" i="9"/>
  <c r="I63" i="9"/>
  <c r="J11" i="9"/>
  <c r="J45" i="9"/>
  <c r="J63" i="9"/>
  <c r="K11" i="9"/>
  <c r="K45" i="9"/>
  <c r="K63" i="9"/>
  <c r="L11" i="9"/>
  <c r="L45" i="9"/>
  <c r="L63" i="9"/>
  <c r="M11" i="9"/>
  <c r="M45" i="9"/>
  <c r="M63" i="9"/>
  <c r="N45" i="9"/>
  <c r="N63" i="9"/>
  <c r="O45" i="9"/>
  <c r="O63" i="9"/>
  <c r="P45" i="9"/>
  <c r="P63" i="9"/>
  <c r="Q45" i="9"/>
  <c r="Q63" i="9"/>
  <c r="R45" i="9"/>
  <c r="R63" i="9"/>
  <c r="S45" i="9"/>
  <c r="S63" i="9"/>
  <c r="U45" i="9"/>
  <c r="U63" i="9"/>
  <c r="V45" i="9"/>
  <c r="V63" i="9"/>
  <c r="W45" i="9"/>
  <c r="W63" i="9"/>
  <c r="C12" i="9"/>
  <c r="F46" i="9"/>
  <c r="F64" i="9"/>
  <c r="G12" i="9"/>
  <c r="G46" i="9"/>
  <c r="G64" i="9"/>
  <c r="H46" i="9"/>
  <c r="H64" i="9"/>
  <c r="I46" i="9"/>
  <c r="I64" i="9"/>
  <c r="J46" i="9"/>
  <c r="J64" i="9"/>
  <c r="M46" i="9"/>
  <c r="M64" i="9"/>
  <c r="Q46" i="9"/>
  <c r="Q64" i="9"/>
  <c r="S46" i="9"/>
  <c r="S64" i="9"/>
  <c r="T46" i="9"/>
  <c r="T64" i="9"/>
  <c r="U46" i="9"/>
  <c r="U64" i="9"/>
  <c r="V46" i="9"/>
  <c r="V64" i="9"/>
  <c r="W46" i="9"/>
  <c r="W64" i="9"/>
  <c r="X46" i="9"/>
  <c r="X64" i="9"/>
  <c r="F47" i="9"/>
  <c r="F65" i="9"/>
  <c r="G13" i="9"/>
  <c r="G47" i="9"/>
  <c r="G65" i="9"/>
  <c r="I13" i="9"/>
  <c r="I47" i="9"/>
  <c r="I65" i="9"/>
  <c r="J13" i="9"/>
  <c r="J47" i="9"/>
  <c r="J65" i="9"/>
  <c r="K13" i="9"/>
  <c r="K47" i="9"/>
  <c r="K65" i="9"/>
  <c r="L13" i="9"/>
  <c r="M13" i="9"/>
  <c r="M47" i="9"/>
  <c r="M65" i="9"/>
  <c r="O47" i="9"/>
  <c r="O65" i="9"/>
  <c r="Q47" i="9"/>
  <c r="Q65" i="9"/>
  <c r="R47" i="9"/>
  <c r="R65" i="9"/>
  <c r="S47" i="9"/>
  <c r="S65" i="9"/>
  <c r="U47" i="9"/>
  <c r="U65" i="9"/>
  <c r="V47" i="9"/>
  <c r="V65" i="9"/>
  <c r="W47" i="9"/>
  <c r="W65" i="9"/>
  <c r="G14" i="9"/>
  <c r="G48" i="9"/>
  <c r="G66" i="9"/>
  <c r="H48" i="9"/>
  <c r="H66" i="9"/>
  <c r="I14" i="9"/>
  <c r="I48" i="9"/>
  <c r="I66" i="9"/>
  <c r="J14" i="9"/>
  <c r="K14" i="9"/>
  <c r="K48" i="9"/>
  <c r="K66" i="9"/>
  <c r="L14" i="9"/>
  <c r="L48" i="9"/>
  <c r="L66" i="9"/>
  <c r="M14" i="9"/>
  <c r="M48" i="9"/>
  <c r="M66" i="9"/>
  <c r="N48" i="9"/>
  <c r="N66" i="9"/>
  <c r="O48" i="9"/>
  <c r="O66" i="9"/>
  <c r="P48" i="9"/>
  <c r="P66" i="9"/>
  <c r="R48" i="9"/>
  <c r="R66" i="9"/>
  <c r="S48" i="9"/>
  <c r="S66" i="9"/>
  <c r="T48" i="9"/>
  <c r="T66" i="9"/>
  <c r="V48" i="9"/>
  <c r="V66" i="9"/>
  <c r="W48" i="9"/>
  <c r="W66" i="9"/>
  <c r="X48" i="9"/>
  <c r="X66" i="9"/>
  <c r="C16" i="9"/>
  <c r="F50" i="9"/>
  <c r="F68" i="9"/>
  <c r="G16" i="9"/>
  <c r="G50" i="9"/>
  <c r="G68" i="9"/>
  <c r="H50" i="9"/>
  <c r="H68" i="9"/>
  <c r="I16" i="9"/>
  <c r="I50" i="9"/>
  <c r="I68" i="9"/>
  <c r="J16" i="9"/>
  <c r="J50" i="9"/>
  <c r="J68" i="9"/>
  <c r="K16" i="9"/>
  <c r="K50" i="9"/>
  <c r="K68" i="9"/>
  <c r="L16" i="9"/>
  <c r="L50" i="9"/>
  <c r="L68" i="9"/>
  <c r="M16" i="9"/>
  <c r="M50" i="9"/>
  <c r="M68" i="9"/>
  <c r="N50" i="9"/>
  <c r="N68" i="9"/>
  <c r="O50" i="9"/>
  <c r="O68" i="9"/>
  <c r="P50" i="9"/>
  <c r="P68" i="9"/>
  <c r="Q50" i="9"/>
  <c r="Q68" i="9"/>
  <c r="R50" i="9"/>
  <c r="R68" i="9"/>
  <c r="S50" i="9"/>
  <c r="S68" i="9"/>
  <c r="T50" i="9"/>
  <c r="T68" i="9"/>
  <c r="U50" i="9"/>
  <c r="U68" i="9"/>
  <c r="V50" i="9"/>
  <c r="V68" i="9"/>
  <c r="W50" i="9"/>
  <c r="W68" i="9"/>
  <c r="C20" i="9"/>
  <c r="C53" i="9"/>
  <c r="C71" i="9"/>
  <c r="F20" i="9"/>
  <c r="F53" i="9"/>
  <c r="F71" i="9"/>
  <c r="G20" i="9"/>
  <c r="G53" i="9"/>
  <c r="H20" i="9"/>
  <c r="H53" i="9"/>
  <c r="H71" i="9"/>
  <c r="I20" i="9"/>
  <c r="I53" i="9"/>
  <c r="I71" i="9"/>
  <c r="J20" i="9"/>
  <c r="J53" i="9"/>
  <c r="J71" i="9"/>
  <c r="K20" i="9"/>
  <c r="K53" i="9"/>
  <c r="K71" i="9"/>
  <c r="L20" i="9"/>
  <c r="L53" i="9"/>
  <c r="M20" i="9"/>
  <c r="N20" i="9"/>
  <c r="N53" i="9"/>
  <c r="N71" i="9"/>
  <c r="O20" i="9"/>
  <c r="O53" i="9"/>
  <c r="O71" i="9"/>
  <c r="P20" i="9"/>
  <c r="P53" i="9"/>
  <c r="Q20" i="9"/>
  <c r="Q53" i="9"/>
  <c r="Q71" i="9"/>
  <c r="R20" i="9"/>
  <c r="R53" i="9"/>
  <c r="R71" i="9"/>
  <c r="S20" i="9"/>
  <c r="S53" i="9"/>
  <c r="S71" i="9"/>
  <c r="S21" i="9"/>
  <c r="S54" i="9"/>
  <c r="S72" i="9"/>
  <c r="S202" i="15"/>
  <c r="T20" i="9"/>
  <c r="T53" i="9"/>
  <c r="U20" i="9"/>
  <c r="U53" i="9"/>
  <c r="U71" i="9"/>
  <c r="V20" i="9"/>
  <c r="V53" i="9"/>
  <c r="V71" i="9"/>
  <c r="W20" i="9"/>
  <c r="W53" i="9"/>
  <c r="X53" i="9"/>
  <c r="C21" i="9"/>
  <c r="C54" i="9"/>
  <c r="C72" i="9"/>
  <c r="F21" i="9"/>
  <c r="F54" i="9"/>
  <c r="F72" i="9"/>
  <c r="G21" i="9"/>
  <c r="G54" i="9"/>
  <c r="G72" i="9"/>
  <c r="H21" i="9"/>
  <c r="H54" i="9"/>
  <c r="H72" i="9"/>
  <c r="I21" i="9"/>
  <c r="I54" i="9"/>
  <c r="I72" i="9"/>
  <c r="J21" i="9"/>
  <c r="J54" i="9"/>
  <c r="J72" i="9"/>
  <c r="K21" i="9"/>
  <c r="K54" i="9"/>
  <c r="K72" i="9"/>
  <c r="K202" i="15"/>
  <c r="L21" i="9"/>
  <c r="L54" i="9"/>
  <c r="L72" i="9"/>
  <c r="M21" i="9"/>
  <c r="M54" i="9"/>
  <c r="N21" i="9"/>
  <c r="N54" i="9"/>
  <c r="N72" i="9"/>
  <c r="O21" i="9"/>
  <c r="O54" i="9"/>
  <c r="O72" i="9"/>
  <c r="P21" i="9"/>
  <c r="P54" i="9"/>
  <c r="P72" i="9"/>
  <c r="Q21" i="9"/>
  <c r="Q54" i="9"/>
  <c r="R21" i="9"/>
  <c r="R54" i="9"/>
  <c r="R72" i="9"/>
  <c r="T21" i="9"/>
  <c r="T54" i="9"/>
  <c r="T72" i="9"/>
  <c r="U21" i="9"/>
  <c r="U54" i="9"/>
  <c r="U72" i="9"/>
  <c r="V21" i="9"/>
  <c r="V54" i="9"/>
  <c r="V72" i="9"/>
  <c r="W21" i="9"/>
  <c r="X54" i="9"/>
  <c r="X72" i="9"/>
  <c r="C23" i="9"/>
  <c r="D23" i="9"/>
  <c r="C40" i="9"/>
  <c r="C58" i="9"/>
  <c r="D40" i="9"/>
  <c r="D58" i="9"/>
  <c r="E40" i="9"/>
  <c r="E58" i="9"/>
  <c r="F40" i="9"/>
  <c r="F58" i="9"/>
  <c r="G40" i="9"/>
  <c r="G58" i="9"/>
  <c r="H40" i="9"/>
  <c r="H58" i="9"/>
  <c r="I40" i="9"/>
  <c r="I58" i="9"/>
  <c r="J40" i="9"/>
  <c r="J58" i="9"/>
  <c r="K40" i="9"/>
  <c r="K58" i="9"/>
  <c r="L40" i="9"/>
  <c r="L58" i="9"/>
  <c r="M40" i="9"/>
  <c r="M58" i="9"/>
  <c r="N40" i="9"/>
  <c r="N58" i="9"/>
  <c r="O40" i="9"/>
  <c r="O58" i="9"/>
  <c r="P40" i="9"/>
  <c r="P58" i="9"/>
  <c r="Q40" i="9"/>
  <c r="Q58" i="9"/>
  <c r="R40" i="9"/>
  <c r="R58" i="9"/>
  <c r="S40" i="9"/>
  <c r="S58" i="9"/>
  <c r="T40" i="9"/>
  <c r="T58" i="9"/>
  <c r="U40" i="9"/>
  <c r="U58" i="9"/>
  <c r="V40" i="9"/>
  <c r="V58" i="9"/>
  <c r="W40" i="9"/>
  <c r="W58" i="9"/>
  <c r="X40" i="9"/>
  <c r="X58" i="9"/>
  <c r="C41" i="9"/>
  <c r="C59" i="9"/>
  <c r="D41" i="9"/>
  <c r="D59" i="9"/>
  <c r="F41" i="9"/>
  <c r="F59" i="9"/>
  <c r="G41" i="9"/>
  <c r="G59" i="9"/>
  <c r="H41" i="9"/>
  <c r="H59" i="9"/>
  <c r="I41" i="9"/>
  <c r="I59" i="9"/>
  <c r="J41" i="9"/>
  <c r="J59" i="9"/>
  <c r="K41" i="9"/>
  <c r="K59" i="9"/>
  <c r="L41" i="9"/>
  <c r="L59" i="9"/>
  <c r="M41" i="9"/>
  <c r="M59" i="9"/>
  <c r="N41" i="9"/>
  <c r="N59" i="9"/>
  <c r="O41" i="9"/>
  <c r="O59" i="9"/>
  <c r="P41" i="9"/>
  <c r="P59" i="9"/>
  <c r="Q41" i="9"/>
  <c r="Q59" i="9"/>
  <c r="R41" i="9"/>
  <c r="R59" i="9"/>
  <c r="S41" i="9"/>
  <c r="S59" i="9"/>
  <c r="T41" i="9"/>
  <c r="T59" i="9"/>
  <c r="U41" i="9"/>
  <c r="U59" i="9"/>
  <c r="V41" i="9"/>
  <c r="V59" i="9"/>
  <c r="W41" i="9"/>
  <c r="W59" i="9"/>
  <c r="X41" i="9"/>
  <c r="X59" i="9"/>
  <c r="AI41" i="9"/>
  <c r="O44" i="9"/>
  <c r="O62" i="9"/>
  <c r="C46" i="9"/>
  <c r="C64" i="9"/>
  <c r="Q48" i="9"/>
  <c r="Q66" i="9"/>
  <c r="U48" i="9"/>
  <c r="U66" i="9"/>
  <c r="C49" i="9"/>
  <c r="C67" i="9"/>
  <c r="C50" i="9"/>
  <c r="C68" i="9"/>
  <c r="M53" i="9"/>
  <c r="M71" i="9"/>
  <c r="C78" i="9"/>
  <c r="C83" i="9"/>
  <c r="D78" i="9"/>
  <c r="AK11" i="15"/>
  <c r="AK13" i="15"/>
  <c r="C13" i="15"/>
  <c r="G13" i="15"/>
  <c r="H13" i="15"/>
  <c r="I13" i="15"/>
  <c r="I14" i="15"/>
  <c r="I29" i="15"/>
  <c r="I253" i="15"/>
  <c r="I254" i="15"/>
  <c r="J13" i="15"/>
  <c r="J14" i="15"/>
  <c r="J29" i="15"/>
  <c r="K13" i="15"/>
  <c r="K14" i="15"/>
  <c r="L13" i="15"/>
  <c r="L14" i="15"/>
  <c r="L29" i="15"/>
  <c r="M13" i="15"/>
  <c r="M14" i="15"/>
  <c r="P15" i="15"/>
  <c r="U15" i="15"/>
  <c r="AJ13" i="15"/>
  <c r="D133" i="15"/>
  <c r="E133" i="15"/>
  <c r="F133" i="15"/>
  <c r="G133" i="15"/>
  <c r="H133" i="15"/>
  <c r="I133" i="15"/>
  <c r="J133" i="15"/>
  <c r="K133" i="15"/>
  <c r="L133" i="15"/>
  <c r="M133" i="15"/>
  <c r="N133" i="15"/>
  <c r="O133" i="15"/>
  <c r="P133" i="15"/>
  <c r="Q133" i="15"/>
  <c r="R133" i="15"/>
  <c r="S133" i="15"/>
  <c r="T133" i="15"/>
  <c r="U133" i="15"/>
  <c r="V133" i="15"/>
  <c r="W133" i="15"/>
  <c r="X133" i="15"/>
  <c r="D138" i="15"/>
  <c r="E138" i="15"/>
  <c r="F138" i="15"/>
  <c r="G138" i="15"/>
  <c r="H138" i="15"/>
  <c r="I138" i="15"/>
  <c r="J138" i="15"/>
  <c r="K138" i="15"/>
  <c r="L138" i="15"/>
  <c r="M138" i="15"/>
  <c r="N138" i="15"/>
  <c r="O138" i="15"/>
  <c r="P138" i="15"/>
  <c r="Q138" i="15"/>
  <c r="R138" i="15"/>
  <c r="S138" i="15"/>
  <c r="T138" i="15"/>
  <c r="U138" i="15"/>
  <c r="V138" i="15"/>
  <c r="W138" i="15"/>
  <c r="X138" i="15"/>
  <c r="F149" i="15"/>
  <c r="G149" i="15"/>
  <c r="I149" i="15"/>
  <c r="J149" i="15"/>
  <c r="K149" i="15"/>
  <c r="K150" i="15"/>
  <c r="K157" i="15"/>
  <c r="K164" i="15"/>
  <c r="L149" i="15"/>
  <c r="M149" i="15"/>
  <c r="N149" i="15"/>
  <c r="O149" i="15"/>
  <c r="P149" i="15"/>
  <c r="Q149" i="15"/>
  <c r="R149" i="15"/>
  <c r="S149" i="15"/>
  <c r="U149" i="15"/>
  <c r="V149" i="15"/>
  <c r="W149" i="15"/>
  <c r="W150" i="15"/>
  <c r="W157" i="15"/>
  <c r="X149" i="15"/>
  <c r="D150" i="15"/>
  <c r="G150" i="15"/>
  <c r="H150" i="15"/>
  <c r="J150" i="15"/>
  <c r="O150" i="15"/>
  <c r="P150" i="15"/>
  <c r="S150" i="15"/>
  <c r="X150" i="15"/>
  <c r="C151" i="15"/>
  <c r="D151" i="15"/>
  <c r="C153" i="15"/>
  <c r="D153" i="15"/>
  <c r="P153" i="15"/>
  <c r="C211" i="15"/>
  <c r="C212" i="15"/>
  <c r="C233" i="15"/>
  <c r="D9" i="5"/>
  <c r="M44" i="5"/>
  <c r="C45" i="5"/>
  <c r="M45" i="5"/>
  <c r="M46" i="5"/>
  <c r="M47" i="5"/>
  <c r="M48" i="5"/>
  <c r="M49" i="5"/>
  <c r="M50" i="5"/>
  <c r="M51" i="5"/>
  <c r="M52" i="5"/>
  <c r="M53" i="5"/>
  <c r="M54" i="5"/>
  <c r="M55" i="5"/>
  <c r="M56" i="5"/>
  <c r="M57" i="5"/>
  <c r="D83" i="9"/>
  <c r="C59" i="5"/>
  <c r="M60" i="5"/>
  <c r="M61" i="5"/>
  <c r="C232" i="15"/>
  <c r="X47" i="9"/>
  <c r="X65" i="9"/>
  <c r="T47" i="9"/>
  <c r="T65" i="9"/>
  <c r="P47" i="9"/>
  <c r="P65" i="9"/>
  <c r="L47" i="9"/>
  <c r="L65" i="9"/>
  <c r="R46" i="9"/>
  <c r="R64" i="9"/>
  <c r="N46" i="9"/>
  <c r="N64" i="9"/>
  <c r="X45" i="9"/>
  <c r="X63" i="9"/>
  <c r="T45" i="9"/>
  <c r="T63" i="9"/>
  <c r="H45" i="9"/>
  <c r="H63" i="9"/>
  <c r="N44" i="9"/>
  <c r="N62" i="9"/>
  <c r="J44" i="9"/>
  <c r="J62" i="9"/>
  <c r="BC30" i="21"/>
  <c r="BC31" i="21"/>
  <c r="M59" i="5"/>
  <c r="M58" i="5"/>
  <c r="J48" i="9"/>
  <c r="J66" i="9"/>
  <c r="F48" i="9"/>
  <c r="F66" i="9"/>
  <c r="BD26" i="21"/>
  <c r="BC27" i="21"/>
  <c r="M86" i="8"/>
  <c r="I86" i="8"/>
  <c r="E86" i="8"/>
  <c r="D47" i="18"/>
  <c r="E47" i="18"/>
  <c r="BD27" i="21"/>
  <c r="BE27" i="21"/>
  <c r="BE32" i="21"/>
  <c r="BE33" i="21"/>
  <c r="BC32" i="21"/>
  <c r="BE26" i="21"/>
  <c r="BD30" i="21"/>
  <c r="BD31" i="21"/>
  <c r="BF26" i="21"/>
  <c r="BE30" i="21"/>
  <c r="BE31" i="21"/>
  <c r="BG26" i="21"/>
  <c r="BF30" i="21"/>
  <c r="BF31" i="21"/>
  <c r="BH26" i="21"/>
  <c r="BG30" i="21"/>
  <c r="BG31" i="21"/>
  <c r="BI26" i="21"/>
  <c r="BH30" i="21"/>
  <c r="BH31" i="21"/>
  <c r="BJ26" i="21"/>
  <c r="BI30" i="21"/>
  <c r="BI31" i="21"/>
  <c r="BK26" i="21"/>
  <c r="BJ30" i="21"/>
  <c r="BJ31" i="21"/>
  <c r="BL26" i="21"/>
  <c r="BK30" i="21"/>
  <c r="BK31" i="21"/>
  <c r="BM26" i="21"/>
  <c r="BL30" i="21"/>
  <c r="BL31" i="21"/>
  <c r="BN26" i="21"/>
  <c r="BM30" i="21"/>
  <c r="BM31" i="21"/>
  <c r="BO26" i="21"/>
  <c r="BN30" i="21"/>
  <c r="BN31" i="21"/>
  <c r="BP26" i="21"/>
  <c r="BO30" i="21"/>
  <c r="BO31" i="21"/>
  <c r="BQ26" i="21"/>
  <c r="BP30" i="21"/>
  <c r="BP31" i="21"/>
  <c r="BR26" i="21"/>
  <c r="BQ30" i="21"/>
  <c r="BQ31" i="21"/>
  <c r="BS26" i="21"/>
  <c r="BR30" i="21"/>
  <c r="BR31" i="21"/>
  <c r="BT26" i="21"/>
  <c r="BS30" i="21"/>
  <c r="BS31" i="21"/>
  <c r="BU26" i="21"/>
  <c r="BT30" i="21"/>
  <c r="BT31" i="21"/>
  <c r="BV26" i="21"/>
  <c r="BU30" i="21"/>
  <c r="BU31" i="21"/>
  <c r="BW26" i="21"/>
  <c r="BV30" i="21"/>
  <c r="BV31" i="21"/>
  <c r="BX26" i="21"/>
  <c r="BX30" i="21"/>
  <c r="BX31" i="21"/>
  <c r="BW30" i="21"/>
  <c r="BW31" i="21"/>
  <c r="D7" i="5"/>
  <c r="N201" i="15"/>
  <c r="F29" i="15"/>
  <c r="F249" i="15"/>
  <c r="M43" i="9"/>
  <c r="M61" i="9"/>
  <c r="G14" i="15"/>
  <c r="G29" i="15"/>
  <c r="G252" i="15"/>
  <c r="P43" i="9"/>
  <c r="P61" i="9"/>
  <c r="T43" i="9"/>
  <c r="T61" i="9"/>
  <c r="W54" i="9"/>
  <c r="W201" i="15"/>
  <c r="H43" i="9"/>
  <c r="H61" i="9"/>
  <c r="W71" i="9"/>
  <c r="P71" i="9"/>
  <c r="U202" i="15"/>
  <c r="S201" i="15"/>
  <c r="S200" i="15"/>
  <c r="P202" i="15"/>
  <c r="I202" i="15"/>
  <c r="AH52" i="9"/>
  <c r="AH55" i="9"/>
  <c r="AD52" i="9"/>
  <c r="AD55" i="9"/>
  <c r="AB198" i="15"/>
  <c r="AG233" i="15"/>
  <c r="AE58" i="9"/>
  <c r="AE199" i="15"/>
  <c r="AE198" i="15"/>
  <c r="Y71" i="9"/>
  <c r="Y202" i="15"/>
  <c r="Y201" i="15"/>
  <c r="X201" i="15"/>
  <c r="AB61" i="9"/>
  <c r="AB199" i="15"/>
  <c r="AH202" i="15"/>
  <c r="AH201" i="15"/>
  <c r="AH200" i="15"/>
  <c r="AD202" i="15"/>
  <c r="Z202" i="15"/>
  <c r="AF198" i="15"/>
  <c r="AC71" i="9"/>
  <c r="AC202" i="15"/>
  <c r="AC201" i="15"/>
  <c r="Z210" i="15"/>
  <c r="Z231" i="15"/>
  <c r="G15" i="15"/>
  <c r="O202" i="15"/>
  <c r="C202" i="15"/>
  <c r="AH58" i="9"/>
  <c r="AH198" i="15"/>
  <c r="AD58" i="9"/>
  <c r="AD60" i="9"/>
  <c r="AD70" i="9"/>
  <c r="AD73" i="9"/>
  <c r="AD178" i="15"/>
  <c r="AD198" i="15"/>
  <c r="Z58" i="9"/>
  <c r="Z198" i="15"/>
  <c r="AH177" i="15"/>
  <c r="AD177" i="15"/>
  <c r="AF71" i="9"/>
  <c r="AF202" i="15"/>
  <c r="AF201" i="15"/>
  <c r="AB71" i="9"/>
  <c r="AB202" i="15"/>
  <c r="AB201" i="15"/>
  <c r="AB200" i="15"/>
  <c r="AD201" i="15"/>
  <c r="AD200" i="15"/>
  <c r="AA58" i="9"/>
  <c r="AA199" i="15"/>
  <c r="AA198" i="15"/>
  <c r="AA197" i="15"/>
  <c r="AG71" i="9"/>
  <c r="AG202" i="15"/>
  <c r="AG201" i="15"/>
  <c r="AG200" i="15"/>
  <c r="X71" i="9"/>
  <c r="X202" i="15"/>
  <c r="X200" i="15"/>
  <c r="L201" i="15"/>
  <c r="J202" i="15"/>
  <c r="AG58" i="9"/>
  <c r="AG198" i="15"/>
  <c r="AC58" i="9"/>
  <c r="AC199" i="15"/>
  <c r="AC198" i="15"/>
  <c r="Y58" i="9"/>
  <c r="Y199" i="15"/>
  <c r="Y198" i="15"/>
  <c r="Y197" i="15"/>
  <c r="AE71" i="9"/>
  <c r="AE202" i="15"/>
  <c r="AE201" i="15"/>
  <c r="AE200" i="15"/>
  <c r="AA71" i="9"/>
  <c r="AA202" i="15"/>
  <c r="AA201" i="15"/>
  <c r="Z201" i="15"/>
  <c r="Z200" i="15"/>
  <c r="AB210" i="15"/>
  <c r="AB231" i="15"/>
  <c r="AD212" i="15"/>
  <c r="AF200" i="15"/>
  <c r="R29" i="15"/>
  <c r="R252" i="15"/>
  <c r="AF15" i="15"/>
  <c r="C210" i="15"/>
  <c r="C231" i="15"/>
  <c r="AH29" i="15"/>
  <c r="AH252" i="15"/>
  <c r="Y19" i="15"/>
  <c r="Y21" i="15"/>
  <c r="AB29" i="15"/>
  <c r="AB253" i="15"/>
  <c r="AA29" i="15"/>
  <c r="J24" i="5"/>
  <c r="K24" i="5"/>
  <c r="K23" i="5"/>
  <c r="N29" i="15"/>
  <c r="I201" i="15"/>
  <c r="I200" i="15"/>
  <c r="L71" i="9"/>
  <c r="L202" i="15"/>
  <c r="L200" i="15"/>
  <c r="Y52" i="9"/>
  <c r="Y55" i="9"/>
  <c r="D202" i="15"/>
  <c r="H202" i="15"/>
  <c r="W72" i="9"/>
  <c r="W202" i="15"/>
  <c r="W200" i="15"/>
  <c r="H201" i="15"/>
  <c r="I15" i="15"/>
  <c r="Q201" i="15"/>
  <c r="Q72" i="9"/>
  <c r="Q202" i="15"/>
  <c r="O201" i="15"/>
  <c r="O200" i="15"/>
  <c r="T71" i="9"/>
  <c r="T202" i="15"/>
  <c r="T201" i="15"/>
  <c r="E202" i="15"/>
  <c r="E201" i="15"/>
  <c r="R202" i="15"/>
  <c r="G71" i="9"/>
  <c r="G202" i="15"/>
  <c r="G201" i="15"/>
  <c r="AE69" i="9"/>
  <c r="AE196" i="15"/>
  <c r="J201" i="15"/>
  <c r="J200" i="15"/>
  <c r="R201" i="15"/>
  <c r="BD32" i="21"/>
  <c r="P201" i="15"/>
  <c r="N202" i="15"/>
  <c r="N200" i="15"/>
  <c r="F202" i="15"/>
  <c r="Y70" i="9"/>
  <c r="Y73" i="9"/>
  <c r="Y178" i="15"/>
  <c r="Y69" i="9"/>
  <c r="Y196" i="15"/>
  <c r="AE51" i="9"/>
  <c r="AE195" i="15"/>
  <c r="AE194" i="15"/>
  <c r="V202" i="15"/>
  <c r="V201" i="15"/>
  <c r="V200" i="15"/>
  <c r="U201" i="15"/>
  <c r="U200" i="15"/>
  <c r="F201" i="15"/>
  <c r="F200" i="15"/>
  <c r="D201" i="15"/>
  <c r="D200" i="15"/>
  <c r="D207" i="15"/>
  <c r="E200" i="15"/>
  <c r="E207" i="15"/>
  <c r="F207" i="15"/>
  <c r="G200" i="15"/>
  <c r="G207" i="15"/>
  <c r="H200" i="15"/>
  <c r="H207" i="15"/>
  <c r="I207" i="15"/>
  <c r="J207" i="15"/>
  <c r="K201" i="15"/>
  <c r="K200" i="15"/>
  <c r="K207" i="15"/>
  <c r="L207" i="15"/>
  <c r="M201" i="15"/>
  <c r="M72" i="9"/>
  <c r="M202" i="15"/>
  <c r="M200" i="15"/>
  <c r="M207" i="15"/>
  <c r="N207" i="15"/>
  <c r="O207" i="15"/>
  <c r="P200" i="15"/>
  <c r="P207" i="15"/>
  <c r="Q200" i="15"/>
  <c r="Q207" i="15"/>
  <c r="R200" i="15"/>
  <c r="R207" i="15"/>
  <c r="S207" i="15"/>
  <c r="T200" i="15"/>
  <c r="T207" i="15"/>
  <c r="U207" i="15"/>
  <c r="V207" i="15"/>
  <c r="W207" i="15"/>
  <c r="X207" i="15"/>
  <c r="Y200" i="15"/>
  <c r="Y207" i="15"/>
  <c r="Z207" i="15"/>
  <c r="AA200" i="15"/>
  <c r="AA207" i="15"/>
  <c r="AB207" i="15"/>
  <c r="AC200" i="15"/>
  <c r="AC207" i="15"/>
  <c r="AD207" i="15"/>
  <c r="AE207" i="15"/>
  <c r="AF207" i="15"/>
  <c r="AG207" i="15"/>
  <c r="AH207" i="15"/>
  <c r="Y51" i="9"/>
  <c r="Y195" i="15"/>
  <c r="F253" i="15"/>
  <c r="F254" i="15"/>
  <c r="Z60" i="9"/>
  <c r="Z69" i="9"/>
  <c r="Z196" i="15"/>
  <c r="Z51" i="9"/>
  <c r="Z195" i="15"/>
  <c r="Z52" i="9"/>
  <c r="Z55" i="9"/>
  <c r="AF61" i="9"/>
  <c r="AF70" i="9"/>
  <c r="AF73" i="9"/>
  <c r="AF178" i="15"/>
  <c r="AF51" i="9"/>
  <c r="AF195" i="15"/>
  <c r="AC69" i="9"/>
  <c r="AC196" i="15"/>
  <c r="BF27" i="21"/>
  <c r="BC34" i="21"/>
  <c r="C173" i="15"/>
  <c r="BC33" i="21"/>
  <c r="AH60" i="9"/>
  <c r="AH69" i="9"/>
  <c r="AH196" i="15"/>
  <c r="AH51" i="9"/>
  <c r="AH195" i="15"/>
  <c r="AH194" i="15"/>
  <c r="AD69" i="9"/>
  <c r="AD196" i="15"/>
  <c r="AD51" i="9"/>
  <c r="AD195" i="15"/>
  <c r="AD194" i="15"/>
  <c r="AD199" i="15"/>
  <c r="AD197" i="15"/>
  <c r="AD204" i="15"/>
  <c r="AB69" i="9"/>
  <c r="AB196" i="15"/>
  <c r="AB51" i="9"/>
  <c r="AB195" i="15"/>
  <c r="AB194" i="15"/>
  <c r="C201" i="15"/>
  <c r="BE34" i="21"/>
  <c r="E173" i="15"/>
  <c r="AG60" i="9"/>
  <c r="AG69" i="9"/>
  <c r="AG196" i="15"/>
  <c r="AG52" i="9"/>
  <c r="AG55" i="9"/>
  <c r="AG51" i="9"/>
  <c r="AG195" i="15"/>
  <c r="AA69" i="9"/>
  <c r="AA196" i="15"/>
  <c r="AE52" i="9"/>
  <c r="AE55" i="9"/>
  <c r="AA51" i="9"/>
  <c r="AA195" i="15"/>
  <c r="AA194" i="15"/>
  <c r="AC51" i="9"/>
  <c r="AC195" i="15"/>
  <c r="AC52" i="9"/>
  <c r="AC55" i="9"/>
  <c r="N15" i="15"/>
  <c r="AF52" i="9"/>
  <c r="AF55" i="9"/>
  <c r="AB52" i="9"/>
  <c r="AB55" i="9"/>
  <c r="AA52" i="9"/>
  <c r="AA55" i="9"/>
  <c r="R249" i="15"/>
  <c r="N249" i="15"/>
  <c r="N253" i="15"/>
  <c r="N254" i="15"/>
  <c r="N100" i="15"/>
  <c r="G249" i="15"/>
  <c r="G250" i="15"/>
  <c r="G251" i="15"/>
  <c r="G100" i="15"/>
  <c r="G253" i="15"/>
  <c r="G254" i="15"/>
  <c r="J15" i="15"/>
  <c r="Q15" i="15"/>
  <c r="E15" i="15"/>
  <c r="U29" i="15"/>
  <c r="U253" i="15"/>
  <c r="U254" i="15"/>
  <c r="L252" i="15"/>
  <c r="R250" i="15"/>
  <c r="R251" i="15"/>
  <c r="R253" i="15"/>
  <c r="R254" i="15"/>
  <c r="R100" i="15"/>
  <c r="R127" i="15"/>
  <c r="R212" i="15"/>
  <c r="D250" i="15"/>
  <c r="D251" i="15"/>
  <c r="AI13" i="15"/>
  <c r="X15" i="15"/>
  <c r="T15" i="15"/>
  <c r="D157" i="15"/>
  <c r="D164" i="15"/>
  <c r="W151" i="15"/>
  <c r="W155" i="15"/>
  <c r="E149" i="15"/>
  <c r="E157" i="15"/>
  <c r="E164" i="15"/>
  <c r="C152" i="15"/>
  <c r="M157" i="15"/>
  <c r="M164" i="15"/>
  <c r="I157" i="15"/>
  <c r="I164" i="15"/>
  <c r="T164" i="15"/>
  <c r="S78" i="9"/>
  <c r="S83" i="9"/>
  <c r="S153" i="15"/>
  <c r="S154" i="15"/>
  <c r="S151" i="15"/>
  <c r="O78" i="9"/>
  <c r="O83" i="9"/>
  <c r="O153" i="15"/>
  <c r="O154" i="15"/>
  <c r="O151" i="15"/>
  <c r="X153" i="15"/>
  <c r="X154" i="15"/>
  <c r="W78" i="9"/>
  <c r="W83" i="9"/>
  <c r="P151" i="15"/>
  <c r="P155" i="15"/>
  <c r="S47" i="18"/>
  <c r="T47" i="18"/>
  <c r="U47" i="18"/>
  <c r="R78" i="9"/>
  <c r="R83" i="9"/>
  <c r="G78" i="9"/>
  <c r="G83" i="9"/>
  <c r="G151" i="15"/>
  <c r="G153" i="15"/>
  <c r="P47" i="18"/>
  <c r="N151" i="15"/>
  <c r="N152" i="15"/>
  <c r="N153" i="15"/>
  <c r="N154" i="15"/>
  <c r="Q151" i="15"/>
  <c r="J151" i="15"/>
  <c r="J152" i="15"/>
  <c r="M78" i="9"/>
  <c r="M83" i="9"/>
  <c r="Y47" i="18"/>
  <c r="N78" i="9"/>
  <c r="N83" i="9"/>
  <c r="Q153" i="15"/>
  <c r="J153" i="15"/>
  <c r="J154" i="15"/>
  <c r="X151" i="15"/>
  <c r="Z47" i="18"/>
  <c r="U153" i="15"/>
  <c r="U154" i="15"/>
  <c r="W47" i="18"/>
  <c r="U78" i="9"/>
  <c r="U83" i="9"/>
  <c r="U151" i="15"/>
  <c r="U152" i="15"/>
  <c r="K78" i="9"/>
  <c r="K83" i="9"/>
  <c r="K153" i="15"/>
  <c r="K154" i="15"/>
  <c r="M47" i="18"/>
  <c r="K151" i="15"/>
  <c r="K152" i="15"/>
  <c r="T151" i="15"/>
  <c r="T153" i="15"/>
  <c r="T155" i="15"/>
  <c r="T154" i="15"/>
  <c r="T78" i="9"/>
  <c r="T83" i="9"/>
  <c r="V47" i="18"/>
  <c r="H47" i="18"/>
  <c r="I47" i="18"/>
  <c r="F153" i="15"/>
  <c r="F154" i="15"/>
  <c r="F151" i="15"/>
  <c r="F152" i="15"/>
  <c r="F78" i="9"/>
  <c r="F83" i="9"/>
  <c r="X47" i="18"/>
  <c r="V151" i="15"/>
  <c r="V153" i="15"/>
  <c r="V154" i="15"/>
  <c r="V78" i="9"/>
  <c r="V83" i="9"/>
  <c r="L151" i="15"/>
  <c r="L152" i="15"/>
  <c r="L153" i="15"/>
  <c r="L154" i="15"/>
  <c r="L78" i="9"/>
  <c r="L83" i="9"/>
  <c r="N47" i="18"/>
  <c r="E153" i="15"/>
  <c r="E151" i="15"/>
  <c r="E152" i="15"/>
  <c r="E78" i="9"/>
  <c r="E83" i="9"/>
  <c r="L47" i="18"/>
  <c r="R153" i="15"/>
  <c r="R154" i="15"/>
  <c r="R151" i="15"/>
  <c r="R47" i="18"/>
  <c r="J47" i="18"/>
  <c r="I78" i="9"/>
  <c r="I83" i="9"/>
  <c r="K47" i="18"/>
  <c r="Q47" i="18"/>
  <c r="M153" i="15"/>
  <c r="M154" i="15"/>
  <c r="I153" i="15"/>
  <c r="I155" i="15"/>
  <c r="M151" i="15"/>
  <c r="M152" i="15"/>
  <c r="H78" i="9"/>
  <c r="H83" i="9"/>
  <c r="H153" i="15"/>
  <c r="H154" i="15"/>
  <c r="P154" i="15"/>
  <c r="L157" i="15"/>
  <c r="L164" i="15"/>
  <c r="D152" i="15"/>
  <c r="V157" i="15"/>
  <c r="V164" i="15"/>
  <c r="J157" i="15"/>
  <c r="J164" i="15"/>
  <c r="X157" i="15"/>
  <c r="X164" i="15"/>
  <c r="P157" i="15"/>
  <c r="P164" i="15"/>
  <c r="H157" i="15"/>
  <c r="H164" i="15"/>
  <c r="C154" i="15"/>
  <c r="S155" i="15"/>
  <c r="W154" i="15"/>
  <c r="W164" i="15"/>
  <c r="S157" i="15"/>
  <c r="S164" i="15"/>
  <c r="U157" i="15"/>
  <c r="U164" i="15"/>
  <c r="Q157" i="15"/>
  <c r="Q164" i="15"/>
  <c r="C155" i="15"/>
  <c r="F157" i="15"/>
  <c r="F164" i="15"/>
  <c r="I152" i="15"/>
  <c r="R157" i="15"/>
  <c r="R164" i="15"/>
  <c r="N157" i="15"/>
  <c r="N164" i="15"/>
  <c r="N47" i="9"/>
  <c r="N65" i="9"/>
  <c r="D18" i="9"/>
  <c r="D20" i="15"/>
  <c r="D17" i="9"/>
  <c r="D22" i="9"/>
  <c r="D24" i="9"/>
  <c r="D25" i="9"/>
  <c r="E17" i="9"/>
  <c r="E22" i="9"/>
  <c r="E24" i="9"/>
  <c r="E25" i="9"/>
  <c r="C47" i="9"/>
  <c r="C65" i="9"/>
  <c r="E18" i="9"/>
  <c r="E34" i="9"/>
  <c r="D198" i="15"/>
  <c r="D199" i="15"/>
  <c r="D197" i="15"/>
  <c r="D51" i="9"/>
  <c r="D195" i="15"/>
  <c r="D69" i="9"/>
  <c r="D196" i="15"/>
  <c r="D194" i="15"/>
  <c r="D203" i="15"/>
  <c r="C42" i="9"/>
  <c r="C17" i="9"/>
  <c r="C22" i="9"/>
  <c r="C24" i="9"/>
  <c r="C25" i="9"/>
  <c r="C18" i="9"/>
  <c r="X50" i="9"/>
  <c r="X68" i="9"/>
  <c r="X43" i="9"/>
  <c r="X61" i="9"/>
  <c r="C48" i="9"/>
  <c r="C66" i="9"/>
  <c r="AB197" i="15"/>
  <c r="AE197" i="15"/>
  <c r="AE204" i="15"/>
  <c r="AA70" i="9"/>
  <c r="AA73" i="9"/>
  <c r="AA178" i="15"/>
  <c r="AC70" i="9"/>
  <c r="AC73" i="9"/>
  <c r="AC178" i="15"/>
  <c r="AG194" i="15"/>
  <c r="C200" i="15"/>
  <c r="Y194" i="15"/>
  <c r="Y203" i="15"/>
  <c r="AH199" i="15"/>
  <c r="AH197" i="15"/>
  <c r="AB204" i="15"/>
  <c r="AB203" i="15"/>
  <c r="AH254" i="15"/>
  <c r="AB177" i="15"/>
  <c r="AC177" i="15"/>
  <c r="AC176" i="15"/>
  <c r="AB252" i="15"/>
  <c r="AB249" i="15"/>
  <c r="AB254" i="15"/>
  <c r="AB250" i="15"/>
  <c r="AF176" i="15"/>
  <c r="AF177" i="15"/>
  <c r="Y233" i="15"/>
  <c r="Y210" i="15"/>
  <c r="AA204" i="15"/>
  <c r="AH203" i="15"/>
  <c r="AH204" i="15"/>
  <c r="Z177" i="15"/>
  <c r="AE70" i="9"/>
  <c r="AE73" i="9"/>
  <c r="AE178" i="15"/>
  <c r="Y177" i="15"/>
  <c r="Y176" i="15"/>
  <c r="AA253" i="15"/>
  <c r="AA249" i="15"/>
  <c r="AA252" i="15"/>
  <c r="AA254" i="15"/>
  <c r="AA250" i="15"/>
  <c r="AA251" i="15"/>
  <c r="AA203" i="15"/>
  <c r="AG199" i="15"/>
  <c r="AG197" i="15"/>
  <c r="AF199" i="15"/>
  <c r="AF197" i="15"/>
  <c r="AG231" i="15"/>
  <c r="AD176" i="15"/>
  <c r="AG177" i="15"/>
  <c r="AE203" i="15"/>
  <c r="Y250" i="15"/>
  <c r="Y252" i="15"/>
  <c r="Y254" i="15"/>
  <c r="Y251" i="15"/>
  <c r="Y253" i="15"/>
  <c r="Y249" i="15"/>
  <c r="Z199" i="15"/>
  <c r="Z197" i="15"/>
  <c r="Z194" i="15"/>
  <c r="Z204" i="15"/>
  <c r="AA176" i="15"/>
  <c r="AA177" i="15"/>
  <c r="AE176" i="15"/>
  <c r="AE177" i="15"/>
  <c r="AC194" i="15"/>
  <c r="AC197" i="15"/>
  <c r="AC204" i="15"/>
  <c r="AD233" i="15"/>
  <c r="AD210" i="15"/>
  <c r="G155" i="15"/>
  <c r="AH15" i="15"/>
  <c r="AH19" i="15"/>
  <c r="AH21" i="15"/>
  <c r="AF19" i="15"/>
  <c r="AE15" i="15"/>
  <c r="AE19" i="15"/>
  <c r="AE21" i="15"/>
  <c r="Z15" i="15"/>
  <c r="Z19" i="15"/>
  <c r="Z21" i="15"/>
  <c r="AB15" i="15"/>
  <c r="AB19" i="15"/>
  <c r="AB21" i="15"/>
  <c r="P152" i="15"/>
  <c r="E154" i="15"/>
  <c r="AA15" i="15"/>
  <c r="AA19" i="15"/>
  <c r="AA21" i="15"/>
  <c r="AE29" i="15"/>
  <c r="AE254" i="15"/>
  <c r="Z29" i="15"/>
  <c r="Z249" i="15"/>
  <c r="K17" i="5"/>
  <c r="K19" i="5"/>
  <c r="K18" i="5"/>
  <c r="K20" i="5"/>
  <c r="K22" i="5"/>
  <c r="K21" i="5"/>
  <c r="AF69" i="9"/>
  <c r="AF196" i="15"/>
  <c r="AF194" i="15"/>
  <c r="AF203" i="15"/>
  <c r="O15" i="15"/>
  <c r="N250" i="15"/>
  <c r="N251" i="15"/>
  <c r="N252" i="15"/>
  <c r="BD34" i="21"/>
  <c r="D173" i="15"/>
  <c r="BD33" i="21"/>
  <c r="T29" i="15"/>
  <c r="T252" i="15"/>
  <c r="AH70" i="9"/>
  <c r="AH73" i="9"/>
  <c r="BG27" i="21"/>
  <c r="BF32" i="21"/>
  <c r="D15" i="15"/>
  <c r="AB70" i="9"/>
  <c r="AB73" i="9"/>
  <c r="AB178" i="15"/>
  <c r="Z70" i="9"/>
  <c r="Z73" i="9"/>
  <c r="Z178" i="15"/>
  <c r="AG70" i="9"/>
  <c r="AG73" i="9"/>
  <c r="AG178" i="15"/>
  <c r="D211" i="15"/>
  <c r="D253" i="15"/>
  <c r="D254" i="15"/>
  <c r="U250" i="15"/>
  <c r="U251" i="15"/>
  <c r="U100" i="15"/>
  <c r="U211" i="15"/>
  <c r="U232" i="15"/>
  <c r="U249" i="15"/>
  <c r="Q29" i="15"/>
  <c r="Q252" i="15"/>
  <c r="R211" i="15"/>
  <c r="X19" i="15"/>
  <c r="X29" i="15"/>
  <c r="X254" i="15"/>
  <c r="N211" i="15"/>
  <c r="N127" i="15"/>
  <c r="N212" i="15"/>
  <c r="G127" i="15"/>
  <c r="G212" i="15"/>
  <c r="G233" i="15"/>
  <c r="G211" i="15"/>
  <c r="G210" i="15"/>
  <c r="G231" i="15"/>
  <c r="O155" i="15"/>
  <c r="T152" i="15"/>
  <c r="G152" i="15"/>
  <c r="Q152" i="15"/>
  <c r="N155" i="15"/>
  <c r="H155" i="15"/>
  <c r="R155" i="15"/>
  <c r="R152" i="15"/>
  <c r="E155" i="15"/>
  <c r="L155" i="15"/>
  <c r="F155" i="15"/>
  <c r="M155" i="15"/>
  <c r="D32" i="9"/>
  <c r="D28" i="9"/>
  <c r="D30" i="9"/>
  <c r="D29" i="9"/>
  <c r="D31" i="9"/>
  <c r="D34" i="9"/>
  <c r="D33" i="9"/>
  <c r="D19" i="9"/>
  <c r="E19" i="9"/>
  <c r="E32" i="9"/>
  <c r="E33" i="9"/>
  <c r="E31" i="9"/>
  <c r="E20" i="15"/>
  <c r="E28" i="9"/>
  <c r="E199" i="15"/>
  <c r="E198" i="15"/>
  <c r="E197" i="15"/>
  <c r="E29" i="9"/>
  <c r="E30" i="9"/>
  <c r="C34" i="9"/>
  <c r="C20" i="15"/>
  <c r="C19" i="9"/>
  <c r="C30" i="9"/>
  <c r="C29" i="9"/>
  <c r="C28" i="9"/>
  <c r="C32" i="9"/>
  <c r="C31" i="9"/>
  <c r="C33" i="9"/>
  <c r="F49" i="9"/>
  <c r="F67" i="9"/>
  <c r="E51" i="9"/>
  <c r="E195" i="15"/>
  <c r="D178" i="15"/>
  <c r="C52" i="9"/>
  <c r="C55" i="9"/>
  <c r="C60" i="9"/>
  <c r="C51" i="9"/>
  <c r="C195" i="15"/>
  <c r="C69" i="9"/>
  <c r="C196" i="15"/>
  <c r="C194" i="15"/>
  <c r="C198" i="15"/>
  <c r="C199" i="15"/>
  <c r="C197" i="15"/>
  <c r="C203" i="15"/>
  <c r="D177" i="15"/>
  <c r="AG176" i="15"/>
  <c r="AF204" i="15"/>
  <c r="AD203" i="15"/>
  <c r="Z254" i="15"/>
  <c r="Z250" i="15"/>
  <c r="Z253" i="15"/>
  <c r="Z251" i="15"/>
  <c r="Z252" i="15"/>
  <c r="Z203" i="15"/>
  <c r="AE253" i="15"/>
  <c r="AE249" i="15"/>
  <c r="AE252" i="15"/>
  <c r="AE250" i="15"/>
  <c r="AE251" i="15"/>
  <c r="AC203" i="15"/>
  <c r="T249" i="15"/>
  <c r="X250" i="15"/>
  <c r="X252" i="15"/>
  <c r="X251" i="15"/>
  <c r="X253" i="15"/>
  <c r="AH178" i="15"/>
  <c r="AH176" i="15"/>
  <c r="Y231" i="15"/>
  <c r="T250" i="15"/>
  <c r="T251" i="15"/>
  <c r="AD231" i="15"/>
  <c r="Z176" i="15"/>
  <c r="AB176" i="15"/>
  <c r="T100" i="15"/>
  <c r="T211" i="15"/>
  <c r="T253" i="15"/>
  <c r="T254" i="15"/>
  <c r="BF34" i="21"/>
  <c r="F173" i="15"/>
  <c r="BF33" i="21"/>
  <c r="BG32" i="21"/>
  <c r="BH27" i="21"/>
  <c r="G232" i="15"/>
  <c r="R232" i="15"/>
  <c r="E250" i="15"/>
  <c r="E251" i="15"/>
  <c r="E253" i="15"/>
  <c r="E254" i="15"/>
  <c r="N232" i="15"/>
  <c r="X249" i="15"/>
  <c r="Q249" i="15"/>
  <c r="Q253" i="15"/>
  <c r="Q254" i="15"/>
  <c r="D212" i="15"/>
  <c r="D233" i="15"/>
  <c r="D206" i="15"/>
  <c r="D204" i="15"/>
  <c r="E177" i="15"/>
  <c r="C177" i="15"/>
  <c r="E178" i="15"/>
  <c r="E69" i="9"/>
  <c r="E196" i="15"/>
  <c r="C70" i="9"/>
  <c r="C73" i="9"/>
  <c r="C178" i="15"/>
  <c r="F42" i="9"/>
  <c r="F18" i="9"/>
  <c r="F17" i="9"/>
  <c r="F22" i="9"/>
  <c r="F24" i="9"/>
  <c r="F25" i="9"/>
  <c r="G49" i="9"/>
  <c r="G67" i="9"/>
  <c r="BG33" i="21"/>
  <c r="BG34" i="21"/>
  <c r="G173" i="15"/>
  <c r="BI27" i="21"/>
  <c r="BH32" i="21"/>
  <c r="E211" i="15"/>
  <c r="E212" i="15"/>
  <c r="E210" i="15"/>
  <c r="E231" i="15"/>
  <c r="E233" i="15"/>
  <c r="T232" i="15"/>
  <c r="C176" i="15"/>
  <c r="G17" i="9"/>
  <c r="G22" i="9"/>
  <c r="G24" i="9"/>
  <c r="G25" i="9"/>
  <c r="G18" i="9"/>
  <c r="G42" i="9"/>
  <c r="F20" i="15"/>
  <c r="F32" i="9"/>
  <c r="F34" i="9"/>
  <c r="F31" i="9"/>
  <c r="F30" i="9"/>
  <c r="F28" i="9"/>
  <c r="F19" i="9"/>
  <c r="F29" i="9"/>
  <c r="F33" i="9"/>
  <c r="H49" i="9"/>
  <c r="H67" i="9"/>
  <c r="F60" i="9"/>
  <c r="F198" i="15"/>
  <c r="F52" i="9"/>
  <c r="F55" i="9"/>
  <c r="F51" i="9"/>
  <c r="F195" i="15"/>
  <c r="BH34" i="21"/>
  <c r="H173" i="15"/>
  <c r="BH33" i="21"/>
  <c r="BJ27" i="21"/>
  <c r="BI32" i="21"/>
  <c r="E232" i="15"/>
  <c r="F177" i="15"/>
  <c r="G198" i="15"/>
  <c r="G60" i="9"/>
  <c r="G52" i="9"/>
  <c r="G55" i="9"/>
  <c r="G51" i="9"/>
  <c r="G195" i="15"/>
  <c r="F69" i="9"/>
  <c r="F196" i="15"/>
  <c r="F194" i="15"/>
  <c r="F199" i="15"/>
  <c r="F197" i="15"/>
  <c r="F70" i="9"/>
  <c r="F73" i="9"/>
  <c r="F178" i="15"/>
  <c r="H17" i="9"/>
  <c r="H22" i="9"/>
  <c r="H24" i="9"/>
  <c r="H25" i="9"/>
  <c r="H42" i="9"/>
  <c r="H18" i="9"/>
  <c r="H30" i="9"/>
  <c r="G19" i="9"/>
  <c r="G32" i="9"/>
  <c r="G28" i="9"/>
  <c r="G29" i="9"/>
  <c r="G34" i="9"/>
  <c r="G31" i="9"/>
  <c r="G20" i="15"/>
  <c r="G30" i="9"/>
  <c r="G33" i="9"/>
  <c r="I49" i="9"/>
  <c r="I67" i="9"/>
  <c r="BK27" i="21"/>
  <c r="BJ32" i="21"/>
  <c r="BI34" i="21"/>
  <c r="I173" i="15"/>
  <c r="BI33" i="21"/>
  <c r="G177" i="15"/>
  <c r="G70" i="9"/>
  <c r="G73" i="9"/>
  <c r="G178" i="15"/>
  <c r="G69" i="9"/>
  <c r="G196" i="15"/>
  <c r="G194" i="15"/>
  <c r="G199" i="15"/>
  <c r="G197" i="15"/>
  <c r="I42" i="9"/>
  <c r="I17" i="9"/>
  <c r="I22" i="9"/>
  <c r="I24" i="9"/>
  <c r="I25" i="9"/>
  <c r="I18" i="9"/>
  <c r="H19" i="9"/>
  <c r="H32" i="9"/>
  <c r="H28" i="9"/>
  <c r="H20" i="15"/>
  <c r="H29" i="9"/>
  <c r="H34" i="9"/>
  <c r="J49" i="9"/>
  <c r="J67" i="9"/>
  <c r="H60" i="9"/>
  <c r="H198" i="15"/>
  <c r="F176" i="15"/>
  <c r="F204" i="15"/>
  <c r="BJ33" i="21"/>
  <c r="BJ34" i="21"/>
  <c r="J173" i="15"/>
  <c r="BK32" i="21"/>
  <c r="BL27" i="21"/>
  <c r="G204" i="15"/>
  <c r="G203" i="15"/>
  <c r="J42" i="9"/>
  <c r="J17" i="9"/>
  <c r="J22" i="9"/>
  <c r="J24" i="9"/>
  <c r="J25" i="9"/>
  <c r="J18" i="9"/>
  <c r="I60" i="9"/>
  <c r="I52" i="9"/>
  <c r="I55" i="9"/>
  <c r="I51" i="9"/>
  <c r="I195" i="15"/>
  <c r="I198" i="15"/>
  <c r="K49" i="9"/>
  <c r="K67" i="9"/>
  <c r="G176" i="15"/>
  <c r="H199" i="15"/>
  <c r="H197" i="15"/>
  <c r="I30" i="9"/>
  <c r="I31" i="9"/>
  <c r="I34" i="9"/>
  <c r="I29" i="9"/>
  <c r="I28" i="9"/>
  <c r="I20" i="15"/>
  <c r="I19" i="9"/>
  <c r="I32" i="9"/>
  <c r="I33" i="9"/>
  <c r="BK34" i="21"/>
  <c r="K173" i="15"/>
  <c r="BK33" i="21"/>
  <c r="BM27" i="21"/>
  <c r="BL32" i="21"/>
  <c r="I177" i="15"/>
  <c r="K42" i="9"/>
  <c r="K17" i="9"/>
  <c r="K22" i="9"/>
  <c r="K24" i="9"/>
  <c r="K25" i="9"/>
  <c r="K18" i="9"/>
  <c r="I70" i="9"/>
  <c r="I73" i="9"/>
  <c r="I178" i="15"/>
  <c r="I69" i="9"/>
  <c r="I196" i="15"/>
  <c r="I194" i="15"/>
  <c r="I199" i="15"/>
  <c r="I197" i="15"/>
  <c r="J60" i="9"/>
  <c r="J52" i="9"/>
  <c r="J55" i="9"/>
  <c r="J198" i="15"/>
  <c r="J51" i="9"/>
  <c r="J195" i="15"/>
  <c r="L49" i="9"/>
  <c r="L67" i="9"/>
  <c r="J32" i="9"/>
  <c r="J19" i="9"/>
  <c r="J34" i="9"/>
  <c r="J31" i="9"/>
  <c r="J29" i="9"/>
  <c r="J30" i="9"/>
  <c r="J28" i="9"/>
  <c r="J20" i="15"/>
  <c r="J33" i="9"/>
  <c r="BL34" i="21"/>
  <c r="L173" i="15"/>
  <c r="BL33" i="21"/>
  <c r="BM32" i="21"/>
  <c r="BN27" i="21"/>
  <c r="M49" i="9"/>
  <c r="M67" i="9"/>
  <c r="K198" i="15"/>
  <c r="K60" i="9"/>
  <c r="K52" i="9"/>
  <c r="K55" i="9"/>
  <c r="K51" i="9"/>
  <c r="K195" i="15"/>
  <c r="K69" i="9"/>
  <c r="K196" i="15"/>
  <c r="K194" i="15"/>
  <c r="L17" i="9"/>
  <c r="L22" i="9"/>
  <c r="L24" i="9"/>
  <c r="L25" i="9"/>
  <c r="L42" i="9"/>
  <c r="L18" i="9"/>
  <c r="J177" i="15"/>
  <c r="J70" i="9"/>
  <c r="J73" i="9"/>
  <c r="J178" i="15"/>
  <c r="J69" i="9"/>
  <c r="J196" i="15"/>
  <c r="J194" i="15"/>
  <c r="J199" i="15"/>
  <c r="J197" i="15"/>
  <c r="K34" i="9"/>
  <c r="K31" i="9"/>
  <c r="K29" i="9"/>
  <c r="K30" i="9"/>
  <c r="K20" i="15"/>
  <c r="K28" i="9"/>
  <c r="K19" i="9"/>
  <c r="K32" i="9"/>
  <c r="K33" i="9"/>
  <c r="I176" i="15"/>
  <c r="BN32" i="21"/>
  <c r="BO27" i="21"/>
  <c r="BM33" i="21"/>
  <c r="BM34" i="21"/>
  <c r="M173" i="15"/>
  <c r="K177" i="15"/>
  <c r="M17" i="9"/>
  <c r="M22" i="9"/>
  <c r="M24" i="9"/>
  <c r="M25" i="9"/>
  <c r="M42" i="9"/>
  <c r="M18" i="9"/>
  <c r="L60" i="9"/>
  <c r="L198" i="15"/>
  <c r="L52" i="9"/>
  <c r="L55" i="9"/>
  <c r="L51" i="9"/>
  <c r="L195" i="15"/>
  <c r="L69" i="9"/>
  <c r="L196" i="15"/>
  <c r="L194" i="15"/>
  <c r="K199" i="15"/>
  <c r="K197" i="15"/>
  <c r="K70" i="9"/>
  <c r="K73" i="9"/>
  <c r="K178" i="15"/>
  <c r="L19" i="9"/>
  <c r="L34" i="9"/>
  <c r="L30" i="9"/>
  <c r="L32" i="9"/>
  <c r="L20" i="15"/>
  <c r="L28" i="9"/>
  <c r="L29" i="9"/>
  <c r="L31" i="9"/>
  <c r="L33" i="9"/>
  <c r="J176" i="15"/>
  <c r="N49" i="9"/>
  <c r="N67" i="9"/>
  <c r="BO32" i="21"/>
  <c r="BP27" i="21"/>
  <c r="BN33" i="21"/>
  <c r="BN34" i="21"/>
  <c r="N173" i="15"/>
  <c r="K176" i="15"/>
  <c r="N42" i="9"/>
  <c r="N17" i="9"/>
  <c r="N22" i="9"/>
  <c r="N24" i="9"/>
  <c r="N25" i="9"/>
  <c r="L199" i="15"/>
  <c r="L197" i="15"/>
  <c r="L70" i="9"/>
  <c r="L73" i="9"/>
  <c r="L178" i="15"/>
  <c r="M19" i="9"/>
  <c r="M28" i="9"/>
  <c r="M34" i="9"/>
  <c r="M30" i="9"/>
  <c r="M20" i="15"/>
  <c r="M32" i="9"/>
  <c r="M31" i="9"/>
  <c r="M29" i="9"/>
  <c r="M33" i="9"/>
  <c r="L177" i="15"/>
  <c r="M60" i="9"/>
  <c r="M52" i="9"/>
  <c r="M55" i="9"/>
  <c r="M51" i="9"/>
  <c r="M195" i="15"/>
  <c r="M198" i="15"/>
  <c r="K203" i="15"/>
  <c r="K204" i="15"/>
  <c r="O49" i="9"/>
  <c r="O67" i="9"/>
  <c r="BQ27" i="21"/>
  <c r="BP32" i="21"/>
  <c r="BO34" i="21"/>
  <c r="O173" i="15"/>
  <c r="BO33" i="21"/>
  <c r="M177" i="15"/>
  <c r="M70" i="9"/>
  <c r="M73" i="9"/>
  <c r="M178" i="15"/>
  <c r="M69" i="9"/>
  <c r="M196" i="15"/>
  <c r="M194" i="15"/>
  <c r="M199" i="15"/>
  <c r="N28" i="9"/>
  <c r="N29" i="9"/>
  <c r="N30" i="9"/>
  <c r="N19" i="9"/>
  <c r="N32" i="9"/>
  <c r="N34" i="9"/>
  <c r="N31" i="9"/>
  <c r="N33" i="9"/>
  <c r="P49" i="9"/>
  <c r="P67" i="9"/>
  <c r="O42" i="9"/>
  <c r="O17" i="9"/>
  <c r="O22" i="9"/>
  <c r="O24" i="9"/>
  <c r="O25" i="9"/>
  <c r="O18" i="9"/>
  <c r="L176" i="15"/>
  <c r="N60" i="9"/>
  <c r="N51" i="9"/>
  <c r="N195" i="15"/>
  <c r="N69" i="9"/>
  <c r="N196" i="15"/>
  <c r="N194" i="15"/>
  <c r="N198" i="15"/>
  <c r="N52" i="9"/>
  <c r="N55" i="9"/>
  <c r="X107" i="15"/>
  <c r="X134" i="15"/>
  <c r="BP34" i="21"/>
  <c r="P173" i="15"/>
  <c r="BP33" i="21"/>
  <c r="BQ32" i="21"/>
  <c r="BR27" i="21"/>
  <c r="N199" i="15"/>
  <c r="N70" i="9"/>
  <c r="N73" i="9"/>
  <c r="N178" i="15"/>
  <c r="O28" i="9"/>
  <c r="O34" i="9"/>
  <c r="O31" i="9"/>
  <c r="O30" i="9"/>
  <c r="O20" i="15"/>
  <c r="O29" i="9"/>
  <c r="O19" i="9"/>
  <c r="O32" i="9"/>
  <c r="O33" i="9"/>
  <c r="M176" i="15"/>
  <c r="N177" i="15"/>
  <c r="O60" i="9"/>
  <c r="O198" i="15"/>
  <c r="O52" i="9"/>
  <c r="O55" i="9"/>
  <c r="O51" i="9"/>
  <c r="O195" i="15"/>
  <c r="P17" i="9"/>
  <c r="P22" i="9"/>
  <c r="P24" i="9"/>
  <c r="P25" i="9"/>
  <c r="P42" i="9"/>
  <c r="P18" i="9"/>
  <c r="N197" i="15"/>
  <c r="Q49" i="9"/>
  <c r="Q67" i="9"/>
  <c r="BS27" i="21"/>
  <c r="BR32" i="21"/>
  <c r="BQ33" i="21"/>
  <c r="BQ34" i="21"/>
  <c r="Q173" i="15"/>
  <c r="R49" i="9"/>
  <c r="R67" i="9"/>
  <c r="O69" i="9"/>
  <c r="O196" i="15"/>
  <c r="O194" i="15"/>
  <c r="O199" i="15"/>
  <c r="O197" i="15"/>
  <c r="O204" i="15"/>
  <c r="O70" i="9"/>
  <c r="O73" i="9"/>
  <c r="O178" i="15"/>
  <c r="Q42" i="9"/>
  <c r="Q18" i="9"/>
  <c r="Q17" i="9"/>
  <c r="Q22" i="9"/>
  <c r="Q24" i="9"/>
  <c r="Q25" i="9"/>
  <c r="P28" i="9"/>
  <c r="P30" i="9"/>
  <c r="P32" i="9"/>
  <c r="P20" i="15"/>
  <c r="P34" i="9"/>
  <c r="P31" i="9"/>
  <c r="P29" i="9"/>
  <c r="P19" i="9"/>
  <c r="P33" i="9"/>
  <c r="O177" i="15"/>
  <c r="N176" i="15"/>
  <c r="P60" i="9"/>
  <c r="P198" i="15"/>
  <c r="P199" i="15"/>
  <c r="P197" i="15"/>
  <c r="P51" i="9"/>
  <c r="P195" i="15"/>
  <c r="P52" i="9"/>
  <c r="P55" i="9"/>
  <c r="BR33" i="21"/>
  <c r="BR34" i="21"/>
  <c r="R173" i="15"/>
  <c r="BS32" i="21"/>
  <c r="BT27" i="21"/>
  <c r="O176" i="15"/>
  <c r="P177" i="15"/>
  <c r="Q31" i="9"/>
  <c r="Q34" i="9"/>
  <c r="Q32" i="9"/>
  <c r="Q19" i="9"/>
  <c r="Q30" i="9"/>
  <c r="Q20" i="15"/>
  <c r="Q29" i="9"/>
  <c r="Q28" i="9"/>
  <c r="Q33" i="9"/>
  <c r="R42" i="9"/>
  <c r="R17" i="9"/>
  <c r="R22" i="9"/>
  <c r="R24" i="9"/>
  <c r="R25" i="9"/>
  <c r="R18" i="9"/>
  <c r="Q60" i="9"/>
  <c r="Q198" i="15"/>
  <c r="Q51" i="9"/>
  <c r="Q195" i="15"/>
  <c r="Q52" i="9"/>
  <c r="Q55" i="9"/>
  <c r="P69" i="9"/>
  <c r="P196" i="15"/>
  <c r="P194" i="15"/>
  <c r="P70" i="9"/>
  <c r="P73" i="9"/>
  <c r="P178" i="15"/>
  <c r="S49" i="9"/>
  <c r="S67" i="9"/>
  <c r="S7" i="9"/>
  <c r="BU27" i="21"/>
  <c r="BT32" i="21"/>
  <c r="BS34" i="21"/>
  <c r="S173" i="15"/>
  <c r="BS33" i="21"/>
  <c r="Q69" i="9"/>
  <c r="Q196" i="15"/>
  <c r="Q194" i="15"/>
  <c r="Q70" i="9"/>
  <c r="Q73" i="9"/>
  <c r="Q178" i="15"/>
  <c r="Q199" i="15"/>
  <c r="Q197" i="15"/>
  <c r="R60" i="9"/>
  <c r="R51" i="9"/>
  <c r="R195" i="15"/>
  <c r="R198" i="15"/>
  <c r="R199" i="15"/>
  <c r="R197" i="15"/>
  <c r="R52" i="9"/>
  <c r="R55" i="9"/>
  <c r="Q177" i="15"/>
  <c r="T7" i="9"/>
  <c r="T49" i="9"/>
  <c r="T67" i="9"/>
  <c r="S18" i="9"/>
  <c r="S42" i="9"/>
  <c r="S17" i="9"/>
  <c r="S22" i="9"/>
  <c r="S24" i="9"/>
  <c r="S25" i="9"/>
  <c r="R34" i="9"/>
  <c r="R30" i="9"/>
  <c r="R20" i="15"/>
  <c r="R31" i="9"/>
  <c r="R29" i="9"/>
  <c r="R28" i="9"/>
  <c r="R32" i="9"/>
  <c r="R19" i="9"/>
  <c r="R33" i="9"/>
  <c r="P176" i="15"/>
  <c r="BT33" i="21"/>
  <c r="BT34" i="21"/>
  <c r="T173" i="15"/>
  <c r="BU32" i="21"/>
  <c r="BV27" i="21"/>
  <c r="Q176" i="15"/>
  <c r="S198" i="15"/>
  <c r="S60" i="9"/>
  <c r="S199" i="15"/>
  <c r="S197" i="15"/>
  <c r="S51" i="9"/>
  <c r="S195" i="15"/>
  <c r="S69" i="9"/>
  <c r="S196" i="15"/>
  <c r="S194" i="15"/>
  <c r="S204" i="15"/>
  <c r="S52" i="9"/>
  <c r="S55" i="9"/>
  <c r="R70" i="9"/>
  <c r="R73" i="9"/>
  <c r="R178" i="15"/>
  <c r="R69" i="9"/>
  <c r="R196" i="15"/>
  <c r="S20" i="15"/>
  <c r="S34" i="9"/>
  <c r="S32" i="9"/>
  <c r="S29" i="9"/>
  <c r="S31" i="9"/>
  <c r="S19" i="9"/>
  <c r="S30" i="9"/>
  <c r="S28" i="9"/>
  <c r="S33" i="9"/>
  <c r="T42" i="9"/>
  <c r="T18" i="9"/>
  <c r="T17" i="9"/>
  <c r="T22" i="9"/>
  <c r="T24" i="9"/>
  <c r="T25" i="9"/>
  <c r="R177" i="15"/>
  <c r="R176" i="15"/>
  <c r="U49" i="9"/>
  <c r="U67" i="9"/>
  <c r="U7" i="9"/>
  <c r="R194" i="15"/>
  <c r="BV32" i="21"/>
  <c r="BW27" i="21"/>
  <c r="BU34" i="21"/>
  <c r="U173" i="15"/>
  <c r="BU33" i="21"/>
  <c r="S177" i="15"/>
  <c r="T60" i="9"/>
  <c r="T52" i="9"/>
  <c r="T55" i="9"/>
  <c r="T198" i="15"/>
  <c r="T51" i="9"/>
  <c r="T195" i="15"/>
  <c r="T69" i="9"/>
  <c r="T196" i="15"/>
  <c r="T194" i="15"/>
  <c r="S70" i="9"/>
  <c r="S73" i="9"/>
  <c r="S178" i="15"/>
  <c r="T29" i="9"/>
  <c r="T28" i="9"/>
  <c r="T34" i="9"/>
  <c r="T31" i="9"/>
  <c r="T32" i="9"/>
  <c r="T20" i="15"/>
  <c r="T19" i="9"/>
  <c r="T30" i="9"/>
  <c r="T33" i="9"/>
  <c r="U18" i="9"/>
  <c r="U42" i="9"/>
  <c r="U17" i="9"/>
  <c r="U22" i="9"/>
  <c r="U24" i="9"/>
  <c r="U25" i="9"/>
  <c r="V49" i="9"/>
  <c r="V67" i="9"/>
  <c r="V7" i="9"/>
  <c r="BW32" i="21"/>
  <c r="BX27" i="21"/>
  <c r="BX32" i="21"/>
  <c r="BV34" i="21"/>
  <c r="V173" i="15"/>
  <c r="BV33" i="21"/>
  <c r="W7" i="9"/>
  <c r="W49" i="9"/>
  <c r="W67" i="9"/>
  <c r="V17" i="9"/>
  <c r="V22" i="9"/>
  <c r="V24" i="9"/>
  <c r="V25" i="9"/>
  <c r="V18" i="9"/>
  <c r="V42" i="9"/>
  <c r="S176" i="15"/>
  <c r="U60" i="9"/>
  <c r="U198" i="15"/>
  <c r="U52" i="9"/>
  <c r="U55" i="9"/>
  <c r="U51" i="9"/>
  <c r="U195" i="15"/>
  <c r="T177" i="15"/>
  <c r="U30" i="9"/>
  <c r="U28" i="9"/>
  <c r="U34" i="9"/>
  <c r="U31" i="9"/>
  <c r="U32" i="9"/>
  <c r="U29" i="9"/>
  <c r="U20" i="15"/>
  <c r="U19" i="9"/>
  <c r="U33" i="9"/>
  <c r="T199" i="15"/>
  <c r="T197" i="15"/>
  <c r="T70" i="9"/>
  <c r="T73" i="9"/>
  <c r="T178" i="15"/>
  <c r="BX33" i="21"/>
  <c r="BX34" i="21"/>
  <c r="X173" i="15"/>
  <c r="BW33" i="21"/>
  <c r="BW34" i="21"/>
  <c r="W173" i="15"/>
  <c r="T176" i="15"/>
  <c r="U177" i="15"/>
  <c r="X49" i="9"/>
  <c r="X67" i="9"/>
  <c r="U199" i="15"/>
  <c r="U197" i="15"/>
  <c r="U69" i="9"/>
  <c r="U196" i="15"/>
  <c r="U194" i="15"/>
  <c r="U70" i="9"/>
  <c r="U73" i="9"/>
  <c r="U178" i="15"/>
  <c r="V60" i="9"/>
  <c r="V198" i="15"/>
  <c r="V52" i="9"/>
  <c r="V55" i="9"/>
  <c r="V51" i="9"/>
  <c r="V195" i="15"/>
  <c r="V19" i="9"/>
  <c r="V31" i="9"/>
  <c r="V34" i="9"/>
  <c r="V30" i="9"/>
  <c r="V28" i="9"/>
  <c r="V20" i="15"/>
  <c r="V29" i="9"/>
  <c r="V32" i="9"/>
  <c r="V33" i="9"/>
  <c r="W18" i="9"/>
  <c r="W42" i="9"/>
  <c r="W17" i="9"/>
  <c r="W22" i="9"/>
  <c r="W24" i="9"/>
  <c r="W25" i="9"/>
  <c r="V177" i="15"/>
  <c r="W20" i="15"/>
  <c r="W34" i="9"/>
  <c r="W19" i="9"/>
  <c r="W29" i="9"/>
  <c r="W32" i="9"/>
  <c r="W28" i="9"/>
  <c r="W30" i="9"/>
  <c r="W31" i="9"/>
  <c r="W33" i="9"/>
  <c r="U176" i="15"/>
  <c r="W60" i="9"/>
  <c r="W198" i="15"/>
  <c r="W51" i="9"/>
  <c r="W195" i="15"/>
  <c r="W69" i="9"/>
  <c r="W196" i="15"/>
  <c r="W194" i="15"/>
  <c r="W52" i="9"/>
  <c r="W55" i="9"/>
  <c r="V199" i="15"/>
  <c r="V197" i="15"/>
  <c r="V69" i="9"/>
  <c r="V196" i="15"/>
  <c r="V194" i="15"/>
  <c r="V70" i="9"/>
  <c r="V73" i="9"/>
  <c r="V178" i="15"/>
  <c r="X42" i="9"/>
  <c r="G35" i="5"/>
  <c r="X30" i="9"/>
  <c r="X31" i="9"/>
  <c r="X20" i="15"/>
  <c r="X21" i="15"/>
  <c r="X19" i="9"/>
  <c r="X28" i="9"/>
  <c r="X29" i="9"/>
  <c r="X32" i="9"/>
  <c r="X34" i="9"/>
  <c r="X33" i="9"/>
  <c r="V176" i="15"/>
  <c r="G19" i="5"/>
  <c r="X25" i="9"/>
  <c r="G22" i="5"/>
  <c r="G21" i="5"/>
  <c r="G20" i="5"/>
  <c r="G23" i="5"/>
  <c r="G36" i="5"/>
  <c r="G18" i="5"/>
  <c r="W177" i="15"/>
  <c r="X60" i="9"/>
  <c r="X198" i="15"/>
  <c r="X52" i="9"/>
  <c r="X55" i="9"/>
  <c r="X51" i="9"/>
  <c r="W70" i="9"/>
  <c r="W73" i="9"/>
  <c r="W178" i="15"/>
  <c r="W199" i="15"/>
  <c r="W197" i="15"/>
  <c r="G37" i="5"/>
  <c r="W176" i="15"/>
  <c r="X195" i="15"/>
  <c r="X177" i="15"/>
  <c r="X70" i="9"/>
  <c r="X73" i="9"/>
  <c r="X178" i="15"/>
  <c r="X199" i="15"/>
  <c r="X197" i="15"/>
  <c r="X69" i="9"/>
  <c r="X196" i="15"/>
  <c r="X194" i="15"/>
  <c r="X203" i="15"/>
  <c r="G24" i="5"/>
  <c r="H23" i="5"/>
  <c r="H17" i="5"/>
  <c r="X176" i="15"/>
  <c r="H19" i="5"/>
  <c r="H21" i="5"/>
  <c r="H20" i="5"/>
  <c r="H22" i="5"/>
  <c r="H18" i="5"/>
  <c r="H24" i="5"/>
  <c r="X204" i="15"/>
  <c r="U127" i="15"/>
  <c r="U212" i="15"/>
  <c r="U210" i="15"/>
  <c r="U231" i="15"/>
  <c r="U233" i="15"/>
  <c r="Q250" i="15"/>
  <c r="Q251" i="15"/>
  <c r="U252" i="15"/>
  <c r="AF29" i="15"/>
  <c r="AF253" i="15"/>
  <c r="Q100" i="15"/>
  <c r="R233" i="15"/>
  <c r="R210" i="15"/>
  <c r="R231" i="15"/>
  <c r="X23" i="15"/>
  <c r="R15" i="15"/>
  <c r="T127" i="15"/>
  <c r="T212" i="15"/>
  <c r="T233" i="15"/>
  <c r="AF21" i="15"/>
  <c r="H69" i="9"/>
  <c r="H196" i="15"/>
  <c r="H178" i="15"/>
  <c r="H51" i="9"/>
  <c r="H195" i="15"/>
  <c r="H194" i="15"/>
  <c r="H204" i="15"/>
  <c r="H33" i="9"/>
  <c r="H31" i="9"/>
  <c r="W204" i="15"/>
  <c r="W203" i="15"/>
  <c r="N204" i="15"/>
  <c r="N203" i="15"/>
  <c r="M197" i="15"/>
  <c r="M203" i="15"/>
  <c r="P204" i="15"/>
  <c r="P203" i="15"/>
  <c r="V204" i="15"/>
  <c r="V203" i="15"/>
  <c r="T203" i="15"/>
  <c r="T204" i="15"/>
  <c r="Q204" i="15"/>
  <c r="J204" i="15"/>
  <c r="J203" i="15"/>
  <c r="U203" i="15"/>
  <c r="U204" i="15"/>
  <c r="L204" i="15"/>
  <c r="L203" i="15"/>
  <c r="O203" i="15"/>
  <c r="AH107" i="15"/>
  <c r="AH134" i="15"/>
  <c r="I203" i="15"/>
  <c r="E194" i="15"/>
  <c r="K155" i="15"/>
  <c r="AF252" i="15"/>
  <c r="AF251" i="15"/>
  <c r="AG204" i="15"/>
  <c r="AG203" i="15"/>
  <c r="C114" i="15"/>
  <c r="C217" i="15"/>
  <c r="V152" i="15"/>
  <c r="V155" i="15"/>
  <c r="Q154" i="15"/>
  <c r="Q155" i="15"/>
  <c r="AH233" i="15"/>
  <c r="AH210" i="15"/>
  <c r="AH231" i="15"/>
  <c r="AA210" i="15"/>
  <c r="AA231" i="15"/>
  <c r="AA232" i="15"/>
  <c r="S203" i="15"/>
  <c r="M204" i="15"/>
  <c r="I204" i="15"/>
  <c r="F203" i="15"/>
  <c r="U155" i="15"/>
  <c r="I154" i="15"/>
  <c r="X155" i="15"/>
  <c r="X152" i="15"/>
  <c r="R203" i="15"/>
  <c r="Q203" i="15"/>
  <c r="N233" i="15"/>
  <c r="N210" i="15"/>
  <c r="N231" i="15"/>
  <c r="R204" i="15"/>
  <c r="D232" i="15"/>
  <c r="D210" i="15"/>
  <c r="D231" i="15"/>
  <c r="Y204" i="15"/>
  <c r="C44" i="15"/>
  <c r="C45" i="15"/>
  <c r="AH249" i="15"/>
  <c r="AH250" i="15"/>
  <c r="AH253" i="15"/>
  <c r="AH251" i="15"/>
  <c r="W15" i="15"/>
  <c r="W29" i="15"/>
  <c r="S29" i="15"/>
  <c r="J249" i="15"/>
  <c r="J250" i="15"/>
  <c r="J251" i="15"/>
  <c r="J100" i="15"/>
  <c r="J253" i="15"/>
  <c r="J254" i="15"/>
  <c r="J252" i="15"/>
  <c r="D155" i="15"/>
  <c r="D154" i="15"/>
  <c r="O157" i="15"/>
  <c r="O164" i="15"/>
  <c r="O152" i="15"/>
  <c r="G154" i="15"/>
  <c r="G157" i="15"/>
  <c r="G164" i="15"/>
  <c r="V29" i="15"/>
  <c r="L250" i="15"/>
  <c r="L251" i="15"/>
  <c r="L249" i="15"/>
  <c r="L100" i="15"/>
  <c r="L253" i="15"/>
  <c r="L254" i="15"/>
  <c r="C15" i="15"/>
  <c r="F15" i="15"/>
  <c r="L15" i="15"/>
  <c r="H29" i="15"/>
  <c r="H15" i="15"/>
  <c r="AD29" i="15"/>
  <c r="X100" i="15"/>
  <c r="J155" i="15"/>
  <c r="AB251" i="15"/>
  <c r="W152" i="15"/>
  <c r="S152" i="15"/>
  <c r="O29" i="15"/>
  <c r="F100" i="15"/>
  <c r="F250" i="15"/>
  <c r="F251" i="15"/>
  <c r="F252" i="15"/>
  <c r="M29" i="15"/>
  <c r="M15" i="15"/>
  <c r="K15" i="15"/>
  <c r="K29" i="15"/>
  <c r="I100" i="15"/>
  <c r="I250" i="15"/>
  <c r="I251" i="15"/>
  <c r="I249" i="15"/>
  <c r="I252" i="15"/>
  <c r="AG29" i="15"/>
  <c r="AG19" i="15"/>
  <c r="AG21" i="15"/>
  <c r="AG15" i="15"/>
  <c r="AC29" i="15"/>
  <c r="AC15" i="15"/>
  <c r="AC19" i="15"/>
  <c r="AC21" i="15"/>
  <c r="AF233" i="15"/>
  <c r="AF210" i="15"/>
  <c r="AF231" i="15"/>
  <c r="AC233" i="15"/>
  <c r="AC210" i="15"/>
  <c r="AC231" i="15"/>
  <c r="D24" i="5"/>
  <c r="P29" i="15"/>
  <c r="Y15" i="15"/>
  <c r="AE210" i="15"/>
  <c r="AE231" i="15"/>
  <c r="E35" i="5"/>
  <c r="I26" i="15"/>
  <c r="J26" i="15"/>
  <c r="K26" i="15"/>
  <c r="L26" i="15"/>
  <c r="M26" i="15"/>
  <c r="D37" i="5"/>
  <c r="AF254" i="15"/>
  <c r="T210" i="15"/>
  <c r="T231" i="15"/>
  <c r="AF250" i="15"/>
  <c r="AF249" i="15"/>
  <c r="Q127" i="15"/>
  <c r="Q212" i="15"/>
  <c r="Q233" i="15"/>
  <c r="Q211" i="15"/>
  <c r="AH23" i="15"/>
  <c r="Y23" i="15"/>
  <c r="Z23" i="15"/>
  <c r="AA23" i="15"/>
  <c r="AB23" i="15"/>
  <c r="AC23" i="15"/>
  <c r="AD23" i="15"/>
  <c r="AE23" i="15"/>
  <c r="AF23" i="15"/>
  <c r="AG23" i="15"/>
  <c r="O23" i="15"/>
  <c r="P23" i="15"/>
  <c r="Q23" i="15"/>
  <c r="R23" i="15"/>
  <c r="S23" i="15"/>
  <c r="T23" i="15"/>
  <c r="U23" i="15"/>
  <c r="V23" i="15"/>
  <c r="W23" i="15"/>
  <c r="I18" i="15"/>
  <c r="J18" i="15"/>
  <c r="K18" i="15"/>
  <c r="L18" i="15"/>
  <c r="M18" i="15"/>
  <c r="H203" i="15"/>
  <c r="H177" i="15"/>
  <c r="S253" i="15"/>
  <c r="S254" i="15"/>
  <c r="S252" i="15"/>
  <c r="S250" i="15"/>
  <c r="S251" i="15"/>
  <c r="S100" i="15"/>
  <c r="S249" i="15"/>
  <c r="P253" i="15"/>
  <c r="P254" i="15"/>
  <c r="P250" i="15"/>
  <c r="P251" i="15"/>
  <c r="P252" i="15"/>
  <c r="P100" i="15"/>
  <c r="P249" i="15"/>
  <c r="AG251" i="15"/>
  <c r="AG249" i="15"/>
  <c r="AG254" i="15"/>
  <c r="AG250" i="15"/>
  <c r="AG252" i="15"/>
  <c r="AG253" i="15"/>
  <c r="I211" i="15"/>
  <c r="I127" i="15"/>
  <c r="I212" i="15"/>
  <c r="I233" i="15"/>
  <c r="M100" i="15"/>
  <c r="M253" i="15"/>
  <c r="M254" i="15"/>
  <c r="M252" i="15"/>
  <c r="M249" i="15"/>
  <c r="M250" i="15"/>
  <c r="M251" i="15"/>
  <c r="O253" i="15"/>
  <c r="O254" i="15"/>
  <c r="O252" i="15"/>
  <c r="O249" i="15"/>
  <c r="O100" i="15"/>
  <c r="O250" i="15"/>
  <c r="O251" i="15"/>
  <c r="AD15" i="15"/>
  <c r="AD19" i="15"/>
  <c r="AD21" i="15"/>
  <c r="J211" i="15"/>
  <c r="J127" i="15"/>
  <c r="J212" i="15"/>
  <c r="J233" i="15"/>
  <c r="S15" i="15"/>
  <c r="K252" i="15"/>
  <c r="K250" i="15"/>
  <c r="K251" i="15"/>
  <c r="K249" i="15"/>
  <c r="K253" i="15"/>
  <c r="K254" i="15"/>
  <c r="K100" i="15"/>
  <c r="C238" i="15"/>
  <c r="X127" i="15"/>
  <c r="X212" i="15"/>
  <c r="X233" i="15"/>
  <c r="X211" i="15"/>
  <c r="X121" i="15"/>
  <c r="H249" i="15"/>
  <c r="H252" i="15"/>
  <c r="H250" i="15"/>
  <c r="H251" i="15"/>
  <c r="H253" i="15"/>
  <c r="H254" i="15"/>
  <c r="H100" i="15"/>
  <c r="V15" i="15"/>
  <c r="W249" i="15"/>
  <c r="W252" i="15"/>
  <c r="W100" i="15"/>
  <c r="W250" i="15"/>
  <c r="W251" i="15"/>
  <c r="W253" i="15"/>
  <c r="W254" i="15"/>
  <c r="C141" i="15"/>
  <c r="C218" i="15"/>
  <c r="C239" i="15"/>
  <c r="X101" i="15"/>
  <c r="AC250" i="15"/>
  <c r="AC252" i="15"/>
  <c r="AC251" i="15"/>
  <c r="AC249" i="15"/>
  <c r="AC254" i="15"/>
  <c r="AC253" i="15"/>
  <c r="F211" i="15"/>
  <c r="F127" i="15"/>
  <c r="F212" i="15"/>
  <c r="F233" i="15"/>
  <c r="AD250" i="15"/>
  <c r="AD252" i="15"/>
  <c r="AD253" i="15"/>
  <c r="AD249" i="15"/>
  <c r="AD251" i="15"/>
  <c r="AD254" i="15"/>
  <c r="L127" i="15"/>
  <c r="L212" i="15"/>
  <c r="L233" i="15"/>
  <c r="L211" i="15"/>
  <c r="V253" i="15"/>
  <c r="V254" i="15"/>
  <c r="V252" i="15"/>
  <c r="V249" i="15"/>
  <c r="V250" i="15"/>
  <c r="V251" i="15"/>
  <c r="V100" i="15"/>
  <c r="C115" i="15"/>
  <c r="C214" i="15"/>
  <c r="C142" i="15"/>
  <c r="C215" i="15"/>
  <c r="C236" i="15"/>
  <c r="C113" i="15"/>
  <c r="E203" i="15"/>
  <c r="E206" i="15"/>
  <c r="F206" i="15"/>
  <c r="G206" i="15"/>
  <c r="H206" i="15"/>
  <c r="I206" i="15"/>
  <c r="J206" i="15"/>
  <c r="K206" i="15"/>
  <c r="L206" i="15"/>
  <c r="M206" i="15"/>
  <c r="N206" i="15"/>
  <c r="O206" i="15"/>
  <c r="P206" i="15"/>
  <c r="Q206" i="15"/>
  <c r="R206" i="15"/>
  <c r="S206" i="15"/>
  <c r="T206" i="15"/>
  <c r="U206" i="15"/>
  <c r="V206" i="15"/>
  <c r="W206" i="15"/>
  <c r="X206" i="15"/>
  <c r="Y206" i="15"/>
  <c r="Z206" i="15"/>
  <c r="AA206" i="15"/>
  <c r="AB206" i="15"/>
  <c r="AC206" i="15"/>
  <c r="AD206" i="15"/>
  <c r="AE206" i="15"/>
  <c r="AF206" i="15"/>
  <c r="AG206" i="15"/>
  <c r="AH206" i="15"/>
  <c r="E204" i="15"/>
  <c r="E36" i="5"/>
  <c r="O26" i="15"/>
  <c r="N56" i="15"/>
  <c r="X110" i="15"/>
  <c r="X137" i="15"/>
  <c r="AH110" i="15"/>
  <c r="AH137" i="15"/>
  <c r="Q210" i="15"/>
  <c r="Q231" i="15"/>
  <c r="Q232" i="15"/>
  <c r="O18" i="15"/>
  <c r="P18" i="15"/>
  <c r="Q18" i="15"/>
  <c r="C235" i="15"/>
  <c r="C213" i="15"/>
  <c r="W127" i="15"/>
  <c r="W212" i="15"/>
  <c r="W233" i="15"/>
  <c r="W211" i="15"/>
  <c r="C57" i="15"/>
  <c r="C93" i="15"/>
  <c r="C87" i="15"/>
  <c r="C50" i="15"/>
  <c r="C89" i="15"/>
  <c r="C60" i="15"/>
  <c r="C56" i="15"/>
  <c r="C90" i="15"/>
  <c r="C92" i="15"/>
  <c r="C84" i="15"/>
  <c r="C94" i="15"/>
  <c r="C91" i="15"/>
  <c r="C65" i="15"/>
  <c r="C85" i="15"/>
  <c r="C88" i="15"/>
  <c r="C86" i="15"/>
  <c r="F232" i="15"/>
  <c r="F210" i="15"/>
  <c r="F231" i="15"/>
  <c r="X128" i="15"/>
  <c r="X124" i="15"/>
  <c r="C30" i="15"/>
  <c r="C118" i="15"/>
  <c r="S127" i="15"/>
  <c r="S212" i="15"/>
  <c r="S233" i="15"/>
  <c r="S211" i="15"/>
  <c r="C216" i="15"/>
  <c r="C237" i="15"/>
  <c r="V127" i="15"/>
  <c r="V212" i="15"/>
  <c r="V233" i="15"/>
  <c r="V211" i="15"/>
  <c r="H211" i="15"/>
  <c r="H127" i="15"/>
  <c r="H212" i="15"/>
  <c r="H233" i="15"/>
  <c r="J232" i="15"/>
  <c r="J210" i="15"/>
  <c r="J231" i="15"/>
  <c r="O211" i="15"/>
  <c r="O127" i="15"/>
  <c r="O212" i="15"/>
  <c r="O233" i="15"/>
  <c r="M211" i="15"/>
  <c r="M127" i="15"/>
  <c r="M212" i="15"/>
  <c r="M233" i="15"/>
  <c r="L232" i="15"/>
  <c r="L210" i="15"/>
  <c r="L231" i="15"/>
  <c r="X210" i="15"/>
  <c r="X231" i="15"/>
  <c r="X232" i="15"/>
  <c r="K211" i="15"/>
  <c r="K127" i="15"/>
  <c r="K212" i="15"/>
  <c r="K233" i="15"/>
  <c r="I210" i="15"/>
  <c r="I231" i="15"/>
  <c r="I232" i="15"/>
  <c r="P211" i="15"/>
  <c r="P127" i="15"/>
  <c r="P212" i="15"/>
  <c r="P233" i="15"/>
  <c r="F24" i="5"/>
  <c r="I24" i="5"/>
  <c r="AH108" i="15"/>
  <c r="AH135" i="15"/>
  <c r="AH112" i="15"/>
  <c r="AH139" i="15"/>
  <c r="X108" i="15"/>
  <c r="X135" i="15"/>
  <c r="AH109" i="15"/>
  <c r="AH136" i="15"/>
  <c r="AH102" i="15"/>
  <c r="X105" i="15"/>
  <c r="X132" i="15"/>
  <c r="X112" i="15"/>
  <c r="X139" i="15"/>
  <c r="N102" i="15"/>
  <c r="N129" i="15"/>
  <c r="F37" i="5"/>
  <c r="C25" i="5"/>
  <c r="C40" i="5"/>
  <c r="P26" i="15"/>
  <c r="O31" i="15"/>
  <c r="O102" i="15"/>
  <c r="O129" i="15"/>
  <c r="X109" i="15"/>
  <c r="X136" i="15"/>
  <c r="AH105" i="15"/>
  <c r="AH132" i="15"/>
  <c r="C119" i="15"/>
  <c r="C180" i="15"/>
  <c r="P210" i="15"/>
  <c r="P231" i="15"/>
  <c r="P232" i="15"/>
  <c r="O210" i="15"/>
  <c r="O231" i="15"/>
  <c r="O232" i="15"/>
  <c r="H210" i="15"/>
  <c r="H231" i="15"/>
  <c r="H232" i="15"/>
  <c r="W232" i="15"/>
  <c r="W210" i="15"/>
  <c r="W231" i="15"/>
  <c r="K232" i="15"/>
  <c r="K210" i="15"/>
  <c r="K231" i="15"/>
  <c r="S232" i="15"/>
  <c r="S210" i="15"/>
  <c r="S231" i="15"/>
  <c r="M232" i="15"/>
  <c r="M210" i="15"/>
  <c r="M231" i="15"/>
  <c r="V232" i="15"/>
  <c r="V210" i="15"/>
  <c r="V231" i="15"/>
  <c r="C95" i="15"/>
  <c r="C16" i="15"/>
  <c r="C19" i="15"/>
  <c r="C21" i="15"/>
  <c r="C234" i="15"/>
  <c r="C221" i="15"/>
  <c r="C242" i="15"/>
  <c r="C220" i="15"/>
  <c r="N112" i="15"/>
  <c r="N139" i="15"/>
  <c r="N110" i="15"/>
  <c r="N137" i="15"/>
  <c r="E24" i="5"/>
  <c r="AH129" i="15"/>
  <c r="N105" i="15"/>
  <c r="N132" i="15"/>
  <c r="N108" i="15"/>
  <c r="N135" i="15"/>
  <c r="AH104" i="15"/>
  <c r="AH44" i="15"/>
  <c r="Q26" i="15"/>
  <c r="P31" i="15"/>
  <c r="P102" i="15"/>
  <c r="P129" i="15"/>
  <c r="N109" i="15"/>
  <c r="N136" i="15"/>
  <c r="N107" i="15"/>
  <c r="N134" i="15"/>
  <c r="X102" i="15"/>
  <c r="X104" i="15"/>
  <c r="X44" i="15"/>
  <c r="X45" i="15"/>
  <c r="C241" i="15"/>
  <c r="C219" i="15"/>
  <c r="G26" i="15"/>
  <c r="X131" i="15"/>
  <c r="X142" i="15"/>
  <c r="X215" i="15"/>
  <c r="X236" i="15"/>
  <c r="X115" i="15"/>
  <c r="AH45" i="15"/>
  <c r="X129" i="15"/>
  <c r="AH131" i="15"/>
  <c r="AH142" i="15"/>
  <c r="AH215" i="15"/>
  <c r="AH236" i="15"/>
  <c r="AH115" i="15"/>
  <c r="AH214" i="15"/>
  <c r="Y102" i="15"/>
  <c r="R26" i="15"/>
  <c r="Q31" i="15"/>
  <c r="Q102" i="15"/>
  <c r="Q129" i="15"/>
  <c r="N44" i="15"/>
  <c r="N45" i="15"/>
  <c r="N104" i="15"/>
  <c r="C146" i="15"/>
  <c r="C179" i="15"/>
  <c r="C240" i="15"/>
  <c r="C222" i="15"/>
  <c r="C243" i="15"/>
  <c r="Y129" i="15"/>
  <c r="AH213" i="15"/>
  <c r="AH235" i="15"/>
  <c r="F102" i="15"/>
  <c r="F129" i="15"/>
  <c r="N131" i="15"/>
  <c r="N142" i="15"/>
  <c r="N215" i="15"/>
  <c r="N236" i="15"/>
  <c r="N115" i="15"/>
  <c r="N214" i="15"/>
  <c r="R31" i="15"/>
  <c r="R102" i="15"/>
  <c r="R129" i="15"/>
  <c r="S26" i="15"/>
  <c r="Z102" i="15"/>
  <c r="X214" i="15"/>
  <c r="X123" i="15"/>
  <c r="G31" i="15"/>
  <c r="X213" i="15"/>
  <c r="X235" i="15"/>
  <c r="G102" i="15"/>
  <c r="G129" i="15"/>
  <c r="Z129" i="15"/>
  <c r="AA102" i="15"/>
  <c r="T26" i="15"/>
  <c r="S31" i="15"/>
  <c r="S102" i="15"/>
  <c r="S129" i="15"/>
  <c r="N213" i="15"/>
  <c r="N235" i="15"/>
  <c r="AH223" i="15"/>
  <c r="AH234" i="15"/>
  <c r="H103" i="15"/>
  <c r="H130" i="15"/>
  <c r="I31" i="15"/>
  <c r="U26" i="15"/>
  <c r="T31" i="15"/>
  <c r="T102" i="15"/>
  <c r="T129" i="15"/>
  <c r="X223" i="15"/>
  <c r="X234" i="15"/>
  <c r="AA129" i="15"/>
  <c r="AB102" i="15"/>
  <c r="N234" i="15"/>
  <c r="N223" i="15"/>
  <c r="H102" i="15"/>
  <c r="H129" i="15"/>
  <c r="AH244" i="15"/>
  <c r="AC102" i="15"/>
  <c r="I102" i="15"/>
  <c r="I129" i="15"/>
  <c r="N244" i="15"/>
  <c r="X244" i="15"/>
  <c r="U31" i="15"/>
  <c r="U102" i="15"/>
  <c r="U129" i="15"/>
  <c r="V26" i="15"/>
  <c r="AB129" i="15"/>
  <c r="J31" i="15"/>
  <c r="J102" i="15"/>
  <c r="J129" i="15"/>
  <c r="K31" i="15"/>
  <c r="W26" i="15"/>
  <c r="W31" i="15"/>
  <c r="W102" i="15"/>
  <c r="W129" i="15"/>
  <c r="V31" i="15"/>
  <c r="V102" i="15"/>
  <c r="V129" i="15"/>
  <c r="AD102" i="15"/>
  <c r="AC129" i="15"/>
  <c r="AE102" i="15"/>
  <c r="AD129" i="15"/>
  <c r="M31" i="15"/>
  <c r="M102" i="15"/>
  <c r="M129" i="15"/>
  <c r="L31" i="15"/>
  <c r="K102" i="15"/>
  <c r="K129" i="15"/>
  <c r="AE129" i="15"/>
  <c r="L102" i="15"/>
  <c r="L129" i="15"/>
  <c r="AG102" i="15"/>
  <c r="AF102" i="15"/>
  <c r="AG129" i="15"/>
  <c r="AF129" i="15"/>
  <c r="C67" i="15"/>
  <c r="AB103" i="15"/>
  <c r="AA103" i="15"/>
  <c r="AA114" i="15"/>
  <c r="AA217" i="15"/>
  <c r="Y103" i="15"/>
  <c r="AG103" i="15"/>
  <c r="AA130" i="15"/>
  <c r="AA141" i="15"/>
  <c r="AA218" i="15"/>
  <c r="AA239" i="15"/>
  <c r="X25" i="15"/>
  <c r="X116" i="15"/>
  <c r="AF103" i="15"/>
  <c r="AG114" i="15"/>
  <c r="AG217" i="15"/>
  <c r="AG130" i="15"/>
  <c r="Y114" i="15"/>
  <c r="Y217" i="15"/>
  <c r="Y130" i="15"/>
  <c r="AD103" i="15"/>
  <c r="AC103" i="15"/>
  <c r="Z103" i="15"/>
  <c r="AE103" i="15"/>
  <c r="AB114" i="15"/>
  <c r="AB217" i="15"/>
  <c r="AB130" i="15"/>
  <c r="X103" i="15"/>
  <c r="AA216" i="15"/>
  <c r="AA237" i="15"/>
  <c r="AA238" i="15"/>
  <c r="AH25" i="15"/>
  <c r="AH116" i="15"/>
  <c r="AH103" i="15"/>
  <c r="Y238" i="15"/>
  <c r="AH114" i="15"/>
  <c r="AH217" i="15"/>
  <c r="AH113" i="15"/>
  <c r="AH130" i="15"/>
  <c r="X143" i="15"/>
  <c r="X117" i="15"/>
  <c r="X144" i="15"/>
  <c r="AB141" i="15"/>
  <c r="AB218" i="15"/>
  <c r="AB239" i="15"/>
  <c r="AE130" i="15"/>
  <c r="AE114" i="15"/>
  <c r="AE217" i="15"/>
  <c r="Y141" i="15"/>
  <c r="Y218" i="15"/>
  <c r="Y239" i="15"/>
  <c r="AG141" i="15"/>
  <c r="AG218" i="15"/>
  <c r="AG239" i="15"/>
  <c r="X114" i="15"/>
  <c r="X217" i="15"/>
  <c r="X130" i="15"/>
  <c r="X122" i="15"/>
  <c r="X125" i="15"/>
  <c r="X113" i="15"/>
  <c r="X118" i="15"/>
  <c r="Z114" i="15"/>
  <c r="Z217" i="15"/>
  <c r="Z130" i="15"/>
  <c r="AD114" i="15"/>
  <c r="AD217" i="15"/>
  <c r="AD130" i="15"/>
  <c r="AF130" i="15"/>
  <c r="AF114" i="15"/>
  <c r="AF217" i="15"/>
  <c r="AH117" i="15"/>
  <c r="AH144" i="15"/>
  <c r="AH143" i="15"/>
  <c r="AB238" i="15"/>
  <c r="AC114" i="15"/>
  <c r="AC217" i="15"/>
  <c r="AC130" i="15"/>
  <c r="AG238" i="15"/>
  <c r="AB216" i="15"/>
  <c r="AB237" i="15"/>
  <c r="AG216" i="15"/>
  <c r="AG237" i="15"/>
  <c r="X220" i="15"/>
  <c r="Y216" i="15"/>
  <c r="Y237" i="15"/>
  <c r="AH64" i="15"/>
  <c r="AH60" i="15"/>
  <c r="AH56" i="15"/>
  <c r="AH88" i="15"/>
  <c r="AH84" i="15"/>
  <c r="AH62" i="15"/>
  <c r="AH63" i="15"/>
  <c r="AH59" i="15"/>
  <c r="AH61" i="15"/>
  <c r="AH65" i="15"/>
  <c r="AH50" i="15"/>
  <c r="AH66" i="15"/>
  <c r="AH58" i="15"/>
  <c r="AH85" i="15"/>
  <c r="AH57" i="15"/>
  <c r="Z141" i="15"/>
  <c r="Z218" i="15"/>
  <c r="Z239" i="15"/>
  <c r="X241" i="15"/>
  <c r="X84" i="15"/>
  <c r="X50" i="15"/>
  <c r="X56" i="15"/>
  <c r="X88" i="15"/>
  <c r="X65" i="15"/>
  <c r="X60" i="15"/>
  <c r="Y60" i="15"/>
  <c r="Z60" i="15"/>
  <c r="AA60" i="15"/>
  <c r="AB60" i="15"/>
  <c r="AC60" i="15"/>
  <c r="AD60" i="15"/>
  <c r="AE60" i="15"/>
  <c r="AF60" i="15"/>
  <c r="AG60" i="15"/>
  <c r="X57" i="15"/>
  <c r="X85" i="15"/>
  <c r="AH141" i="15"/>
  <c r="AH218" i="15"/>
  <c r="AH239" i="15"/>
  <c r="AH140" i="15"/>
  <c r="AH145" i="15"/>
  <c r="AH221" i="15"/>
  <c r="AH242" i="15"/>
  <c r="AF238" i="15"/>
  <c r="AD141" i="15"/>
  <c r="AD218" i="15"/>
  <c r="AD239" i="15"/>
  <c r="Z216" i="15"/>
  <c r="Z237" i="15"/>
  <c r="Z238" i="15"/>
  <c r="X238" i="15"/>
  <c r="AE141" i="15"/>
  <c r="AE218" i="15"/>
  <c r="AE239" i="15"/>
  <c r="AH118" i="15"/>
  <c r="AE238" i="15"/>
  <c r="AC141" i="15"/>
  <c r="AC218" i="15"/>
  <c r="AC239" i="15"/>
  <c r="X141" i="15"/>
  <c r="X218" i="15"/>
  <c r="X239" i="15"/>
  <c r="X140" i="15"/>
  <c r="X145" i="15"/>
  <c r="AC238" i="15"/>
  <c r="AH220" i="15"/>
  <c r="AF141" i="15"/>
  <c r="AF218" i="15"/>
  <c r="AF239" i="15"/>
  <c r="AD216" i="15"/>
  <c r="AD237" i="15"/>
  <c r="AD238" i="15"/>
  <c r="X119" i="15"/>
  <c r="X180" i="15"/>
  <c r="X183" i="15"/>
  <c r="O17" i="5"/>
  <c r="X221" i="15"/>
  <c r="X242" i="15"/>
  <c r="AH238" i="15"/>
  <c r="AH216" i="15"/>
  <c r="AH224" i="15"/>
  <c r="X216" i="15"/>
  <c r="AC216" i="15"/>
  <c r="AC237" i="15"/>
  <c r="AF216" i="15"/>
  <c r="AF237" i="15"/>
  <c r="AH119" i="15"/>
  <c r="AH179" i="15"/>
  <c r="AH182" i="15"/>
  <c r="P19" i="5"/>
  <c r="AH180" i="15"/>
  <c r="AH183" i="15"/>
  <c r="P17" i="5"/>
  <c r="X237" i="15"/>
  <c r="X245" i="15"/>
  <c r="X224" i="15"/>
  <c r="AH146" i="15"/>
  <c r="AH181" i="15"/>
  <c r="AH184" i="15"/>
  <c r="P18" i="5"/>
  <c r="AH241" i="15"/>
  <c r="AH219" i="15"/>
  <c r="AH240" i="15"/>
  <c r="X95" i="15"/>
  <c r="X67" i="15"/>
  <c r="AH95" i="15"/>
  <c r="AH237" i="15"/>
  <c r="AH245" i="15"/>
  <c r="X146" i="15"/>
  <c r="X181" i="15"/>
  <c r="X184" i="15"/>
  <c r="O18" i="5"/>
  <c r="AH67" i="15"/>
  <c r="X179" i="15"/>
  <c r="X182" i="15"/>
  <c r="O19" i="5"/>
  <c r="AE216" i="15"/>
  <c r="AE237" i="15"/>
  <c r="X219" i="15"/>
  <c r="X240" i="15"/>
  <c r="Y110" i="15"/>
  <c r="Y137" i="15"/>
  <c r="AH222" i="15"/>
  <c r="AH243" i="15"/>
  <c r="X222" i="15"/>
  <c r="X243" i="15"/>
  <c r="Y109" i="15"/>
  <c r="Y136" i="15"/>
  <c r="Z109" i="15"/>
  <c r="Z136" i="15"/>
  <c r="Y108" i="15"/>
  <c r="Y135" i="15"/>
  <c r="Y107" i="15"/>
  <c r="Y134" i="15"/>
  <c r="Y44" i="15"/>
  <c r="Y104" i="15"/>
  <c r="Y112" i="15"/>
  <c r="Y139" i="15"/>
  <c r="Y105" i="15"/>
  <c r="Y132" i="15"/>
  <c r="Z110" i="15"/>
  <c r="Z137" i="15"/>
  <c r="Z108" i="15"/>
  <c r="Z135" i="15"/>
  <c r="Z112" i="15"/>
  <c r="Z139" i="15"/>
  <c r="Z107" i="15"/>
  <c r="Z134" i="15"/>
  <c r="Y51" i="15"/>
  <c r="Y45" i="15"/>
  <c r="Z105" i="15"/>
  <c r="Z132" i="15"/>
  <c r="Z44" i="15"/>
  <c r="Z104" i="15"/>
  <c r="AA109" i="15"/>
  <c r="AA136" i="15"/>
  <c r="Y115" i="15"/>
  <c r="Y214" i="15"/>
  <c r="Y131" i="15"/>
  <c r="Y113" i="15"/>
  <c r="AA110" i="15"/>
  <c r="AA137" i="15"/>
  <c r="AB109" i="15"/>
  <c r="AB136" i="15"/>
  <c r="Y142" i="15"/>
  <c r="Y215" i="15"/>
  <c r="Y236" i="15"/>
  <c r="Y140" i="15"/>
  <c r="Y25" i="15"/>
  <c r="Y116" i="15"/>
  <c r="Y117" i="15"/>
  <c r="Y144" i="15"/>
  <c r="AB110" i="15"/>
  <c r="AB137" i="15"/>
  <c r="AA105" i="15"/>
  <c r="AA132" i="15"/>
  <c r="AA107" i="15"/>
  <c r="AA134" i="15"/>
  <c r="Y213" i="15"/>
  <c r="Y235" i="15"/>
  <c r="Z45" i="15"/>
  <c r="Z51" i="15"/>
  <c r="AA112" i="15"/>
  <c r="AA139" i="15"/>
  <c r="AA108" i="15"/>
  <c r="AA135" i="15"/>
  <c r="Z115" i="15"/>
  <c r="Z214" i="15"/>
  <c r="Z131" i="15"/>
  <c r="Z113" i="15"/>
  <c r="AA44" i="15"/>
  <c r="AA104" i="15"/>
  <c r="Y84" i="15"/>
  <c r="AC110" i="15"/>
  <c r="AC137" i="15"/>
  <c r="Y234" i="15"/>
  <c r="Y223" i="15"/>
  <c r="Y224" i="15"/>
  <c r="Z142" i="15"/>
  <c r="Z215" i="15"/>
  <c r="Z236" i="15"/>
  <c r="Z140" i="15"/>
  <c r="Y118" i="15"/>
  <c r="Y220" i="15"/>
  <c r="Y143" i="15"/>
  <c r="Y221" i="15"/>
  <c r="Y242" i="15"/>
  <c r="Z25" i="15"/>
  <c r="Z116" i="15"/>
  <c r="AB107" i="15"/>
  <c r="AB134" i="15"/>
  <c r="AC109" i="15"/>
  <c r="AC136" i="15"/>
  <c r="AA115" i="15"/>
  <c r="AA214" i="15"/>
  <c r="AA131" i="15"/>
  <c r="AA113" i="15"/>
  <c r="AA45" i="15"/>
  <c r="AA51" i="15"/>
  <c r="Z235" i="15"/>
  <c r="AB108" i="15"/>
  <c r="AB135" i="15"/>
  <c r="AB105" i="15"/>
  <c r="AB132" i="15"/>
  <c r="AB44" i="15"/>
  <c r="AB104" i="15"/>
  <c r="AB112" i="15"/>
  <c r="AB139" i="15"/>
  <c r="Y50" i="15"/>
  <c r="Y56" i="15"/>
  <c r="Y57" i="15"/>
  <c r="Y65" i="15"/>
  <c r="Y67" i="15"/>
  <c r="Y68" i="15"/>
  <c r="Y96" i="15"/>
  <c r="Y85" i="15"/>
  <c r="Y145" i="15"/>
  <c r="Y179" i="15"/>
  <c r="Y182" i="15"/>
  <c r="Q19" i="5"/>
  <c r="AB131" i="15"/>
  <c r="AB115" i="15"/>
  <c r="AB214" i="15"/>
  <c r="AB113" i="15"/>
  <c r="AC105" i="15"/>
  <c r="AC132" i="15"/>
  <c r="AB45" i="15"/>
  <c r="AB51" i="15"/>
  <c r="AD109" i="15"/>
  <c r="AD136" i="15"/>
  <c r="AC107" i="15"/>
  <c r="AC134" i="15"/>
  <c r="AA142" i="15"/>
  <c r="AA215" i="15"/>
  <c r="AA236" i="15"/>
  <c r="AA140" i="15"/>
  <c r="AC44" i="15"/>
  <c r="AC104" i="15"/>
  <c r="AC108" i="15"/>
  <c r="AC135" i="15"/>
  <c r="Y245" i="15"/>
  <c r="Y244" i="15"/>
  <c r="Z213" i="15"/>
  <c r="AA235" i="15"/>
  <c r="AC112" i="15"/>
  <c r="AC139" i="15"/>
  <c r="Z143" i="15"/>
  <c r="Z117" i="15"/>
  <c r="Z144" i="15"/>
  <c r="Y219" i="15"/>
  <c r="Y241" i="15"/>
  <c r="Y119" i="15"/>
  <c r="Y180" i="15"/>
  <c r="Y183" i="15"/>
  <c r="Q17" i="5"/>
  <c r="AD110" i="15"/>
  <c r="AD137" i="15"/>
  <c r="AA25" i="15"/>
  <c r="AA116" i="15"/>
  <c r="AA117" i="15"/>
  <c r="AA144" i="15"/>
  <c r="Y146" i="15"/>
  <c r="Y181" i="15"/>
  <c r="Y184" i="15"/>
  <c r="Q18" i="5"/>
  <c r="Z118" i="15"/>
  <c r="Z119" i="15"/>
  <c r="Z180" i="15"/>
  <c r="Z183" i="15"/>
  <c r="Y240" i="15"/>
  <c r="Y222" i="15"/>
  <c r="Y243" i="15"/>
  <c r="Z221" i="15"/>
  <c r="Z242" i="15"/>
  <c r="AE110" i="15"/>
  <c r="AE137" i="15"/>
  <c r="AC131" i="15"/>
  <c r="AC115" i="15"/>
  <c r="AC214" i="15"/>
  <c r="AC113" i="15"/>
  <c r="AD44" i="15"/>
  <c r="AD104" i="15"/>
  <c r="AE109" i="15"/>
  <c r="AE136" i="15"/>
  <c r="Z220" i="15"/>
  <c r="AD107" i="15"/>
  <c r="AD134" i="15"/>
  <c r="AD108" i="15"/>
  <c r="AD135" i="15"/>
  <c r="AB235" i="15"/>
  <c r="AD105" i="15"/>
  <c r="AD132" i="15"/>
  <c r="AB116" i="15"/>
  <c r="AB25" i="15"/>
  <c r="AB117" i="15"/>
  <c r="AB144" i="15"/>
  <c r="AA213" i="15"/>
  <c r="Z223" i="15"/>
  <c r="Z234" i="15"/>
  <c r="Z224" i="15"/>
  <c r="AC45" i="15"/>
  <c r="AC51" i="15"/>
  <c r="AB142" i="15"/>
  <c r="AB215" i="15"/>
  <c r="AB236" i="15"/>
  <c r="AB140" i="15"/>
  <c r="AA220" i="15"/>
  <c r="AA143" i="15"/>
  <c r="AA221" i="15"/>
  <c r="AA242" i="15"/>
  <c r="Z50" i="15"/>
  <c r="Z56" i="15"/>
  <c r="Z84" i="15"/>
  <c r="Z65" i="15"/>
  <c r="Z67" i="15"/>
  <c r="Z68" i="15"/>
  <c r="Z85" i="15"/>
  <c r="Z57" i="15"/>
  <c r="Z145" i="15"/>
  <c r="AD112" i="15"/>
  <c r="AD139" i="15"/>
  <c r="AA118" i="15"/>
  <c r="AB118" i="15"/>
  <c r="AB180" i="15"/>
  <c r="AB183" i="15"/>
  <c r="AA234" i="15"/>
  <c r="AA224" i="15"/>
  <c r="AA223" i="15"/>
  <c r="AE44" i="15"/>
  <c r="AE104" i="15"/>
  <c r="AC142" i="15"/>
  <c r="AC215" i="15"/>
  <c r="AC236" i="15"/>
  <c r="AC140" i="15"/>
  <c r="AA65" i="15"/>
  <c r="AA67" i="15"/>
  <c r="AA68" i="15"/>
  <c r="AA56" i="15"/>
  <c r="AA50" i="15"/>
  <c r="AA84" i="15"/>
  <c r="AA57" i="15"/>
  <c r="AA85" i="15"/>
  <c r="Z96" i="15"/>
  <c r="AA241" i="15"/>
  <c r="AA219" i="15"/>
  <c r="AA240" i="15"/>
  <c r="AA180" i="15"/>
  <c r="AA183" i="15"/>
  <c r="AA119" i="15"/>
  <c r="AA145" i="15"/>
  <c r="Z245" i="15"/>
  <c r="Z244" i="15"/>
  <c r="AB213" i="15"/>
  <c r="AG110" i="15"/>
  <c r="AG137" i="15"/>
  <c r="Z241" i="15"/>
  <c r="Z219" i="15"/>
  <c r="AE105" i="15"/>
  <c r="AE132" i="15"/>
  <c r="AD131" i="15"/>
  <c r="AD115" i="15"/>
  <c r="AD214" i="15"/>
  <c r="AD113" i="15"/>
  <c r="AE108" i="15"/>
  <c r="AE135" i="15"/>
  <c r="Z146" i="15"/>
  <c r="Z181" i="15"/>
  <c r="Z184" i="15"/>
  <c r="AG109" i="15"/>
  <c r="AG136" i="15"/>
  <c r="AD51" i="15"/>
  <c r="AD45" i="15"/>
  <c r="AE112" i="15"/>
  <c r="AE139" i="15"/>
  <c r="AB143" i="15"/>
  <c r="AB221" i="15"/>
  <c r="AB242" i="15"/>
  <c r="AB220" i="15"/>
  <c r="AF109" i="15"/>
  <c r="AF136" i="15"/>
  <c r="AC25" i="15"/>
  <c r="AC116" i="15"/>
  <c r="AF110" i="15"/>
  <c r="AF137" i="15"/>
  <c r="AC235" i="15"/>
  <c r="AE107" i="15"/>
  <c r="AE134" i="15"/>
  <c r="Z179" i="15"/>
  <c r="Z182" i="15"/>
  <c r="AB119" i="15"/>
  <c r="AC213" i="15"/>
  <c r="AC234" i="15"/>
  <c r="AA96" i="15"/>
  <c r="AA222" i="15"/>
  <c r="AA243" i="15"/>
  <c r="AB241" i="15"/>
  <c r="AB219" i="15"/>
  <c r="AB240" i="15"/>
  <c r="AG107" i="15"/>
  <c r="AG134" i="15"/>
  <c r="AA181" i="15"/>
  <c r="AA184" i="15"/>
  <c r="AA146" i="15"/>
  <c r="AF107" i="15"/>
  <c r="AF134" i="15"/>
  <c r="AD235" i="15"/>
  <c r="AD116" i="15"/>
  <c r="AD25" i="15"/>
  <c r="AD117" i="15"/>
  <c r="AD144" i="15"/>
  <c r="AE115" i="15"/>
  <c r="AE214" i="15"/>
  <c r="AE131" i="15"/>
  <c r="AE113" i="15"/>
  <c r="AC117" i="15"/>
  <c r="AC220" i="15"/>
  <c r="AD142" i="15"/>
  <c r="AD215" i="15"/>
  <c r="AD236" i="15"/>
  <c r="AD140" i="15"/>
  <c r="Z240" i="15"/>
  <c r="Z222" i="15"/>
  <c r="Z243" i="15"/>
  <c r="AB223" i="15"/>
  <c r="AB224" i="15"/>
  <c r="AB234" i="15"/>
  <c r="AB65" i="15"/>
  <c r="AB67" i="15"/>
  <c r="AB68" i="15"/>
  <c r="AB84" i="15"/>
  <c r="AB56" i="15"/>
  <c r="AB50" i="15"/>
  <c r="AB57" i="15"/>
  <c r="AB85" i="15"/>
  <c r="AA179" i="15"/>
  <c r="AA182" i="15"/>
  <c r="AF112" i="15"/>
  <c r="AF139" i="15"/>
  <c r="AG108" i="15"/>
  <c r="AG135" i="15"/>
  <c r="AF105" i="15"/>
  <c r="AF132" i="15"/>
  <c r="AC143" i="15"/>
  <c r="AB145" i="15"/>
  <c r="AF44" i="15"/>
  <c r="AF104" i="15"/>
  <c r="AG112" i="15"/>
  <c r="AG139" i="15"/>
  <c r="AF108" i="15"/>
  <c r="AF135" i="15"/>
  <c r="AG105" i="15"/>
  <c r="AG132" i="15"/>
  <c r="AE45" i="15"/>
  <c r="AE51" i="15"/>
  <c r="AA244" i="15"/>
  <c r="AA245" i="15"/>
  <c r="AC223" i="15"/>
  <c r="AC224" i="15"/>
  <c r="AC241" i="15"/>
  <c r="AF115" i="15"/>
  <c r="AF214" i="15"/>
  <c r="AF131" i="15"/>
  <c r="AF113" i="15"/>
  <c r="AG44" i="15"/>
  <c r="AG104" i="15"/>
  <c r="AD220" i="15"/>
  <c r="AD143" i="15"/>
  <c r="AD221" i="15"/>
  <c r="AD242" i="15"/>
  <c r="AD118" i="15"/>
  <c r="AF51" i="15"/>
  <c r="AF45" i="15"/>
  <c r="AC244" i="15"/>
  <c r="AC245" i="15"/>
  <c r="AB96" i="15"/>
  <c r="AB244" i="15"/>
  <c r="AB245" i="15"/>
  <c r="AB181" i="15"/>
  <c r="AB184" i="15"/>
  <c r="AB146" i="15"/>
  <c r="AB179" i="15"/>
  <c r="AB182" i="15"/>
  <c r="AE25" i="15"/>
  <c r="AE116" i="15"/>
  <c r="AB222" i="15"/>
  <c r="AB243" i="15"/>
  <c r="AC50" i="15"/>
  <c r="AC65" i="15"/>
  <c r="AC67" i="15"/>
  <c r="AC68" i="15"/>
  <c r="AC84" i="15"/>
  <c r="AC56" i="15"/>
  <c r="AC57" i="15"/>
  <c r="AC85" i="15"/>
  <c r="AE235" i="15"/>
  <c r="AD213" i="15"/>
  <c r="AC144" i="15"/>
  <c r="AC145" i="15"/>
  <c r="AC118" i="15"/>
  <c r="AE142" i="15"/>
  <c r="AE215" i="15"/>
  <c r="AE236" i="15"/>
  <c r="AE140" i="15"/>
  <c r="AC221" i="15"/>
  <c r="AC242" i="15"/>
  <c r="AC96" i="15"/>
  <c r="AE143" i="15"/>
  <c r="AD219" i="15"/>
  <c r="AD240" i="15"/>
  <c r="AD241" i="15"/>
  <c r="AD145" i="15"/>
  <c r="AC119" i="15"/>
  <c r="AC179" i="15"/>
  <c r="AC182" i="15"/>
  <c r="AC180" i="15"/>
  <c r="AC183" i="15"/>
  <c r="AD224" i="15"/>
  <c r="AD234" i="15"/>
  <c r="AD222" i="15"/>
  <c r="AD243" i="15"/>
  <c r="AD223" i="15"/>
  <c r="AE213" i="15"/>
  <c r="AD56" i="15"/>
  <c r="AD65" i="15"/>
  <c r="AD67" i="15"/>
  <c r="AD68" i="15"/>
  <c r="AD84" i="15"/>
  <c r="AD50" i="15"/>
  <c r="AD85" i="15"/>
  <c r="AD57" i="15"/>
  <c r="AF25" i="15"/>
  <c r="AF116" i="15"/>
  <c r="AG45" i="15"/>
  <c r="AG51" i="15"/>
  <c r="AH51" i="15"/>
  <c r="AF142" i="15"/>
  <c r="AF215" i="15"/>
  <c r="AF236" i="15"/>
  <c r="AF140" i="15"/>
  <c r="AD119" i="15"/>
  <c r="AD179" i="15"/>
  <c r="AD182" i="15"/>
  <c r="AD180" i="15"/>
  <c r="AD183" i="15"/>
  <c r="AG115" i="15"/>
  <c r="AG214" i="15"/>
  <c r="AG131" i="15"/>
  <c r="AG113" i="15"/>
  <c r="AC146" i="15"/>
  <c r="AC181" i="15"/>
  <c r="AC184" i="15"/>
  <c r="AE117" i="15"/>
  <c r="AE144" i="15"/>
  <c r="AE145" i="15"/>
  <c r="AF235" i="15"/>
  <c r="AC219" i="15"/>
  <c r="AC222" i="15"/>
  <c r="AC243" i="15"/>
  <c r="AF213" i="15"/>
  <c r="AF234" i="15"/>
  <c r="AE181" i="15"/>
  <c r="AE184" i="15"/>
  <c r="AE146" i="15"/>
  <c r="AD96" i="15"/>
  <c r="AE220" i="15"/>
  <c r="AG142" i="15"/>
  <c r="AG215" i="15"/>
  <c r="AG236" i="15"/>
  <c r="AG140" i="15"/>
  <c r="AE118" i="15"/>
  <c r="AG235" i="15"/>
  <c r="AF117" i="15"/>
  <c r="AF220" i="15"/>
  <c r="AD244" i="15"/>
  <c r="AD245" i="15"/>
  <c r="AD181" i="15"/>
  <c r="AD184" i="15"/>
  <c r="AD146" i="15"/>
  <c r="AG25" i="15"/>
  <c r="AG116" i="15"/>
  <c r="AG117" i="15"/>
  <c r="AG144" i="15"/>
  <c r="AE50" i="15"/>
  <c r="AE84" i="15"/>
  <c r="AE65" i="15"/>
  <c r="AE67" i="15"/>
  <c r="AE68" i="15"/>
  <c r="AE56" i="15"/>
  <c r="AE57" i="15"/>
  <c r="AE85" i="15"/>
  <c r="AF143" i="15"/>
  <c r="AE224" i="15"/>
  <c r="AE234" i="15"/>
  <c r="AE223" i="15"/>
  <c r="AE221" i="15"/>
  <c r="AE242" i="15"/>
  <c r="AF223" i="15"/>
  <c r="AC240" i="15"/>
  <c r="AF224" i="15"/>
  <c r="AG50" i="15"/>
  <c r="AG213" i="15"/>
  <c r="AG234" i="15"/>
  <c r="AE245" i="15"/>
  <c r="AE244" i="15"/>
  <c r="AG143" i="15"/>
  <c r="AG221" i="15"/>
  <c r="AG242" i="15"/>
  <c r="AG220" i="15"/>
  <c r="AF245" i="15"/>
  <c r="AF244" i="15"/>
  <c r="AF144" i="15"/>
  <c r="AF221" i="15"/>
  <c r="AF118" i="15"/>
  <c r="AE179" i="15"/>
  <c r="AE182" i="15"/>
  <c r="AE180" i="15"/>
  <c r="AE183" i="15"/>
  <c r="AE119" i="15"/>
  <c r="AG118" i="15"/>
  <c r="AE241" i="15"/>
  <c r="AE219" i="15"/>
  <c r="AG84" i="15"/>
  <c r="AF56" i="15"/>
  <c r="AF50" i="15"/>
  <c r="AF84" i="15"/>
  <c r="AF65" i="15"/>
  <c r="AF67" i="15"/>
  <c r="AF68" i="15"/>
  <c r="AF57" i="15"/>
  <c r="AF85" i="15"/>
  <c r="AF241" i="15"/>
  <c r="AE96" i="15"/>
  <c r="AG85" i="15"/>
  <c r="AG65" i="15"/>
  <c r="AG67" i="15"/>
  <c r="AG68" i="15"/>
  <c r="AG56" i="15"/>
  <c r="AG57" i="15"/>
  <c r="AG224" i="15"/>
  <c r="AG223" i="15"/>
  <c r="AF242" i="15"/>
  <c r="AF219" i="15"/>
  <c r="AG119" i="15"/>
  <c r="AG180" i="15"/>
  <c r="AG183" i="15"/>
  <c r="AF119" i="15"/>
  <c r="AF180" i="15"/>
  <c r="AF183" i="15"/>
  <c r="AG241" i="15"/>
  <c r="AG219" i="15"/>
  <c r="AF145" i="15"/>
  <c r="AF179" i="15"/>
  <c r="AF182" i="15"/>
  <c r="AG145" i="15"/>
  <c r="AG179" i="15"/>
  <c r="AG182" i="15"/>
  <c r="AG244" i="15"/>
  <c r="AG245" i="15"/>
  <c r="AF96" i="15"/>
  <c r="AE240" i="15"/>
  <c r="AE222" i="15"/>
  <c r="AE243" i="15"/>
  <c r="AH96" i="15"/>
  <c r="AH68" i="15"/>
  <c r="AG240" i="15"/>
  <c r="AG222" i="15"/>
  <c r="AG243" i="15"/>
  <c r="AF240" i="15"/>
  <c r="AF222" i="15"/>
  <c r="AF243" i="15"/>
  <c r="AG146" i="15"/>
  <c r="AG181" i="15"/>
  <c r="AG184" i="15"/>
  <c r="AF181" i="15"/>
  <c r="AF184" i="15"/>
  <c r="AF146" i="15"/>
  <c r="N57" i="15"/>
  <c r="O32" i="15"/>
  <c r="P32" i="15"/>
  <c r="R18" i="15"/>
  <c r="S18" i="15"/>
  <c r="S32" i="15"/>
  <c r="R32" i="15"/>
  <c r="Q32" i="15"/>
  <c r="AG96" i="15"/>
  <c r="N103" i="15"/>
  <c r="N130" i="15"/>
  <c r="S103" i="15"/>
  <c r="S130" i="15"/>
  <c r="Q103" i="15"/>
  <c r="Q130" i="15"/>
  <c r="T18" i="15"/>
  <c r="R103" i="15"/>
  <c r="R130" i="15"/>
  <c r="P103" i="15"/>
  <c r="P130" i="15"/>
  <c r="O103" i="15"/>
  <c r="O130" i="15"/>
  <c r="G18" i="15"/>
  <c r="G32" i="15"/>
  <c r="U18" i="15"/>
  <c r="T32" i="15"/>
  <c r="U32" i="15"/>
  <c r="V18" i="15"/>
  <c r="F103" i="15"/>
  <c r="F130" i="15"/>
  <c r="T103" i="15"/>
  <c r="T130" i="15"/>
  <c r="G103" i="15"/>
  <c r="G130" i="15"/>
  <c r="V32" i="15"/>
  <c r="W18" i="15"/>
  <c r="W32" i="15"/>
  <c r="U103" i="15"/>
  <c r="U130" i="15"/>
  <c r="W103" i="15"/>
  <c r="W130" i="15"/>
  <c r="V103" i="15"/>
  <c r="V130" i="15"/>
  <c r="H101" i="15"/>
  <c r="H128" i="15"/>
  <c r="H114" i="15"/>
  <c r="H217" i="15"/>
  <c r="H141" i="15"/>
  <c r="H218" i="15"/>
  <c r="H239" i="15"/>
  <c r="H238" i="15"/>
  <c r="H216" i="15"/>
  <c r="H237" i="15"/>
  <c r="J32" i="15"/>
  <c r="L32" i="15"/>
  <c r="K32" i="15"/>
  <c r="K103" i="15"/>
  <c r="I32" i="15"/>
  <c r="I103" i="15"/>
  <c r="I130" i="15"/>
  <c r="K130" i="15"/>
  <c r="L103" i="15"/>
  <c r="M32" i="15"/>
  <c r="J103" i="15"/>
  <c r="L130" i="15"/>
  <c r="J130" i="15"/>
  <c r="M103" i="15"/>
  <c r="M130" i="15"/>
  <c r="O24" i="15"/>
  <c r="O30" i="15"/>
  <c r="I24" i="15"/>
  <c r="J24" i="15"/>
  <c r="I30" i="15"/>
  <c r="P24" i="15"/>
  <c r="O101" i="15"/>
  <c r="K24" i="15"/>
  <c r="J30" i="15"/>
  <c r="N117" i="15"/>
  <c r="N144" i="15"/>
  <c r="N101" i="15"/>
  <c r="I101" i="15"/>
  <c r="Q24" i="15"/>
  <c r="P30" i="15"/>
  <c r="P101" i="15"/>
  <c r="P114" i="15"/>
  <c r="P217" i="15"/>
  <c r="O114" i="15"/>
  <c r="O217" i="15"/>
  <c r="O128" i="15"/>
  <c r="N116" i="15"/>
  <c r="N114" i="15"/>
  <c r="N217" i="15"/>
  <c r="N113" i="15"/>
  <c r="N128" i="15"/>
  <c r="P128" i="15"/>
  <c r="J101" i="15"/>
  <c r="G24" i="15"/>
  <c r="G30" i="15"/>
  <c r="D114" i="15"/>
  <c r="D217" i="15"/>
  <c r="N25" i="15"/>
  <c r="K30" i="15"/>
  <c r="L24" i="15"/>
  <c r="N118" i="15"/>
  <c r="N180" i="15"/>
  <c r="N183" i="15"/>
  <c r="N17" i="5"/>
  <c r="Q30" i="15"/>
  <c r="Q101" i="15"/>
  <c r="R24" i="15"/>
  <c r="I128" i="15"/>
  <c r="I114" i="15"/>
  <c r="I217" i="15"/>
  <c r="I238" i="15"/>
  <c r="K101" i="15"/>
  <c r="D238" i="15"/>
  <c r="P141" i="15"/>
  <c r="P218" i="15"/>
  <c r="P239" i="15"/>
  <c r="N88" i="15"/>
  <c r="N84" i="15"/>
  <c r="N85" i="15"/>
  <c r="N50" i="15"/>
  <c r="E34" i="5"/>
  <c r="E37" i="5"/>
  <c r="C37" i="5"/>
  <c r="E114" i="15"/>
  <c r="E217" i="15"/>
  <c r="M24" i="15"/>
  <c r="M30" i="15"/>
  <c r="L30" i="15"/>
  <c r="G101" i="15"/>
  <c r="N238" i="15"/>
  <c r="N143" i="15"/>
  <c r="N221" i="15"/>
  <c r="N242" i="15"/>
  <c r="N220" i="15"/>
  <c r="J128" i="15"/>
  <c r="J114" i="15"/>
  <c r="J217" i="15"/>
  <c r="N141" i="15"/>
  <c r="N218" i="15"/>
  <c r="N239" i="15"/>
  <c r="N140" i="15"/>
  <c r="O238" i="15"/>
  <c r="D141" i="15"/>
  <c r="D218" i="15"/>
  <c r="D239" i="15"/>
  <c r="F101" i="15"/>
  <c r="P216" i="15"/>
  <c r="P237" i="15"/>
  <c r="P238" i="15"/>
  <c r="Q114" i="15"/>
  <c r="Q217" i="15"/>
  <c r="Q128" i="15"/>
  <c r="O141" i="15"/>
  <c r="O218" i="15"/>
  <c r="O239" i="15"/>
  <c r="N119" i="15"/>
  <c r="D216" i="15"/>
  <c r="S24" i="15"/>
  <c r="R30" i="15"/>
  <c r="R101" i="15"/>
  <c r="R114" i="15"/>
  <c r="R217" i="15"/>
  <c r="I141" i="15"/>
  <c r="I218" i="15"/>
  <c r="I239" i="15"/>
  <c r="N145" i="15"/>
  <c r="N179" i="15"/>
  <c r="N182" i="15"/>
  <c r="N19" i="5"/>
  <c r="N241" i="15"/>
  <c r="N219" i="15"/>
  <c r="N240" i="15"/>
  <c r="D237" i="15"/>
  <c r="K128" i="15"/>
  <c r="K114" i="15"/>
  <c r="K217" i="15"/>
  <c r="G114" i="15"/>
  <c r="G217" i="15"/>
  <c r="G128" i="15"/>
  <c r="M101" i="15"/>
  <c r="N95" i="15"/>
  <c r="L101" i="15"/>
  <c r="E141" i="15"/>
  <c r="E218" i="15"/>
  <c r="E239" i="15"/>
  <c r="Q141" i="15"/>
  <c r="Q218" i="15"/>
  <c r="Q239" i="15"/>
  <c r="Q238" i="15"/>
  <c r="O216" i="15"/>
  <c r="O237" i="15"/>
  <c r="J238" i="15"/>
  <c r="N216" i="15"/>
  <c r="F128" i="15"/>
  <c r="F114" i="15"/>
  <c r="F217" i="15"/>
  <c r="N181" i="15"/>
  <c r="N184" i="15"/>
  <c r="N18" i="5"/>
  <c r="J141" i="15"/>
  <c r="J218" i="15"/>
  <c r="J239" i="15"/>
  <c r="E238" i="15"/>
  <c r="C38" i="5"/>
  <c r="C41" i="5"/>
  <c r="H37" i="5"/>
  <c r="N146" i="15"/>
  <c r="I216" i="15"/>
  <c r="I237" i="15"/>
  <c r="R128" i="15"/>
  <c r="Q216" i="15"/>
  <c r="Q237" i="15"/>
  <c r="J216" i="15"/>
  <c r="J237" i="15"/>
  <c r="S30" i="15"/>
  <c r="S101" i="15"/>
  <c r="S114" i="15"/>
  <c r="S217" i="15"/>
  <c r="S27" i="15"/>
  <c r="T24" i="15"/>
  <c r="K141" i="15"/>
  <c r="K218" i="15"/>
  <c r="K239" i="15"/>
  <c r="R238" i="15"/>
  <c r="F141" i="15"/>
  <c r="F218" i="15"/>
  <c r="F239" i="15"/>
  <c r="N224" i="15"/>
  <c r="N222" i="15"/>
  <c r="N243" i="15"/>
  <c r="N237" i="15"/>
  <c r="N245" i="15"/>
  <c r="M128" i="15"/>
  <c r="M114" i="15"/>
  <c r="M217" i="15"/>
  <c r="G238" i="15"/>
  <c r="E216" i="15"/>
  <c r="L128" i="15"/>
  <c r="L114" i="15"/>
  <c r="L217" i="15"/>
  <c r="R141" i="15"/>
  <c r="R218" i="15"/>
  <c r="R239" i="15"/>
  <c r="F238" i="15"/>
  <c r="G141" i="15"/>
  <c r="G218" i="15"/>
  <c r="G239" i="15"/>
  <c r="K238" i="15"/>
  <c r="K216" i="15"/>
  <c r="S128" i="15"/>
  <c r="S141" i="15"/>
  <c r="S218" i="15"/>
  <c r="S239" i="15"/>
  <c r="T30" i="15"/>
  <c r="T101" i="15"/>
  <c r="T128" i="15"/>
  <c r="U24" i="15"/>
  <c r="L141" i="15"/>
  <c r="L218" i="15"/>
  <c r="L239" i="15"/>
  <c r="G216" i="15"/>
  <c r="M238" i="15"/>
  <c r="L238" i="15"/>
  <c r="M141" i="15"/>
  <c r="M218" i="15"/>
  <c r="M239" i="15"/>
  <c r="R216" i="15"/>
  <c r="R237" i="15"/>
  <c r="F216" i="15"/>
  <c r="S238" i="15"/>
  <c r="E237" i="15"/>
  <c r="T114" i="15"/>
  <c r="T217" i="15"/>
  <c r="K237" i="15"/>
  <c r="L216" i="15"/>
  <c r="V24" i="15"/>
  <c r="U30" i="15"/>
  <c r="U101" i="15"/>
  <c r="U114" i="15"/>
  <c r="U217" i="15"/>
  <c r="S216" i="15"/>
  <c r="S237" i="15"/>
  <c r="M216" i="15"/>
  <c r="F237" i="15"/>
  <c r="T238" i="15"/>
  <c r="T141" i="15"/>
  <c r="T218" i="15"/>
  <c r="T239" i="15"/>
  <c r="L237" i="15"/>
  <c r="G237" i="15"/>
  <c r="U128" i="15"/>
  <c r="U141" i="15"/>
  <c r="U218" i="15"/>
  <c r="U239" i="15"/>
  <c r="V30" i="15"/>
  <c r="V101" i="15"/>
  <c r="V114" i="15"/>
  <c r="V217" i="15"/>
  <c r="W24" i="15"/>
  <c r="W30" i="15"/>
  <c r="W101" i="15"/>
  <c r="W128" i="15"/>
  <c r="T216" i="15"/>
  <c r="T237" i="15"/>
  <c r="U238" i="15"/>
  <c r="M237" i="15"/>
  <c r="V128" i="15"/>
  <c r="W114" i="15"/>
  <c r="W217" i="15"/>
  <c r="W238" i="15"/>
  <c r="U216" i="15"/>
  <c r="U237" i="15"/>
  <c r="V141" i="15"/>
  <c r="V218" i="15"/>
  <c r="V239" i="15"/>
  <c r="W141" i="15"/>
  <c r="W218" i="15"/>
  <c r="W239" i="15"/>
  <c r="V238" i="15"/>
  <c r="W216" i="15"/>
  <c r="W237" i="15"/>
  <c r="V216" i="15"/>
  <c r="V237" i="15"/>
  <c r="H105" i="15"/>
  <c r="H132" i="15"/>
  <c r="H109" i="15"/>
  <c r="H136" i="15"/>
  <c r="H110" i="15"/>
  <c r="H137" i="15"/>
  <c r="H112" i="15"/>
  <c r="H139" i="15"/>
  <c r="H107" i="15"/>
  <c r="H134" i="15"/>
  <c r="H67" i="15"/>
  <c r="H44" i="15"/>
  <c r="H45" i="15"/>
  <c r="H104" i="15"/>
  <c r="H116" i="15"/>
  <c r="H117" i="15"/>
  <c r="H144" i="15"/>
  <c r="H115" i="15"/>
  <c r="H214" i="15"/>
  <c r="H131" i="15"/>
  <c r="H143" i="15"/>
  <c r="H221" i="15"/>
  <c r="H242" i="15"/>
  <c r="H220" i="15"/>
  <c r="H241" i="15"/>
  <c r="H235" i="15"/>
  <c r="H142" i="15"/>
  <c r="H215" i="15"/>
  <c r="H236" i="15"/>
  <c r="H88" i="15"/>
  <c r="H56" i="15"/>
  <c r="H84" i="15"/>
  <c r="H219" i="15"/>
  <c r="H240" i="15"/>
  <c r="H85" i="15"/>
  <c r="H50" i="15"/>
  <c r="H57" i="15"/>
  <c r="H146" i="15"/>
  <c r="H181" i="15"/>
  <c r="H184" i="15"/>
  <c r="H213" i="15"/>
  <c r="H119" i="15"/>
  <c r="H180" i="15"/>
  <c r="H183" i="15"/>
  <c r="H95" i="15"/>
  <c r="H16" i="15"/>
  <c r="H19" i="15"/>
  <c r="H21" i="15"/>
  <c r="H223" i="15"/>
  <c r="H234" i="15"/>
  <c r="H222" i="15"/>
  <c r="H243" i="15"/>
  <c r="H224" i="15"/>
  <c r="H244" i="15"/>
  <c r="H245" i="15"/>
  <c r="G63" i="15"/>
  <c r="G39" i="15"/>
  <c r="I37" i="15"/>
  <c r="I39" i="15"/>
  <c r="K38" i="15"/>
  <c r="I42" i="15"/>
  <c r="I35" i="15"/>
  <c r="I34" i="15"/>
  <c r="I38" i="15"/>
  <c r="J38" i="15"/>
  <c r="J108" i="15"/>
  <c r="J135" i="15"/>
  <c r="I104" i="15"/>
  <c r="J35" i="15"/>
  <c r="J42" i="15"/>
  <c r="L38" i="15"/>
  <c r="K108" i="15"/>
  <c r="K135" i="15"/>
  <c r="J39" i="15"/>
  <c r="I108" i="15"/>
  <c r="I135" i="15"/>
  <c r="I105" i="15"/>
  <c r="I132" i="15"/>
  <c r="I112" i="15"/>
  <c r="I139" i="15"/>
  <c r="I109" i="15"/>
  <c r="I136" i="15"/>
  <c r="G109" i="15"/>
  <c r="G136" i="15"/>
  <c r="F109" i="15"/>
  <c r="F136" i="15"/>
  <c r="I107" i="15"/>
  <c r="I134" i="15"/>
  <c r="F108" i="15"/>
  <c r="F135" i="15"/>
  <c r="G62" i="15"/>
  <c r="G38" i="15"/>
  <c r="G108" i="15"/>
  <c r="G135" i="15"/>
  <c r="J37" i="15"/>
  <c r="J107" i="15"/>
  <c r="J134" i="15"/>
  <c r="G66" i="15"/>
  <c r="G42" i="15"/>
  <c r="J105" i="15"/>
  <c r="J132" i="15"/>
  <c r="J34" i="15"/>
  <c r="K39" i="15"/>
  <c r="M38" i="15"/>
  <c r="K42" i="15"/>
  <c r="K35" i="15"/>
  <c r="J112" i="15"/>
  <c r="J139" i="15"/>
  <c r="I131" i="15"/>
  <c r="J109" i="15"/>
  <c r="J136" i="15"/>
  <c r="L108" i="15"/>
  <c r="L135" i="15"/>
  <c r="K37" i="15"/>
  <c r="K107" i="15"/>
  <c r="K134" i="15"/>
  <c r="J104" i="15"/>
  <c r="G61" i="15"/>
  <c r="G37" i="15"/>
  <c r="K34" i="15"/>
  <c r="G112" i="15"/>
  <c r="G139" i="15"/>
  <c r="K105" i="15"/>
  <c r="K132" i="15"/>
  <c r="L39" i="15"/>
  <c r="F112" i="15"/>
  <c r="F139" i="15"/>
  <c r="K112" i="15"/>
  <c r="K139" i="15"/>
  <c r="M108" i="15"/>
  <c r="M135" i="15"/>
  <c r="G59" i="15"/>
  <c r="G35" i="15"/>
  <c r="G58" i="15"/>
  <c r="L35" i="15"/>
  <c r="L42" i="15"/>
  <c r="K109" i="15"/>
  <c r="K136" i="15"/>
  <c r="L37" i="15"/>
  <c r="L107" i="15"/>
  <c r="L134" i="15"/>
  <c r="L112" i="15"/>
  <c r="L139" i="15"/>
  <c r="G105" i="15"/>
  <c r="G132" i="15"/>
  <c r="M39" i="15"/>
  <c r="K104" i="15"/>
  <c r="M35" i="15"/>
  <c r="L109" i="15"/>
  <c r="L136" i="15"/>
  <c r="F107" i="15"/>
  <c r="F134" i="15"/>
  <c r="F104" i="15"/>
  <c r="L34" i="15"/>
  <c r="O108" i="15"/>
  <c r="O135" i="15"/>
  <c r="G34" i="15"/>
  <c r="J131" i="15"/>
  <c r="M42" i="15"/>
  <c r="L105" i="15"/>
  <c r="L132" i="15"/>
  <c r="F105" i="15"/>
  <c r="F132" i="15"/>
  <c r="G107" i="15"/>
  <c r="G134" i="15"/>
  <c r="M37" i="15"/>
  <c r="M107" i="15"/>
  <c r="M134" i="15"/>
  <c r="M109" i="15"/>
  <c r="M136" i="15"/>
  <c r="P108" i="15"/>
  <c r="P135" i="15"/>
  <c r="M112" i="15"/>
  <c r="M139" i="15"/>
  <c r="M105" i="15"/>
  <c r="M132" i="15"/>
  <c r="G104" i="15"/>
  <c r="M34" i="15"/>
  <c r="L104" i="15"/>
  <c r="F131" i="15"/>
  <c r="K131" i="15"/>
  <c r="O107" i="15"/>
  <c r="O134" i="15"/>
  <c r="O109" i="15"/>
  <c r="O136" i="15"/>
  <c r="L131" i="15"/>
  <c r="O112" i="15"/>
  <c r="O139" i="15"/>
  <c r="Q108" i="15"/>
  <c r="Q135" i="15"/>
  <c r="O105" i="15"/>
  <c r="O132" i="15"/>
  <c r="M104" i="15"/>
  <c r="G131" i="15"/>
  <c r="P107" i="15"/>
  <c r="P134" i="15"/>
  <c r="M131" i="15"/>
  <c r="P105" i="15"/>
  <c r="P132" i="15"/>
  <c r="P109" i="15"/>
  <c r="P136" i="15"/>
  <c r="P112" i="15"/>
  <c r="P139" i="15"/>
  <c r="R108" i="15"/>
  <c r="R135" i="15"/>
  <c r="Q107" i="15"/>
  <c r="Q134" i="15"/>
  <c r="Q109" i="15"/>
  <c r="Q136" i="15"/>
  <c r="Q112" i="15"/>
  <c r="Q139" i="15"/>
  <c r="O104" i="15"/>
  <c r="Q105" i="15"/>
  <c r="Q132" i="15"/>
  <c r="S108" i="15"/>
  <c r="S135" i="15"/>
  <c r="R107" i="15"/>
  <c r="R134" i="15"/>
  <c r="R105" i="15"/>
  <c r="R132" i="15"/>
  <c r="R112" i="15"/>
  <c r="R139" i="15"/>
  <c r="O131" i="15"/>
  <c r="R109" i="15"/>
  <c r="R136" i="15"/>
  <c r="T108" i="15"/>
  <c r="T135" i="15"/>
  <c r="P104" i="15"/>
  <c r="S107" i="15"/>
  <c r="S134" i="15"/>
  <c r="S109" i="15"/>
  <c r="S136" i="15"/>
  <c r="S112" i="15"/>
  <c r="S139" i="15"/>
  <c r="Q104" i="15"/>
  <c r="U108" i="15"/>
  <c r="U135" i="15"/>
  <c r="P131" i="15"/>
  <c r="S105" i="15"/>
  <c r="S132" i="15"/>
  <c r="T107" i="15"/>
  <c r="T134" i="15"/>
  <c r="W108" i="15"/>
  <c r="W135" i="15"/>
  <c r="T112" i="15"/>
  <c r="T139" i="15"/>
  <c r="V108" i="15"/>
  <c r="V135" i="15"/>
  <c r="R104" i="15"/>
  <c r="Q131" i="15"/>
  <c r="T109" i="15"/>
  <c r="T136" i="15"/>
  <c r="T105" i="15"/>
  <c r="T132" i="15"/>
  <c r="U107" i="15"/>
  <c r="U134" i="15"/>
  <c r="R131" i="15"/>
  <c r="U105" i="15"/>
  <c r="U132" i="15"/>
  <c r="U112" i="15"/>
  <c r="U139" i="15"/>
  <c r="U109" i="15"/>
  <c r="U136" i="15"/>
  <c r="S104" i="15"/>
  <c r="W107" i="15"/>
  <c r="W134" i="15"/>
  <c r="V107" i="15"/>
  <c r="V134" i="15"/>
  <c r="W105" i="15"/>
  <c r="W132" i="15"/>
  <c r="W112" i="15"/>
  <c r="W139" i="15"/>
  <c r="T104" i="15"/>
  <c r="V105" i="15"/>
  <c r="V132" i="15"/>
  <c r="S131" i="15"/>
  <c r="W109" i="15"/>
  <c r="W136" i="15"/>
  <c r="V109" i="15"/>
  <c r="V136" i="15"/>
  <c r="V112" i="15"/>
  <c r="V139" i="15"/>
  <c r="AI139" i="15"/>
  <c r="U104" i="15"/>
  <c r="T131" i="15"/>
  <c r="V104" i="15"/>
  <c r="U131" i="15"/>
  <c r="V131" i="15"/>
  <c r="W104" i="15"/>
  <c r="W131" i="15"/>
  <c r="I67" i="15"/>
  <c r="I68" i="15"/>
  <c r="J67" i="15"/>
  <c r="J68" i="15"/>
  <c r="D115" i="15"/>
  <c r="D214" i="15"/>
  <c r="D44" i="15"/>
  <c r="D67" i="15"/>
  <c r="D68" i="15"/>
  <c r="I40" i="15"/>
  <c r="J40" i="15"/>
  <c r="E67" i="15"/>
  <c r="E68" i="15"/>
  <c r="J110" i="15"/>
  <c r="J43" i="15"/>
  <c r="J44" i="15"/>
  <c r="I44" i="15"/>
  <c r="I43" i="15"/>
  <c r="I110" i="15"/>
  <c r="D235" i="15"/>
  <c r="K67" i="15"/>
  <c r="K68" i="15"/>
  <c r="K40" i="15"/>
  <c r="D142" i="15"/>
  <c r="D215" i="15"/>
  <c r="D236" i="15"/>
  <c r="D51" i="15"/>
  <c r="D45" i="15"/>
  <c r="D213" i="15"/>
  <c r="D223" i="15"/>
  <c r="I45" i="15"/>
  <c r="I51" i="15"/>
  <c r="J45" i="15"/>
  <c r="J51" i="15"/>
  <c r="K44" i="15"/>
  <c r="K110" i="15"/>
  <c r="K43" i="15"/>
  <c r="D25" i="15"/>
  <c r="I47" i="15"/>
  <c r="J47" i="15"/>
  <c r="F67" i="15"/>
  <c r="F68" i="15"/>
  <c r="G64" i="15"/>
  <c r="D234" i="15"/>
  <c r="I137" i="15"/>
  <c r="I113" i="15"/>
  <c r="I115" i="15"/>
  <c r="I214" i="15"/>
  <c r="L67" i="15"/>
  <c r="L68" i="15"/>
  <c r="L40" i="15"/>
  <c r="J115" i="15"/>
  <c r="J214" i="15"/>
  <c r="J137" i="15"/>
  <c r="J113" i="15"/>
  <c r="E44" i="15"/>
  <c r="D226" i="15"/>
  <c r="D224" i="15"/>
  <c r="J235" i="15"/>
  <c r="D245" i="15"/>
  <c r="D244" i="15"/>
  <c r="I116" i="15"/>
  <c r="I25" i="15"/>
  <c r="I48" i="15"/>
  <c r="I117" i="15"/>
  <c r="I144" i="15"/>
  <c r="K47" i="15"/>
  <c r="E115" i="15"/>
  <c r="E214" i="15"/>
  <c r="I235" i="15"/>
  <c r="J25" i="15"/>
  <c r="J116" i="15"/>
  <c r="J48" i="15"/>
  <c r="J117" i="15"/>
  <c r="J144" i="15"/>
  <c r="K113" i="15"/>
  <c r="K115" i="15"/>
  <c r="K214" i="15"/>
  <c r="K137" i="15"/>
  <c r="G67" i="15"/>
  <c r="G68" i="15"/>
  <c r="G40" i="15"/>
  <c r="D220" i="15"/>
  <c r="K51" i="15"/>
  <c r="K45" i="15"/>
  <c r="E45" i="15"/>
  <c r="E51" i="15"/>
  <c r="D50" i="15"/>
  <c r="D84" i="15"/>
  <c r="D57" i="15"/>
  <c r="D85" i="15"/>
  <c r="D56" i="15"/>
  <c r="M67" i="15"/>
  <c r="M68" i="15"/>
  <c r="M40" i="15"/>
  <c r="J140" i="15"/>
  <c r="J142" i="15"/>
  <c r="J215" i="15"/>
  <c r="J236" i="15"/>
  <c r="L44" i="15"/>
  <c r="L110" i="15"/>
  <c r="L43" i="15"/>
  <c r="I142" i="15"/>
  <c r="I215" i="15"/>
  <c r="I236" i="15"/>
  <c r="I140" i="15"/>
  <c r="F44" i="15"/>
  <c r="F110" i="15"/>
  <c r="J49" i="15"/>
  <c r="J50" i="15"/>
  <c r="J118" i="15"/>
  <c r="J119" i="15"/>
  <c r="J213" i="15"/>
  <c r="J234" i="15"/>
  <c r="I118" i="15"/>
  <c r="I180" i="15"/>
  <c r="I183" i="15"/>
  <c r="F137" i="15"/>
  <c r="F115" i="15"/>
  <c r="F214" i="15"/>
  <c r="F113" i="15"/>
  <c r="D241" i="15"/>
  <c r="E235" i="15"/>
  <c r="J223" i="15"/>
  <c r="N67" i="15"/>
  <c r="N68" i="15"/>
  <c r="D221" i="15"/>
  <c r="D242" i="15"/>
  <c r="I119" i="15"/>
  <c r="I49" i="15"/>
  <c r="L45" i="15"/>
  <c r="L51" i="15"/>
  <c r="M44" i="15"/>
  <c r="M110" i="15"/>
  <c r="M43" i="15"/>
  <c r="J56" i="15"/>
  <c r="J88" i="15"/>
  <c r="J89" i="15"/>
  <c r="J57" i="15"/>
  <c r="J94" i="15"/>
  <c r="J93" i="15"/>
  <c r="I213" i="15"/>
  <c r="E142" i="15"/>
  <c r="E215" i="15"/>
  <c r="E236" i="15"/>
  <c r="K140" i="15"/>
  <c r="K142" i="15"/>
  <c r="K215" i="15"/>
  <c r="K236" i="15"/>
  <c r="J143" i="15"/>
  <c r="J221" i="15"/>
  <c r="J242" i="15"/>
  <c r="J220" i="15"/>
  <c r="K235" i="15"/>
  <c r="F51" i="15"/>
  <c r="F45" i="15"/>
  <c r="L47" i="15"/>
  <c r="L115" i="15"/>
  <c r="L214" i="15"/>
  <c r="L113" i="15"/>
  <c r="L137" i="15"/>
  <c r="D119" i="15"/>
  <c r="D180" i="15"/>
  <c r="D183" i="15"/>
  <c r="D186" i="15"/>
  <c r="G44" i="15"/>
  <c r="G43" i="15"/>
  <c r="G110" i="15"/>
  <c r="E25" i="15"/>
  <c r="K116" i="15"/>
  <c r="K25" i="15"/>
  <c r="K48" i="15"/>
  <c r="I143" i="15"/>
  <c r="I221" i="15"/>
  <c r="I242" i="15"/>
  <c r="I220" i="15"/>
  <c r="J180" i="15"/>
  <c r="J183" i="15"/>
  <c r="J92" i="15"/>
  <c r="J84" i="15"/>
  <c r="J85" i="15"/>
  <c r="J91" i="15"/>
  <c r="J86" i="15"/>
  <c r="J90" i="15"/>
  <c r="J87" i="15"/>
  <c r="J95" i="15"/>
  <c r="E213" i="15"/>
  <c r="E224" i="15"/>
  <c r="J224" i="15"/>
  <c r="K213" i="15"/>
  <c r="E49" i="15"/>
  <c r="E226" i="15"/>
  <c r="F140" i="15"/>
  <c r="F142" i="15"/>
  <c r="F215" i="15"/>
  <c r="F236" i="15"/>
  <c r="L25" i="15"/>
  <c r="L116" i="15"/>
  <c r="L48" i="15"/>
  <c r="G51" i="15"/>
  <c r="G45" i="15"/>
  <c r="M51" i="15"/>
  <c r="N51" i="15"/>
  <c r="M45" i="15"/>
  <c r="G47" i="15"/>
  <c r="I145" i="15"/>
  <c r="M47" i="15"/>
  <c r="K117" i="15"/>
  <c r="K220" i="15"/>
  <c r="K49" i="15"/>
  <c r="L235" i="15"/>
  <c r="K223" i="15"/>
  <c r="K234" i="15"/>
  <c r="K224" i="15"/>
  <c r="M115" i="15"/>
  <c r="M214" i="15"/>
  <c r="M113" i="15"/>
  <c r="M137" i="15"/>
  <c r="J244" i="15"/>
  <c r="J245" i="15"/>
  <c r="D219" i="15"/>
  <c r="I219" i="15"/>
  <c r="I240" i="15"/>
  <c r="I241" i="15"/>
  <c r="K143" i="15"/>
  <c r="G115" i="15"/>
  <c r="G214" i="15"/>
  <c r="G113" i="15"/>
  <c r="G137" i="15"/>
  <c r="L142" i="15"/>
  <c r="L215" i="15"/>
  <c r="L236" i="15"/>
  <c r="L140" i="15"/>
  <c r="F25" i="15"/>
  <c r="F116" i="15"/>
  <c r="J219" i="15"/>
  <c r="J241" i="15"/>
  <c r="J145" i="15"/>
  <c r="I223" i="15"/>
  <c r="I224" i="15"/>
  <c r="I234" i="15"/>
  <c r="D96" i="15"/>
  <c r="D16" i="15"/>
  <c r="I87" i="15"/>
  <c r="I89" i="15"/>
  <c r="I91" i="15"/>
  <c r="I85" i="15"/>
  <c r="I90" i="15"/>
  <c r="I94" i="15"/>
  <c r="I88" i="15"/>
  <c r="I93" i="15"/>
  <c r="I84" i="15"/>
  <c r="I50" i="15"/>
  <c r="I57" i="15"/>
  <c r="I56" i="15"/>
  <c r="I86" i="15"/>
  <c r="I92" i="15"/>
  <c r="D146" i="15"/>
  <c r="D181" i="15"/>
  <c r="D184" i="15"/>
  <c r="D187" i="15"/>
  <c r="F213" i="15"/>
  <c r="F235" i="15"/>
  <c r="E223" i="15"/>
  <c r="E234" i="15"/>
  <c r="K241" i="15"/>
  <c r="J240" i="15"/>
  <c r="J222" i="15"/>
  <c r="J243" i="15"/>
  <c r="D240" i="15"/>
  <c r="D227" i="15"/>
  <c r="D222" i="15"/>
  <c r="D243" i="15"/>
  <c r="D246" i="15"/>
  <c r="K93" i="15"/>
  <c r="K84" i="15"/>
  <c r="K56" i="15"/>
  <c r="K57" i="15"/>
  <c r="K90" i="15"/>
  <c r="K50" i="15"/>
  <c r="K88" i="15"/>
  <c r="K87" i="15"/>
  <c r="K85" i="15"/>
  <c r="K94" i="15"/>
  <c r="K86" i="15"/>
  <c r="K91" i="15"/>
  <c r="K89" i="15"/>
  <c r="K92" i="15"/>
  <c r="J16" i="15"/>
  <c r="F117" i="15"/>
  <c r="F49" i="15"/>
  <c r="M235" i="15"/>
  <c r="F226" i="15"/>
  <c r="I222" i="15"/>
  <c r="I243" i="15"/>
  <c r="I246" i="15"/>
  <c r="J181" i="15"/>
  <c r="J184" i="15"/>
  <c r="J146" i="15"/>
  <c r="J179" i="15"/>
  <c r="J182" i="15"/>
  <c r="F220" i="15"/>
  <c r="F143" i="15"/>
  <c r="G142" i="15"/>
  <c r="G215" i="15"/>
  <c r="G236" i="15"/>
  <c r="G140" i="15"/>
  <c r="M25" i="15"/>
  <c r="M116" i="15"/>
  <c r="M48" i="15"/>
  <c r="L117" i="15"/>
  <c r="L49" i="15"/>
  <c r="D19" i="15"/>
  <c r="D21" i="15"/>
  <c r="D17" i="15"/>
  <c r="G235" i="15"/>
  <c r="K244" i="15"/>
  <c r="K245" i="15"/>
  <c r="I181" i="15"/>
  <c r="I184" i="15"/>
  <c r="I146" i="15"/>
  <c r="I179" i="15"/>
  <c r="I182" i="15"/>
  <c r="K144" i="15"/>
  <c r="K145" i="15"/>
  <c r="K118" i="15"/>
  <c r="O44" i="15"/>
  <c r="O110" i="15"/>
  <c r="O43" i="15"/>
  <c r="F223" i="15"/>
  <c r="F224" i="15"/>
  <c r="F234" i="15"/>
  <c r="I95" i="15"/>
  <c r="J96" i="15"/>
  <c r="I245" i="15"/>
  <c r="I244" i="15"/>
  <c r="G116" i="15"/>
  <c r="G48" i="15"/>
  <c r="G117" i="15"/>
  <c r="G118" i="15"/>
  <c r="E220" i="15"/>
  <c r="M142" i="15"/>
  <c r="M215" i="15"/>
  <c r="M236" i="15"/>
  <c r="M140" i="15"/>
  <c r="L213" i="15"/>
  <c r="G25" i="15"/>
  <c r="G144" i="15"/>
  <c r="L143" i="15"/>
  <c r="L220" i="15"/>
  <c r="E245" i="15"/>
  <c r="E244" i="15"/>
  <c r="E88" i="15"/>
  <c r="E94" i="15"/>
  <c r="E85" i="15"/>
  <c r="E84" i="15"/>
  <c r="E50" i="15"/>
  <c r="E89" i="15"/>
  <c r="E90" i="15"/>
  <c r="E87" i="15"/>
  <c r="E56" i="15"/>
  <c r="E57" i="15"/>
  <c r="E91" i="15"/>
  <c r="E93" i="15"/>
  <c r="E86" i="15"/>
  <c r="E92" i="15"/>
  <c r="J246" i="15"/>
  <c r="E95" i="15"/>
  <c r="K221" i="15"/>
  <c r="K95" i="15"/>
  <c r="K96" i="15"/>
  <c r="M213" i="15"/>
  <c r="M234" i="15"/>
  <c r="L224" i="15"/>
  <c r="L223" i="15"/>
  <c r="L234" i="15"/>
  <c r="O47" i="15"/>
  <c r="O115" i="15"/>
  <c r="O214" i="15"/>
  <c r="O137" i="15"/>
  <c r="O113" i="15"/>
  <c r="P44" i="15"/>
  <c r="P110" i="15"/>
  <c r="P43" i="15"/>
  <c r="E181" i="15"/>
  <c r="E184" i="15"/>
  <c r="E187" i="15"/>
  <c r="K146" i="15"/>
  <c r="K181" i="15"/>
  <c r="K184" i="15"/>
  <c r="G143" i="15"/>
  <c r="G221" i="15"/>
  <c r="G242" i="15"/>
  <c r="G220" i="15"/>
  <c r="L144" i="15"/>
  <c r="L221" i="15"/>
  <c r="L118" i="15"/>
  <c r="E221" i="15"/>
  <c r="E242" i="15"/>
  <c r="F241" i="15"/>
  <c r="F87" i="15"/>
  <c r="F90" i="15"/>
  <c r="F57" i="15"/>
  <c r="F56" i="15"/>
  <c r="F89" i="15"/>
  <c r="F93" i="15"/>
  <c r="F50" i="15"/>
  <c r="F88" i="15"/>
  <c r="F94" i="15"/>
  <c r="F85" i="15"/>
  <c r="F91" i="15"/>
  <c r="F84" i="15"/>
  <c r="F86" i="15"/>
  <c r="F92" i="15"/>
  <c r="G49" i="15"/>
  <c r="E96" i="15"/>
  <c r="E16" i="15"/>
  <c r="G180" i="15"/>
  <c r="G183" i="15"/>
  <c r="G119" i="15"/>
  <c r="F245" i="15"/>
  <c r="F244" i="15"/>
  <c r="G213" i="15"/>
  <c r="M143" i="15"/>
  <c r="E119" i="15"/>
  <c r="E180" i="15"/>
  <c r="E183" i="15"/>
  <c r="E186" i="15"/>
  <c r="D228" i="15"/>
  <c r="K179" i="15"/>
  <c r="K182" i="15"/>
  <c r="K180" i="15"/>
  <c r="K183" i="15"/>
  <c r="K119" i="15"/>
  <c r="L85" i="15"/>
  <c r="L56" i="15"/>
  <c r="L89" i="15"/>
  <c r="L91" i="15"/>
  <c r="L88" i="15"/>
  <c r="L90" i="15"/>
  <c r="L50" i="15"/>
  <c r="L94" i="15"/>
  <c r="L93" i="15"/>
  <c r="L87" i="15"/>
  <c r="L57" i="15"/>
  <c r="L86" i="15"/>
  <c r="L84" i="15"/>
  <c r="L92" i="15"/>
  <c r="L241" i="15"/>
  <c r="E241" i="15"/>
  <c r="I96" i="15"/>
  <c r="I16" i="15"/>
  <c r="J17" i="15"/>
  <c r="O45" i="15"/>
  <c r="O51" i="15"/>
  <c r="M117" i="15"/>
  <c r="M144" i="15"/>
  <c r="M49" i="15"/>
  <c r="G226" i="15"/>
  <c r="H226" i="15"/>
  <c r="I226" i="15"/>
  <c r="J226" i="15"/>
  <c r="K226" i="15"/>
  <c r="L226" i="15"/>
  <c r="F144" i="15"/>
  <c r="F145" i="15"/>
  <c r="F118" i="15"/>
  <c r="J19" i="15"/>
  <c r="J21" i="15"/>
  <c r="D247" i="15"/>
  <c r="M118" i="15"/>
  <c r="M119" i="15"/>
  <c r="M223" i="15"/>
  <c r="G145" i="15"/>
  <c r="M226" i="15"/>
  <c r="N226" i="15"/>
  <c r="K16" i="15"/>
  <c r="K17" i="15"/>
  <c r="L242" i="15"/>
  <c r="L219" i="15"/>
  <c r="L240" i="15"/>
  <c r="M220" i="15"/>
  <c r="M241" i="15"/>
  <c r="L145" i="15"/>
  <c r="L146" i="15"/>
  <c r="K242" i="15"/>
  <c r="K219" i="15"/>
  <c r="M224" i="15"/>
  <c r="M221" i="15"/>
  <c r="M242" i="15"/>
  <c r="F146" i="15"/>
  <c r="F181" i="15"/>
  <c r="F184" i="15"/>
  <c r="M180" i="15"/>
  <c r="M183" i="15"/>
  <c r="P47" i="15"/>
  <c r="G146" i="15"/>
  <c r="G181" i="15"/>
  <c r="G184" i="15"/>
  <c r="G84" i="15"/>
  <c r="G85" i="15"/>
  <c r="G93" i="15"/>
  <c r="G87" i="15"/>
  <c r="G56" i="15"/>
  <c r="G90" i="15"/>
  <c r="G57" i="15"/>
  <c r="G88" i="15"/>
  <c r="G91" i="15"/>
  <c r="G50" i="15"/>
  <c r="G94" i="15"/>
  <c r="G89" i="15"/>
  <c r="G86" i="15"/>
  <c r="G92" i="15"/>
  <c r="P137" i="15"/>
  <c r="P115" i="15"/>
  <c r="P214" i="15"/>
  <c r="P113" i="15"/>
  <c r="O140" i="15"/>
  <c r="O142" i="15"/>
  <c r="O215" i="15"/>
  <c r="O236" i="15"/>
  <c r="F180" i="15"/>
  <c r="F183" i="15"/>
  <c r="F186" i="15"/>
  <c r="G186" i="15"/>
  <c r="H186" i="15"/>
  <c r="I186" i="15"/>
  <c r="J186" i="15"/>
  <c r="K186" i="15"/>
  <c r="F179" i="15"/>
  <c r="F182" i="15"/>
  <c r="F185" i="15"/>
  <c r="F119" i="15"/>
  <c r="L119" i="15"/>
  <c r="L180" i="15"/>
  <c r="L183" i="15"/>
  <c r="F221" i="15"/>
  <c r="P45" i="15"/>
  <c r="P51" i="15"/>
  <c r="O235" i="15"/>
  <c r="O25" i="15"/>
  <c r="O116" i="15"/>
  <c r="O48" i="15"/>
  <c r="Q44" i="15"/>
  <c r="Q43" i="15"/>
  <c r="Q110" i="15"/>
  <c r="G241" i="15"/>
  <c r="G219" i="15"/>
  <c r="G240" i="15"/>
  <c r="L244" i="15"/>
  <c r="L245" i="15"/>
  <c r="G179" i="15"/>
  <c r="G182" i="15"/>
  <c r="F95" i="15"/>
  <c r="F187" i="15"/>
  <c r="G187" i="15"/>
  <c r="H187" i="15"/>
  <c r="I187" i="15"/>
  <c r="J187" i="15"/>
  <c r="K187" i="15"/>
  <c r="L222" i="15"/>
  <c r="L243" i="15"/>
  <c r="M90" i="15"/>
  <c r="M91" i="15"/>
  <c r="M50" i="15"/>
  <c r="M88" i="15"/>
  <c r="M94" i="15"/>
  <c r="M57" i="15"/>
  <c r="M87" i="15"/>
  <c r="M85" i="15"/>
  <c r="M56" i="15"/>
  <c r="M89" i="15"/>
  <c r="M86" i="15"/>
  <c r="M93" i="15"/>
  <c r="M84" i="15"/>
  <c r="M92" i="15"/>
  <c r="E219" i="15"/>
  <c r="M245" i="15"/>
  <c r="M244" i="15"/>
  <c r="I19" i="15"/>
  <c r="I21" i="15"/>
  <c r="I17" i="15"/>
  <c r="L95" i="15"/>
  <c r="G223" i="15"/>
  <c r="G224" i="15"/>
  <c r="G234" i="15"/>
  <c r="E17" i="15"/>
  <c r="E19" i="15"/>
  <c r="E21" i="15"/>
  <c r="M145" i="15"/>
  <c r="M179" i="15"/>
  <c r="M182" i="15"/>
  <c r="K19" i="15"/>
  <c r="K21" i="15"/>
  <c r="L181" i="15"/>
  <c r="L184" i="15"/>
  <c r="L187" i="15"/>
  <c r="M219" i="15"/>
  <c r="M240" i="15"/>
  <c r="M95" i="15"/>
  <c r="M96" i="15"/>
  <c r="L179" i="15"/>
  <c r="L182" i="15"/>
  <c r="K240" i="15"/>
  <c r="K222" i="15"/>
  <c r="K243" i="15"/>
  <c r="K246" i="15"/>
  <c r="L246" i="15"/>
  <c r="G222" i="15"/>
  <c r="G243" i="15"/>
  <c r="E240" i="15"/>
  <c r="E222" i="15"/>
  <c r="E243" i="15"/>
  <c r="E246" i="15"/>
  <c r="E227" i="15"/>
  <c r="R110" i="15"/>
  <c r="R44" i="15"/>
  <c r="R43" i="15"/>
  <c r="O143" i="15"/>
  <c r="L96" i="15"/>
  <c r="L16" i="15"/>
  <c r="Q113" i="15"/>
  <c r="Q115" i="15"/>
  <c r="Q214" i="15"/>
  <c r="Q137" i="15"/>
  <c r="G95" i="15"/>
  <c r="P116" i="15"/>
  <c r="P25" i="15"/>
  <c r="P48" i="15"/>
  <c r="Q51" i="15"/>
  <c r="Q45" i="15"/>
  <c r="O117" i="15"/>
  <c r="O144" i="15"/>
  <c r="O49" i="15"/>
  <c r="P142" i="15"/>
  <c r="P215" i="15"/>
  <c r="P236" i="15"/>
  <c r="P140" i="15"/>
  <c r="M181" i="15"/>
  <c r="M184" i="15"/>
  <c r="M146" i="15"/>
  <c r="G244" i="15"/>
  <c r="G245" i="15"/>
  <c r="G185" i="15"/>
  <c r="F96" i="15"/>
  <c r="F16" i="15"/>
  <c r="L186" i="15"/>
  <c r="M186" i="15"/>
  <c r="N186" i="15"/>
  <c r="Q47" i="15"/>
  <c r="O213" i="15"/>
  <c r="F242" i="15"/>
  <c r="F219" i="15"/>
  <c r="P235" i="15"/>
  <c r="M222" i="15"/>
  <c r="M243" i="15"/>
  <c r="M16" i="15"/>
  <c r="M17" i="15"/>
  <c r="N96" i="15"/>
  <c r="M246" i="15"/>
  <c r="N246" i="15"/>
  <c r="M187" i="15"/>
  <c r="N187" i="15"/>
  <c r="O145" i="15"/>
  <c r="O146" i="15"/>
  <c r="F240" i="15"/>
  <c r="F222" i="15"/>
  <c r="F243" i="15"/>
  <c r="F246" i="15"/>
  <c r="L19" i="15"/>
  <c r="L21" i="15"/>
  <c r="L17" i="15"/>
  <c r="Q140" i="15"/>
  <c r="Q142" i="15"/>
  <c r="Q215" i="15"/>
  <c r="Q236" i="15"/>
  <c r="R47" i="15"/>
  <c r="E228" i="15"/>
  <c r="F227" i="15"/>
  <c r="O224" i="15"/>
  <c r="O234" i="15"/>
  <c r="O223" i="15"/>
  <c r="O226" i="15"/>
  <c r="P143" i="15"/>
  <c r="Q235" i="15"/>
  <c r="R45" i="15"/>
  <c r="R51" i="15"/>
  <c r="N17" i="15"/>
  <c r="E247" i="15"/>
  <c r="P117" i="15"/>
  <c r="P49" i="15"/>
  <c r="O221" i="15"/>
  <c r="O242" i="15"/>
  <c r="O118" i="15"/>
  <c r="F17" i="15"/>
  <c r="F19" i="15"/>
  <c r="F21" i="15"/>
  <c r="P213" i="15"/>
  <c r="Q25" i="15"/>
  <c r="Q116" i="15"/>
  <c r="Q48" i="15"/>
  <c r="S44" i="15"/>
  <c r="S110" i="15"/>
  <c r="S43" i="15"/>
  <c r="I185" i="15"/>
  <c r="O84" i="15"/>
  <c r="O90" i="15"/>
  <c r="O89" i="15"/>
  <c r="O93" i="15"/>
  <c r="O65" i="15"/>
  <c r="O85" i="15"/>
  <c r="O94" i="15"/>
  <c r="O56" i="15"/>
  <c r="O57" i="15"/>
  <c r="O60" i="15"/>
  <c r="O67" i="15"/>
  <c r="O68" i="15"/>
  <c r="O91" i="15"/>
  <c r="O86" i="15"/>
  <c r="O88" i="15"/>
  <c r="O87" i="15"/>
  <c r="O50" i="15"/>
  <c r="O92" i="15"/>
  <c r="G96" i="15"/>
  <c r="G16" i="15"/>
  <c r="O220" i="15"/>
  <c r="R115" i="15"/>
  <c r="R214" i="15"/>
  <c r="R137" i="15"/>
  <c r="R113" i="15"/>
  <c r="Q213" i="15"/>
  <c r="Q234" i="15"/>
  <c r="M19" i="15"/>
  <c r="M21" i="15"/>
  <c r="O181" i="15"/>
  <c r="O184" i="15"/>
  <c r="O187" i="15"/>
  <c r="G246" i="15"/>
  <c r="G247" i="15"/>
  <c r="F247" i="15"/>
  <c r="R142" i="15"/>
  <c r="R215" i="15"/>
  <c r="R236" i="15"/>
  <c r="R140" i="15"/>
  <c r="G19" i="15"/>
  <c r="G21" i="15"/>
  <c r="G17" i="15"/>
  <c r="S47" i="15"/>
  <c r="P223" i="15"/>
  <c r="P234" i="15"/>
  <c r="P224" i="15"/>
  <c r="T44" i="15"/>
  <c r="T110" i="15"/>
  <c r="T43" i="15"/>
  <c r="O245" i="15"/>
  <c r="O244" i="15"/>
  <c r="R25" i="15"/>
  <c r="R116" i="15"/>
  <c r="R48" i="15"/>
  <c r="R117" i="15"/>
  <c r="R144" i="15"/>
  <c r="R235" i="15"/>
  <c r="S115" i="15"/>
  <c r="S214" i="15"/>
  <c r="S113" i="15"/>
  <c r="S137" i="15"/>
  <c r="Q117" i="15"/>
  <c r="Q49" i="15"/>
  <c r="P87" i="15"/>
  <c r="P65" i="15"/>
  <c r="P56" i="15"/>
  <c r="P50" i="15"/>
  <c r="P90" i="15"/>
  <c r="P91" i="15"/>
  <c r="P93" i="15"/>
  <c r="P94" i="15"/>
  <c r="P84" i="15"/>
  <c r="P57" i="15"/>
  <c r="P60" i="15"/>
  <c r="P88" i="15"/>
  <c r="P89" i="15"/>
  <c r="P86" i="15"/>
  <c r="P85" i="15"/>
  <c r="P92" i="15"/>
  <c r="P226" i="15"/>
  <c r="R49" i="15"/>
  <c r="O241" i="15"/>
  <c r="O219" i="15"/>
  <c r="O95" i="15"/>
  <c r="I247" i="15"/>
  <c r="J185" i="15"/>
  <c r="Q143" i="15"/>
  <c r="P144" i="15"/>
  <c r="P145" i="15"/>
  <c r="P118" i="15"/>
  <c r="P220" i="15"/>
  <c r="F228" i="15"/>
  <c r="G227" i="15"/>
  <c r="S51" i="15"/>
  <c r="S45" i="15"/>
  <c r="O119" i="15"/>
  <c r="O180" i="15"/>
  <c r="O183" i="15"/>
  <c r="O186" i="15"/>
  <c r="O179" i="15"/>
  <c r="O182" i="15"/>
  <c r="Q223" i="15"/>
  <c r="Q226" i="15"/>
  <c r="Q224" i="15"/>
  <c r="P67" i="15"/>
  <c r="P68" i="15"/>
  <c r="R213" i="15"/>
  <c r="R226" i="15"/>
  <c r="P180" i="15"/>
  <c r="P183" i="15"/>
  <c r="P186" i="15"/>
  <c r="P119" i="15"/>
  <c r="P179" i="15"/>
  <c r="P182" i="15"/>
  <c r="J247" i="15"/>
  <c r="K185" i="15"/>
  <c r="Q90" i="15"/>
  <c r="Q91" i="15"/>
  <c r="Q88" i="15"/>
  <c r="Q94" i="15"/>
  <c r="Q50" i="15"/>
  <c r="Q93" i="15"/>
  <c r="Q57" i="15"/>
  <c r="Q65" i="15"/>
  <c r="Q89" i="15"/>
  <c r="Q84" i="15"/>
  <c r="Q86" i="15"/>
  <c r="Q56" i="15"/>
  <c r="Q87" i="15"/>
  <c r="Q60" i="15"/>
  <c r="Q85" i="15"/>
  <c r="Q92" i="15"/>
  <c r="S235" i="15"/>
  <c r="R143" i="15"/>
  <c r="R221" i="15"/>
  <c r="R242" i="15"/>
  <c r="R220" i="15"/>
  <c r="T47" i="15"/>
  <c r="T45" i="15"/>
  <c r="T51" i="15"/>
  <c r="G228" i="15"/>
  <c r="H227" i="15"/>
  <c r="P146" i="15"/>
  <c r="P181" i="15"/>
  <c r="P184" i="15"/>
  <c r="P187" i="15"/>
  <c r="R94" i="15"/>
  <c r="R93" i="15"/>
  <c r="R88" i="15"/>
  <c r="R90" i="15"/>
  <c r="R87" i="15"/>
  <c r="R57" i="15"/>
  <c r="R65" i="15"/>
  <c r="R89" i="15"/>
  <c r="R56" i="15"/>
  <c r="R85" i="15"/>
  <c r="R91" i="15"/>
  <c r="R50" i="15"/>
  <c r="R86" i="15"/>
  <c r="R84" i="15"/>
  <c r="R60" i="15"/>
  <c r="R67" i="15"/>
  <c r="R92" i="15"/>
  <c r="Q144" i="15"/>
  <c r="Q145" i="15"/>
  <c r="Q118" i="15"/>
  <c r="T113" i="15"/>
  <c r="T137" i="15"/>
  <c r="T115" i="15"/>
  <c r="T214" i="15"/>
  <c r="O16" i="15"/>
  <c r="O96" i="15"/>
  <c r="P95" i="15"/>
  <c r="S140" i="15"/>
  <c r="S142" i="15"/>
  <c r="S215" i="15"/>
  <c r="S236" i="15"/>
  <c r="S25" i="15"/>
  <c r="S116" i="15"/>
  <c r="S48" i="15"/>
  <c r="U110" i="15"/>
  <c r="U44" i="15"/>
  <c r="U43" i="15"/>
  <c r="Q245" i="15"/>
  <c r="Q244" i="15"/>
  <c r="P241" i="15"/>
  <c r="Q220" i="15"/>
  <c r="O240" i="15"/>
  <c r="O222" i="15"/>
  <c r="O243" i="15"/>
  <c r="O246" i="15"/>
  <c r="P221" i="15"/>
  <c r="P242" i="15"/>
  <c r="P244" i="15"/>
  <c r="P245" i="15"/>
  <c r="R118" i="15"/>
  <c r="R224" i="15"/>
  <c r="R145" i="15"/>
  <c r="R146" i="15"/>
  <c r="R223" i="15"/>
  <c r="R234" i="15"/>
  <c r="R245" i="15"/>
  <c r="Q221" i="15"/>
  <c r="Q242" i="15"/>
  <c r="Q241" i="15"/>
  <c r="V110" i="15"/>
  <c r="V43" i="15"/>
  <c r="V44" i="15"/>
  <c r="T142" i="15"/>
  <c r="T215" i="15"/>
  <c r="T236" i="15"/>
  <c r="T140" i="15"/>
  <c r="R244" i="15"/>
  <c r="T116" i="15"/>
  <c r="T25" i="15"/>
  <c r="T48" i="15"/>
  <c r="T117" i="15"/>
  <c r="T144" i="15"/>
  <c r="R119" i="15"/>
  <c r="R180" i="15"/>
  <c r="R183" i="15"/>
  <c r="P219" i="15"/>
  <c r="U47" i="15"/>
  <c r="W44" i="15"/>
  <c r="W110" i="15"/>
  <c r="W43" i="15"/>
  <c r="R219" i="15"/>
  <c r="R241" i="15"/>
  <c r="K247" i="15"/>
  <c r="L185" i="15"/>
  <c r="U51" i="15"/>
  <c r="U45" i="15"/>
  <c r="S117" i="15"/>
  <c r="S220" i="15"/>
  <c r="S49" i="15"/>
  <c r="O17" i="15"/>
  <c r="O19" i="15"/>
  <c r="O21" i="15"/>
  <c r="Q180" i="15"/>
  <c r="Q183" i="15"/>
  <c r="Q186" i="15"/>
  <c r="Q179" i="15"/>
  <c r="Q182" i="15"/>
  <c r="Q119" i="15"/>
  <c r="H228" i="15"/>
  <c r="I227" i="15"/>
  <c r="Q95" i="15"/>
  <c r="U113" i="15"/>
  <c r="U137" i="15"/>
  <c r="U115" i="15"/>
  <c r="U214" i="15"/>
  <c r="S143" i="15"/>
  <c r="P16" i="15"/>
  <c r="P96" i="15"/>
  <c r="T235" i="15"/>
  <c r="Q181" i="15"/>
  <c r="Q184" i="15"/>
  <c r="Q187" i="15"/>
  <c r="Q146" i="15"/>
  <c r="R95" i="15"/>
  <c r="S213" i="15"/>
  <c r="Q67" i="15"/>
  <c r="Q68" i="15"/>
  <c r="R181" i="15"/>
  <c r="R184" i="15"/>
  <c r="R187" i="15"/>
  <c r="R179" i="15"/>
  <c r="R182" i="15"/>
  <c r="T118" i="15"/>
  <c r="T213" i="15"/>
  <c r="T224" i="15"/>
  <c r="R186" i="15"/>
  <c r="Q219" i="15"/>
  <c r="Q240" i="15"/>
  <c r="S241" i="15"/>
  <c r="U235" i="15"/>
  <c r="I228" i="15"/>
  <c r="J227" i="15"/>
  <c r="T119" i="15"/>
  <c r="T180" i="15"/>
  <c r="T183" i="15"/>
  <c r="P240" i="15"/>
  <c r="P222" i="15"/>
  <c r="P243" i="15"/>
  <c r="P246" i="15"/>
  <c r="V113" i="15"/>
  <c r="V115" i="15"/>
  <c r="V214" i="15"/>
  <c r="V137" i="15"/>
  <c r="S223" i="15"/>
  <c r="S224" i="15"/>
  <c r="S234" i="15"/>
  <c r="P19" i="15"/>
  <c r="P21" i="15"/>
  <c r="P17" i="15"/>
  <c r="U142" i="15"/>
  <c r="U215" i="15"/>
  <c r="U236" i="15"/>
  <c r="U140" i="15"/>
  <c r="W51" i="15"/>
  <c r="W45" i="15"/>
  <c r="X51" i="15"/>
  <c r="T49" i="15"/>
  <c r="S94" i="15"/>
  <c r="S89" i="15"/>
  <c r="S90" i="15"/>
  <c r="S88" i="15"/>
  <c r="S93" i="15"/>
  <c r="S50" i="15"/>
  <c r="S84" i="15"/>
  <c r="S91" i="15"/>
  <c r="S57" i="15"/>
  <c r="S85" i="15"/>
  <c r="S60" i="15"/>
  <c r="S56" i="15"/>
  <c r="S86" i="15"/>
  <c r="S87" i="15"/>
  <c r="S65" i="15"/>
  <c r="S92" i="15"/>
  <c r="R240" i="15"/>
  <c r="R222" i="15"/>
  <c r="R243" i="15"/>
  <c r="W47" i="15"/>
  <c r="U25" i="15"/>
  <c r="U116" i="15"/>
  <c r="U48" i="15"/>
  <c r="T220" i="15"/>
  <c r="T143" i="15"/>
  <c r="T221" i="15"/>
  <c r="T242" i="15"/>
  <c r="V45" i="15"/>
  <c r="V51" i="15"/>
  <c r="S226" i="15"/>
  <c r="R96" i="15"/>
  <c r="R16" i="15"/>
  <c r="Q96" i="15"/>
  <c r="Q16" i="15"/>
  <c r="S144" i="15"/>
  <c r="S145" i="15"/>
  <c r="S118" i="15"/>
  <c r="L247" i="15"/>
  <c r="M185" i="15"/>
  <c r="R68" i="15"/>
  <c r="W115" i="15"/>
  <c r="W214" i="15"/>
  <c r="W137" i="15"/>
  <c r="W113" i="15"/>
  <c r="V47" i="15"/>
  <c r="T223" i="15"/>
  <c r="T226" i="15"/>
  <c r="T234" i="15"/>
  <c r="T145" i="15"/>
  <c r="T179" i="15"/>
  <c r="T182" i="15"/>
  <c r="Q222" i="15"/>
  <c r="Q243" i="15"/>
  <c r="Q246" i="15"/>
  <c r="R246" i="15"/>
  <c r="U213" i="15"/>
  <c r="U224" i="15"/>
  <c r="S221" i="15"/>
  <c r="S242" i="15"/>
  <c r="S146" i="15"/>
  <c r="S181" i="15"/>
  <c r="S184" i="15"/>
  <c r="S187" i="15"/>
  <c r="V25" i="15"/>
  <c r="V116" i="15"/>
  <c r="V48" i="15"/>
  <c r="W235" i="15"/>
  <c r="S180" i="15"/>
  <c r="S183" i="15"/>
  <c r="S186" i="15"/>
  <c r="T186" i="15"/>
  <c r="S179" i="15"/>
  <c r="S182" i="15"/>
  <c r="S119" i="15"/>
  <c r="U117" i="15"/>
  <c r="U220" i="15"/>
  <c r="U49" i="15"/>
  <c r="W25" i="15"/>
  <c r="W116" i="15"/>
  <c r="W48" i="15"/>
  <c r="S67" i="15"/>
  <c r="S68" i="15"/>
  <c r="T90" i="15"/>
  <c r="T88" i="15"/>
  <c r="T84" i="15"/>
  <c r="T65" i="15"/>
  <c r="T94" i="15"/>
  <c r="T91" i="15"/>
  <c r="T56" i="15"/>
  <c r="T93" i="15"/>
  <c r="T89" i="15"/>
  <c r="T57" i="15"/>
  <c r="T87" i="15"/>
  <c r="T86" i="15"/>
  <c r="T85" i="15"/>
  <c r="T50" i="15"/>
  <c r="T60" i="15"/>
  <c r="T92" i="15"/>
  <c r="S245" i="15"/>
  <c r="S244" i="15"/>
  <c r="V142" i="15"/>
  <c r="V215" i="15"/>
  <c r="V236" i="15"/>
  <c r="V140" i="15"/>
  <c r="R17" i="15"/>
  <c r="R19" i="15"/>
  <c r="R21" i="15"/>
  <c r="U143" i="15"/>
  <c r="V235" i="15"/>
  <c r="J228" i="15"/>
  <c r="K227" i="15"/>
  <c r="N185" i="15"/>
  <c r="M247" i="15"/>
  <c r="Q17" i="15"/>
  <c r="Q19" i="15"/>
  <c r="Q21" i="15"/>
  <c r="S95" i="15"/>
  <c r="W142" i="15"/>
  <c r="W215" i="15"/>
  <c r="W236" i="15"/>
  <c r="W140" i="15"/>
  <c r="T245" i="15"/>
  <c r="T244" i="15"/>
  <c r="T219" i="15"/>
  <c r="T241" i="15"/>
  <c r="U223" i="15"/>
  <c r="T146" i="15"/>
  <c r="V213" i="15"/>
  <c r="U226" i="15"/>
  <c r="S219" i="15"/>
  <c r="S240" i="15"/>
  <c r="U234" i="15"/>
  <c r="U245" i="15"/>
  <c r="T181" i="15"/>
  <c r="T184" i="15"/>
  <c r="T187" i="15"/>
  <c r="W213" i="15"/>
  <c r="W224" i="15"/>
  <c r="T240" i="15"/>
  <c r="T222" i="15"/>
  <c r="T243" i="15"/>
  <c r="V117" i="15"/>
  <c r="V144" i="15"/>
  <c r="V49" i="15"/>
  <c r="K228" i="15"/>
  <c r="L227" i="15"/>
  <c r="U241" i="15"/>
  <c r="T95" i="15"/>
  <c r="U85" i="15"/>
  <c r="U56" i="15"/>
  <c r="U88" i="15"/>
  <c r="U89" i="15"/>
  <c r="U94" i="15"/>
  <c r="U91" i="15"/>
  <c r="U87" i="15"/>
  <c r="U57" i="15"/>
  <c r="U90" i="15"/>
  <c r="U93" i="15"/>
  <c r="U60" i="15"/>
  <c r="U50" i="15"/>
  <c r="U65" i="15"/>
  <c r="U86" i="15"/>
  <c r="U84" i="15"/>
  <c r="U92" i="15"/>
  <c r="V143" i="15"/>
  <c r="T67" i="15"/>
  <c r="T68" i="15"/>
  <c r="W117" i="15"/>
  <c r="W220" i="15"/>
  <c r="W49" i="15"/>
  <c r="U144" i="15"/>
  <c r="U145" i="15"/>
  <c r="U118" i="15"/>
  <c r="S16" i="15"/>
  <c r="S96" i="15"/>
  <c r="N20" i="5"/>
  <c r="N247" i="15"/>
  <c r="O185" i="15"/>
  <c r="V223" i="15"/>
  <c r="V224" i="15"/>
  <c r="V234" i="15"/>
  <c r="W143" i="15"/>
  <c r="U244" i="15"/>
  <c r="V145" i="15"/>
  <c r="V226" i="15"/>
  <c r="S222" i="15"/>
  <c r="S243" i="15"/>
  <c r="S246" i="15"/>
  <c r="T246" i="15"/>
  <c r="W234" i="15"/>
  <c r="W244" i="15"/>
  <c r="W223" i="15"/>
  <c r="W226" i="15"/>
  <c r="X226" i="15"/>
  <c r="Y226" i="15"/>
  <c r="Z226" i="15"/>
  <c r="AA226" i="15"/>
  <c r="AB226" i="15"/>
  <c r="AC226" i="15"/>
  <c r="AD226" i="15"/>
  <c r="AE226" i="15"/>
  <c r="AF226" i="15"/>
  <c r="AG226" i="15"/>
  <c r="AH226" i="15"/>
  <c r="V220" i="15"/>
  <c r="V241" i="15"/>
  <c r="V118" i="15"/>
  <c r="V179" i="15"/>
  <c r="V182" i="15"/>
  <c r="V221" i="15"/>
  <c r="V242" i="15"/>
  <c r="W241" i="15"/>
  <c r="O247" i="15"/>
  <c r="P185" i="15"/>
  <c r="S19" i="15"/>
  <c r="S21" i="15"/>
  <c r="S17" i="15"/>
  <c r="L228" i="15"/>
  <c r="M227" i="15"/>
  <c r="V245" i="15"/>
  <c r="V244" i="15"/>
  <c r="U180" i="15"/>
  <c r="U183" i="15"/>
  <c r="U186" i="15"/>
  <c r="U179" i="15"/>
  <c r="U182" i="15"/>
  <c r="U119" i="15"/>
  <c r="T96" i="15"/>
  <c r="T16" i="15"/>
  <c r="U146" i="15"/>
  <c r="U181" i="15"/>
  <c r="U184" i="15"/>
  <c r="U187" i="15"/>
  <c r="U221" i="15"/>
  <c r="U67" i="15"/>
  <c r="U68" i="15"/>
  <c r="V89" i="15"/>
  <c r="V84" i="15"/>
  <c r="V65" i="15"/>
  <c r="V94" i="15"/>
  <c r="V90" i="15"/>
  <c r="V50" i="15"/>
  <c r="V85" i="15"/>
  <c r="V56" i="15"/>
  <c r="V91" i="15"/>
  <c r="V93" i="15"/>
  <c r="V60" i="15"/>
  <c r="V67" i="15"/>
  <c r="V86" i="15"/>
  <c r="V88" i="15"/>
  <c r="V57" i="15"/>
  <c r="V87" i="15"/>
  <c r="V92" i="15"/>
  <c r="W91" i="15"/>
  <c r="W88" i="15"/>
  <c r="W57" i="15"/>
  <c r="W84" i="15"/>
  <c r="W56" i="15"/>
  <c r="W90" i="15"/>
  <c r="W65" i="15"/>
  <c r="W60" i="15"/>
  <c r="W89" i="15"/>
  <c r="W93" i="15"/>
  <c r="W86" i="15"/>
  <c r="W94" i="15"/>
  <c r="W85" i="15"/>
  <c r="W50" i="15"/>
  <c r="W87" i="15"/>
  <c r="W92" i="15"/>
  <c r="V180" i="15"/>
  <c r="V183" i="15"/>
  <c r="U95" i="15"/>
  <c r="W144" i="15"/>
  <c r="W145" i="15"/>
  <c r="W118" i="15"/>
  <c r="V146" i="15"/>
  <c r="V181" i="15"/>
  <c r="V184" i="15"/>
  <c r="W245" i="15"/>
  <c r="V119" i="15"/>
  <c r="V219" i="15"/>
  <c r="V240" i="15"/>
  <c r="V186" i="15"/>
  <c r="W67" i="15"/>
  <c r="W68" i="15"/>
  <c r="W221" i="15"/>
  <c r="W242" i="15"/>
  <c r="V68" i="15"/>
  <c r="U16" i="15"/>
  <c r="U96" i="15"/>
  <c r="M228" i="15"/>
  <c r="N227" i="15"/>
  <c r="W95" i="15"/>
  <c r="V222" i="15"/>
  <c r="V243" i="15"/>
  <c r="T19" i="15"/>
  <c r="T21" i="15"/>
  <c r="T17" i="15"/>
  <c r="P247" i="15"/>
  <c r="Q185" i="15"/>
  <c r="W119" i="15"/>
  <c r="W180" i="15"/>
  <c r="W183" i="15"/>
  <c r="W179" i="15"/>
  <c r="W182" i="15"/>
  <c r="U242" i="15"/>
  <c r="U219" i="15"/>
  <c r="W181" i="15"/>
  <c r="W184" i="15"/>
  <c r="W146" i="15"/>
  <c r="V95" i="15"/>
  <c r="V187" i="15"/>
  <c r="W219" i="15"/>
  <c r="W240" i="15"/>
  <c r="W186" i="15"/>
  <c r="X186" i="15"/>
  <c r="Y186" i="15"/>
  <c r="Z186" i="15"/>
  <c r="AA186" i="15"/>
  <c r="AB186" i="15"/>
  <c r="AC186" i="15"/>
  <c r="AD186" i="15"/>
  <c r="AE186" i="15"/>
  <c r="AF186" i="15"/>
  <c r="AG186" i="15"/>
  <c r="AH186" i="15"/>
  <c r="X68" i="15"/>
  <c r="U17" i="15"/>
  <c r="U19" i="15"/>
  <c r="U21" i="15"/>
  <c r="W187" i="15"/>
  <c r="X187" i="15"/>
  <c r="Y187" i="15"/>
  <c r="Z187" i="15"/>
  <c r="AA187" i="15"/>
  <c r="AB187" i="15"/>
  <c r="AC187" i="15"/>
  <c r="AD187" i="15"/>
  <c r="AE187" i="15"/>
  <c r="AF187" i="15"/>
  <c r="AG187" i="15"/>
  <c r="AH187" i="15"/>
  <c r="U240" i="15"/>
  <c r="U222" i="15"/>
  <c r="U243" i="15"/>
  <c r="U246" i="15"/>
  <c r="V246" i="15"/>
  <c r="X96" i="15"/>
  <c r="W16" i="15"/>
  <c r="W96" i="15"/>
  <c r="V96" i="15"/>
  <c r="V16" i="15"/>
  <c r="Q247" i="15"/>
  <c r="R185" i="15"/>
  <c r="N228" i="15"/>
  <c r="O227" i="15"/>
  <c r="W222" i="15"/>
  <c r="W243" i="15"/>
  <c r="W246" i="15"/>
  <c r="X246" i="15"/>
  <c r="Y246" i="15"/>
  <c r="Z246" i="15"/>
  <c r="AA246" i="15"/>
  <c r="AB246" i="15"/>
  <c r="AC246" i="15"/>
  <c r="AD246" i="15"/>
  <c r="AE246" i="15"/>
  <c r="AF246" i="15"/>
  <c r="AG246" i="15"/>
  <c r="AH246" i="15"/>
  <c r="O228" i="15"/>
  <c r="P227" i="15"/>
  <c r="R247" i="15"/>
  <c r="S185" i="15"/>
  <c r="W17" i="15"/>
  <c r="X17" i="15"/>
  <c r="W19" i="15"/>
  <c r="W21" i="15"/>
  <c r="V17" i="15"/>
  <c r="V19" i="15"/>
  <c r="V21" i="15"/>
  <c r="S247" i="15"/>
  <c r="T185" i="15"/>
  <c r="P228" i="15"/>
  <c r="Q227" i="15"/>
  <c r="Q228" i="15"/>
  <c r="R227" i="15"/>
  <c r="U185" i="15"/>
  <c r="T247" i="15"/>
  <c r="V185" i="15"/>
  <c r="U247" i="15"/>
  <c r="R228" i="15"/>
  <c r="S227" i="15"/>
  <c r="T227" i="15"/>
  <c r="S228" i="15"/>
  <c r="V247" i="15"/>
  <c r="W185" i="15"/>
  <c r="U227" i="15"/>
  <c r="T228" i="15"/>
  <c r="W247" i="15"/>
  <c r="X185" i="15"/>
  <c r="U228" i="15"/>
  <c r="V227" i="15"/>
  <c r="X247" i="15"/>
  <c r="O20" i="5"/>
  <c r="Y185" i="15"/>
  <c r="V228" i="15"/>
  <c r="W227" i="15"/>
  <c r="Y247" i="15"/>
  <c r="Z185" i="15"/>
  <c r="Q20" i="5"/>
  <c r="Z247" i="15"/>
  <c r="AA185" i="15"/>
  <c r="W228" i="15"/>
  <c r="X227" i="15"/>
  <c r="Y227" i="15"/>
  <c r="X228" i="15"/>
  <c r="AA247" i="15"/>
  <c r="AB185" i="15"/>
  <c r="Z227" i="15"/>
  <c r="Y228" i="15"/>
  <c r="AC185" i="15"/>
  <c r="AB247" i="15"/>
  <c r="Z228" i="15"/>
  <c r="AA227" i="15"/>
  <c r="AC247" i="15"/>
  <c r="AD185" i="15"/>
  <c r="AD247" i="15"/>
  <c r="AE185" i="15"/>
  <c r="AA228" i="15"/>
  <c r="AB227" i="15"/>
  <c r="AB228" i="15"/>
  <c r="AC227" i="15"/>
  <c r="AF185" i="15"/>
  <c r="AE247" i="15"/>
  <c r="AF247" i="15"/>
  <c r="AG185" i="15"/>
  <c r="AC228" i="15"/>
  <c r="AD227" i="15"/>
  <c r="AD228" i="15"/>
  <c r="AE227" i="15"/>
  <c r="AG247" i="15"/>
  <c r="AH185" i="15"/>
  <c r="P20" i="5"/>
  <c r="AH247" i="15"/>
  <c r="AE228" i="15"/>
  <c r="AF227" i="15"/>
  <c r="AF228" i="15"/>
  <c r="AG227" i="15"/>
  <c r="AH227" i="15"/>
  <c r="AH228" i="15"/>
  <c r="AG228" i="15"/>
</calcChain>
</file>

<file path=xl/comments1.xml><?xml version="1.0" encoding="utf-8"?>
<comments xmlns="http://schemas.openxmlformats.org/spreadsheetml/2006/main">
  <authors>
    <author>Max</author>
  </authors>
  <commentList>
    <comment ref="F34" authorId="0">
      <text>
        <r>
          <rPr>
            <b/>
            <sz val="9"/>
            <color indexed="81"/>
            <rFont val="Tahoma"/>
            <family val="2"/>
          </rPr>
          <t>Max:</t>
        </r>
        <r>
          <rPr>
            <sz val="9"/>
            <color indexed="81"/>
            <rFont val="Tahoma"/>
            <family val="2"/>
          </rPr>
          <t xml:space="preserve">
</t>
        </r>
      </text>
    </comment>
    <comment ref="H34" authorId="0">
      <text>
        <r>
          <rPr>
            <b/>
            <sz val="9"/>
            <color indexed="81"/>
            <rFont val="Tahoma"/>
            <family val="2"/>
          </rPr>
          <t>Max:</t>
        </r>
        <r>
          <rPr>
            <sz val="9"/>
            <color indexed="81"/>
            <rFont val="Tahoma"/>
            <family val="2"/>
          </rPr>
          <t xml:space="preserve">
</t>
        </r>
      </text>
    </comment>
    <comment ref="H43" authorId="0">
      <text>
        <r>
          <rPr>
            <b/>
            <sz val="9"/>
            <color indexed="81"/>
            <rFont val="Tahoma"/>
            <family val="2"/>
          </rPr>
          <t>Max:</t>
        </r>
        <r>
          <rPr>
            <sz val="9"/>
            <color indexed="81"/>
            <rFont val="Tahoma"/>
            <family val="2"/>
          </rPr>
          <t xml:space="preserve">
Product of direct jobs and indirect multiplier gives the number of "indirect" jobs.  For wind, solar technologies this refers to indirect jobs from upstream/downstream supply chain.  For EE and Mass transit, this mulitplier is more inclusive and includes job creation from additional spending triggered by energy efficiency or mass transit.</t>
        </r>
      </text>
    </comment>
    <comment ref="H44" authorId="0">
      <text>
        <r>
          <rPr>
            <b/>
            <sz val="9"/>
            <color indexed="81"/>
            <rFont val="Tahoma"/>
            <family val="2"/>
          </rPr>
          <t>Max:</t>
        </r>
        <r>
          <rPr>
            <sz val="9"/>
            <color indexed="81"/>
            <rFont val="Tahoma"/>
            <family val="2"/>
          </rPr>
          <t xml:space="preserve">
90% indirect factor is assumed</t>
        </r>
      </text>
    </comment>
    <comment ref="C45" authorId="0">
      <text>
        <r>
          <rPr>
            <b/>
            <sz val="9"/>
            <color indexed="81"/>
            <rFont val="Tahoma"/>
            <family val="2"/>
          </rPr>
          <t>Max:</t>
        </r>
        <r>
          <rPr>
            <sz val="9"/>
            <color indexed="81"/>
            <rFont val="Tahoma"/>
            <family val="2"/>
          </rPr>
          <t xml:space="preserve">
Jose Goldemberg e-mail communication, 2009
</t>
        </r>
      </text>
    </comment>
    <comment ref="H45" authorId="0">
      <text>
        <r>
          <rPr>
            <b/>
            <sz val="9"/>
            <color indexed="81"/>
            <rFont val="Tahoma"/>
            <family val="2"/>
          </rPr>
          <t>Max:</t>
        </r>
        <r>
          <rPr>
            <sz val="9"/>
            <color indexed="81"/>
            <rFont val="Tahoma"/>
            <family val="2"/>
          </rPr>
          <t xml:space="preserve">
90% indirect factor is assumed
</t>
        </r>
      </text>
    </comment>
    <comment ref="C50" authorId="0">
      <text>
        <r>
          <rPr>
            <b/>
            <sz val="9"/>
            <color indexed="81"/>
            <rFont val="Tahoma"/>
            <family val="2"/>
          </rPr>
          <t>Max:</t>
        </r>
        <r>
          <rPr>
            <sz val="9"/>
            <color indexed="81"/>
            <rFont val="Tahoma"/>
            <family val="2"/>
          </rPr>
          <t xml:space="preserve">
placeholder
</t>
        </r>
      </text>
    </comment>
    <comment ref="H50" authorId="0">
      <text>
        <r>
          <rPr>
            <b/>
            <sz val="9"/>
            <color indexed="81"/>
            <rFont val="Tahoma"/>
            <family val="2"/>
          </rPr>
          <t>Max:</t>
        </r>
        <r>
          <rPr>
            <sz val="9"/>
            <color indexed="81"/>
            <rFont val="Tahoma"/>
            <family val="2"/>
          </rPr>
          <t xml:space="preserve">
placeholder
</t>
        </r>
      </text>
    </comment>
    <comment ref="C56" authorId="0">
      <text>
        <r>
          <rPr>
            <b/>
            <sz val="9"/>
            <color indexed="81"/>
            <rFont val="Tahoma"/>
            <family val="2"/>
          </rPr>
          <t>Max:</t>
        </r>
        <r>
          <rPr>
            <sz val="9"/>
            <color indexed="81"/>
            <rFont val="Tahoma"/>
            <family val="2"/>
          </rPr>
          <t xml:space="preserve">
placeholder
</t>
        </r>
      </text>
    </comment>
    <comment ref="H56" authorId="0">
      <text>
        <r>
          <rPr>
            <b/>
            <sz val="9"/>
            <color indexed="81"/>
            <rFont val="Tahoma"/>
            <family val="2"/>
          </rPr>
          <t>Max:</t>
        </r>
        <r>
          <rPr>
            <sz val="9"/>
            <color indexed="81"/>
            <rFont val="Tahoma"/>
            <family val="2"/>
          </rPr>
          <t xml:space="preserve">
placeholder
</t>
        </r>
      </text>
    </comment>
    <comment ref="C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H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C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 ref="H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List>
</comments>
</file>

<file path=xl/comments2.xml><?xml version="1.0" encoding="utf-8"?>
<comments xmlns="http://schemas.openxmlformats.org/spreadsheetml/2006/main">
  <authors>
    <author>Max</author>
    <author>mcai</author>
  </authors>
  <commentList>
    <comment ref="C11" authorId="0">
      <text>
        <r>
          <rPr>
            <b/>
            <sz val="9"/>
            <color indexed="81"/>
            <rFont val="Tahoma"/>
            <family val="2"/>
          </rPr>
          <t>Max:
2009 column has EIA data; other columns are calculated</t>
        </r>
        <r>
          <rPr>
            <sz val="9"/>
            <color indexed="81"/>
            <rFont val="Tahoma"/>
            <family val="2"/>
          </rPr>
          <t xml:space="preserve">
</t>
        </r>
      </text>
    </comment>
    <comment ref="C14" authorId="0">
      <text>
        <r>
          <rPr>
            <b/>
            <sz val="9"/>
            <color indexed="81"/>
            <rFont val="Tahoma"/>
            <family val="2"/>
          </rPr>
          <t>Max:</t>
        </r>
        <r>
          <rPr>
            <sz val="9"/>
            <color indexed="81"/>
            <rFont val="Tahoma"/>
            <family val="2"/>
          </rPr>
          <t xml:space="preserve">
EIA data point as baseline starting point
</t>
        </r>
      </text>
    </comment>
    <comment ref="C16" authorId="0">
      <text>
        <r>
          <rPr>
            <b/>
            <sz val="9"/>
            <color indexed="81"/>
            <rFont val="Tahoma"/>
            <family val="2"/>
          </rPr>
          <t>Max:</t>
        </r>
        <r>
          <rPr>
            <sz val="9"/>
            <color indexed="81"/>
            <rFont val="Tahoma"/>
            <family val="2"/>
          </rPr>
          <t xml:space="preserve">
computed from initial amount of generation from RPS designated technologies
</t>
        </r>
      </text>
    </comment>
    <comment ref="H16" authorId="1">
      <text>
        <r>
          <rPr>
            <b/>
            <sz val="9"/>
            <color indexed="81"/>
            <rFont val="Tahoma"/>
            <family val="2"/>
          </rPr>
          <t>mcai:</t>
        </r>
        <r>
          <rPr>
            <sz val="9"/>
            <color indexed="81"/>
            <rFont val="Tahoma"/>
            <family val="2"/>
          </rPr>
          <t xml:space="preserve">
computer from RPS below
</t>
        </r>
      </text>
    </comment>
    <comment ref="C28" authorId="0">
      <text>
        <r>
          <rPr>
            <b/>
            <sz val="9"/>
            <color indexed="81"/>
            <rFont val="Tahoma"/>
            <family val="2"/>
          </rPr>
          <t>Max:
2009 column has EIA data; other columns are calculated</t>
        </r>
        <r>
          <rPr>
            <sz val="9"/>
            <color indexed="81"/>
            <rFont val="Tahoma"/>
            <family val="2"/>
          </rPr>
          <t xml:space="preserve">
</t>
        </r>
      </text>
    </comment>
    <comment ref="D34"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5"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A37"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D37"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8"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9"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0"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2"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C44" authorId="0">
      <text>
        <r>
          <rPr>
            <b/>
            <sz val="9"/>
            <color indexed="81"/>
            <rFont val="Tahoma"/>
            <family val="2"/>
          </rPr>
          <t>Max:</t>
        </r>
        <r>
          <rPr>
            <sz val="9"/>
            <color indexed="81"/>
            <rFont val="Tahoma"/>
            <family val="2"/>
          </rPr>
          <t xml:space="preserve">
Starting point: RPS generation at Year0</t>
        </r>
      </text>
    </comment>
    <comment ref="A46" authorId="0">
      <text>
        <r>
          <rPr>
            <b/>
            <sz val="9"/>
            <color indexed="81"/>
            <rFont val="Tahoma"/>
            <family val="2"/>
          </rPr>
          <t>Max:</t>
        </r>
        <r>
          <rPr>
            <sz val="9"/>
            <color indexed="81"/>
            <rFont val="Tahoma"/>
            <family val="2"/>
          </rPr>
          <t xml:space="preserve">
small and assume fixed for now per BAU</t>
        </r>
      </text>
    </comment>
    <comment ref="A61"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74"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81" authorId="0">
      <text>
        <r>
          <rPr>
            <b/>
            <sz val="9"/>
            <color indexed="81"/>
            <rFont val="Tahoma"/>
            <family val="2"/>
          </rPr>
          <t>Max:</t>
        </r>
        <r>
          <rPr>
            <sz val="9"/>
            <color indexed="81"/>
            <rFont val="Tahoma"/>
            <family val="2"/>
          </rPr>
          <t xml:space="preserve">
max (calc'd intermed target % * modeled total generation above,  BAU value)</t>
        </r>
      </text>
    </comment>
    <comment ref="A89"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C99" authorId="0">
      <text>
        <r>
          <rPr>
            <b/>
            <sz val="9"/>
            <color indexed="81"/>
            <rFont val="Tahoma"/>
            <family val="2"/>
          </rPr>
          <t>Max:
2009 column has EIA data; other columns are calculated</t>
        </r>
        <r>
          <rPr>
            <sz val="9"/>
            <color indexed="81"/>
            <rFont val="Tahoma"/>
            <family val="2"/>
          </rPr>
          <t xml:space="preserve">
</t>
        </r>
      </text>
    </comment>
    <comment ref="C126" authorId="0">
      <text>
        <r>
          <rPr>
            <b/>
            <sz val="9"/>
            <color indexed="81"/>
            <rFont val="Tahoma"/>
            <family val="2"/>
          </rPr>
          <t>Max:
2009 column has EIA data; other columns are calculated</t>
        </r>
        <r>
          <rPr>
            <sz val="9"/>
            <color indexed="81"/>
            <rFont val="Tahoma"/>
            <family val="2"/>
          </rPr>
          <t xml:space="preserve">
</t>
        </r>
      </text>
    </comment>
    <comment ref="A151" authorId="0">
      <text>
        <r>
          <rPr>
            <b/>
            <sz val="9"/>
            <color indexed="81"/>
            <rFont val="Tahoma"/>
            <family val="2"/>
          </rPr>
          <t>Max:</t>
        </r>
        <r>
          <rPr>
            <sz val="9"/>
            <color indexed="81"/>
            <rFont val="Tahoma"/>
            <family val="2"/>
          </rPr>
          <t xml:space="preserve">
"EIA_liq_fuelS"
 sheet.  Includes Biomass Liquids and Biodiesel</t>
        </r>
      </text>
    </comment>
    <comment ref="A153" authorId="0">
      <text>
        <r>
          <rPr>
            <b/>
            <sz val="9"/>
            <color indexed="81"/>
            <rFont val="Tahoma"/>
            <family val="2"/>
          </rPr>
          <t>Max:</t>
        </r>
        <r>
          <rPr>
            <sz val="9"/>
            <color indexed="81"/>
            <rFont val="Tahoma"/>
            <family val="2"/>
          </rPr>
          <t xml:space="preserve">
"EIA_liq_fuelS"
 sheet.  Includes Biomass Liquids and Biodiesel</t>
        </r>
      </text>
    </comment>
    <comment ref="A168" authorId="0">
      <text>
        <r>
          <rPr>
            <b/>
            <sz val="9"/>
            <color indexed="81"/>
            <rFont val="Tahoma"/>
            <family val="2"/>
          </rPr>
          <t>Max:</t>
        </r>
        <r>
          <rPr>
            <sz val="9"/>
            <color indexed="81"/>
            <rFont val="Tahoma"/>
            <family val="2"/>
          </rPr>
          <t xml:space="preserve">
see sep tab: "Output-Mass Transit"</t>
        </r>
      </text>
    </comment>
    <comment ref="C175" authorId="0">
      <text>
        <r>
          <rPr>
            <b/>
            <sz val="9"/>
            <color indexed="81"/>
            <rFont val="Tahoma"/>
            <family val="2"/>
          </rPr>
          <t>Max:
2009 column has EIA data; other columns are calculated</t>
        </r>
        <r>
          <rPr>
            <sz val="9"/>
            <color indexed="81"/>
            <rFont val="Tahoma"/>
            <family val="2"/>
          </rPr>
          <t xml:space="preserve">
</t>
        </r>
      </text>
    </comment>
    <comment ref="A188" authorId="0">
      <text>
        <r>
          <rPr>
            <b/>
            <sz val="9"/>
            <color indexed="81"/>
            <rFont val="Tahoma"/>
            <family val="2"/>
          </rPr>
          <t xml:space="preserve">Max:
"Modeled BAU" is input deck with BAU conditions.
this is "Error factor" in cumulative jobs, mainly due to discrepant low carbon estimates vs BAU numbers.  </t>
        </r>
        <r>
          <rPr>
            <sz val="9"/>
            <color indexed="81"/>
            <rFont val="Tahoma"/>
            <family val="2"/>
          </rPr>
          <t xml:space="preserve">
</t>
        </r>
      </text>
    </comment>
    <comment ref="A248" authorId="0">
      <text>
        <r>
          <rPr>
            <b/>
            <sz val="9"/>
            <color indexed="81"/>
            <rFont val="Tahoma"/>
            <family val="2"/>
          </rPr>
          <t>Max:
Above numbers reduce coal/NG due to EE GWh saved, but EE multiplier is a Net multiplier already</t>
        </r>
      </text>
    </comment>
  </commentList>
</comments>
</file>

<file path=xl/comments3.xml><?xml version="1.0" encoding="utf-8"?>
<comments xmlns="http://schemas.openxmlformats.org/spreadsheetml/2006/main">
  <authors>
    <author>Max</author>
    <author>Karim El Alami</author>
    <author>mcai</author>
  </authors>
  <commentList>
    <comment ref="C15" authorId="0">
      <text>
        <r>
          <rPr>
            <b/>
            <sz val="9"/>
            <color indexed="81"/>
            <rFont val="Tahoma"/>
            <family val="2"/>
          </rPr>
          <t>Max:</t>
        </r>
        <r>
          <rPr>
            <sz val="9"/>
            <color indexed="81"/>
            <rFont val="Tahoma"/>
            <family val="2"/>
          </rPr>
          <t xml:space="preserve">
Assumptions:
(1) take out of Conventional hydro bucket;
(2)Updated for California and assumed national (wikipedia) and 5% ann. Growth rate</t>
        </r>
      </text>
    </comment>
    <comment ref="G15" authorId="1">
      <text>
        <r>
          <rPr>
            <b/>
            <sz val="9"/>
            <color indexed="81"/>
            <rFont val="Calibri"/>
            <family val="2"/>
          </rPr>
          <t>Karim El Alami:</t>
        </r>
        <r>
          <rPr>
            <sz val="9"/>
            <color indexed="81"/>
            <rFont val="Calibri"/>
            <family val="2"/>
          </rPr>
          <t xml:space="preserve">
Model from ca.gov
Assuming there is 5% increase
</t>
        </r>
      </text>
    </comment>
    <comment ref="H15" authorId="2">
      <text>
        <r>
          <rPr>
            <b/>
            <sz val="9"/>
            <color indexed="81"/>
            <rFont val="Tahoma"/>
            <family val="2"/>
          </rPr>
          <t xml:space="preserve">mcai:need to find the reference
</t>
        </r>
      </text>
    </comment>
    <comment ref="A23" authorId="0">
      <text>
        <r>
          <rPr>
            <b/>
            <sz val="9"/>
            <color indexed="81"/>
            <rFont val="Tahoma"/>
            <family val="2"/>
          </rPr>
          <t>Max:</t>
        </r>
        <r>
          <rPr>
            <sz val="9"/>
            <color indexed="81"/>
            <rFont val="Tahoma"/>
            <family val="2"/>
          </rPr>
          <t xml:space="preserve">
Include in next revision
</t>
        </r>
      </text>
    </comment>
    <comment ref="A78" authorId="0">
      <text>
        <r>
          <rPr>
            <b/>
            <sz val="9"/>
            <color indexed="81"/>
            <rFont val="Tahoma"/>
            <family val="2"/>
          </rPr>
          <t>Max:</t>
        </r>
        <r>
          <rPr>
            <sz val="9"/>
            <color indexed="81"/>
            <rFont val="Tahoma"/>
            <family val="2"/>
          </rPr>
          <t xml:space="preserve">
"EIA_liq_fuelS"
 sheet.  Includes Biomass Liquids and Biodiesel</t>
        </r>
      </text>
    </comment>
  </commentList>
</comments>
</file>

<file path=xl/comments4.xml><?xml version="1.0" encoding="utf-8"?>
<comments xmlns="http://schemas.openxmlformats.org/spreadsheetml/2006/main">
  <authors>
    <author>Max</author>
  </authors>
  <commentList>
    <comment ref="C13" authorId="0">
      <text>
        <r>
          <rPr>
            <b/>
            <sz val="9"/>
            <color indexed="81"/>
            <rFont val="Tahoma"/>
            <family val="2"/>
          </rPr>
          <t>Max:</t>
        </r>
        <r>
          <rPr>
            <sz val="9"/>
            <color indexed="81"/>
            <rFont val="Tahoma"/>
            <family val="2"/>
          </rPr>
          <t xml:space="preserve">
Kammen04 and 08</t>
        </r>
      </text>
    </comment>
    <comment ref="G13" authorId="0">
      <text>
        <r>
          <rPr>
            <b/>
            <sz val="9"/>
            <color indexed="81"/>
            <rFont val="Tahoma"/>
            <family val="2"/>
          </rPr>
          <t>Max:</t>
        </r>
        <r>
          <rPr>
            <sz val="9"/>
            <color indexed="81"/>
            <rFont val="Tahoma"/>
            <family val="2"/>
          </rPr>
          <t xml:space="preserve">
not specified
</t>
        </r>
      </text>
    </comment>
    <comment ref="F14" authorId="0">
      <text>
        <r>
          <rPr>
            <b/>
            <sz val="9"/>
            <color indexed="81"/>
            <rFont val="Tahoma"/>
            <family val="2"/>
          </rPr>
          <t>Max:</t>
        </r>
        <r>
          <rPr>
            <sz val="9"/>
            <color indexed="81"/>
            <rFont val="Tahoma"/>
            <family val="2"/>
          </rPr>
          <t xml:space="preserve">
Take Kammen04 avg, but not sure how they got it.  It is 33% higher than coal number below</t>
        </r>
      </text>
    </comment>
    <comment ref="D15" authorId="0">
      <text>
        <r>
          <rPr>
            <b/>
            <sz val="9"/>
            <color indexed="81"/>
            <rFont val="Tahoma"/>
            <family val="2"/>
          </rPr>
          <t>Max:</t>
        </r>
        <r>
          <rPr>
            <sz val="9"/>
            <color indexed="81"/>
            <rFont val="Tahoma"/>
            <family val="2"/>
          </rPr>
          <t xml:space="preserve">
not sure about this, conservative assumption for jobs
</t>
        </r>
      </text>
    </comment>
    <comment ref="C17" authorId="0">
      <text>
        <r>
          <rPr>
            <b/>
            <sz val="9"/>
            <color indexed="81"/>
            <rFont val="Tahoma"/>
            <family val="2"/>
          </rPr>
          <t>Max:</t>
        </r>
        <r>
          <rPr>
            <sz val="9"/>
            <color indexed="81"/>
            <rFont val="Tahoma"/>
            <family val="2"/>
          </rPr>
          <t xml:space="preserve">
EPRI 01 capacity 90%
</t>
        </r>
      </text>
    </comment>
    <comment ref="C18" authorId="0">
      <text>
        <r>
          <rPr>
            <b/>
            <sz val="9"/>
            <color indexed="81"/>
            <rFont val="Tahoma"/>
            <family val="2"/>
          </rPr>
          <t>Max:</t>
        </r>
        <r>
          <rPr>
            <sz val="9"/>
            <color indexed="81"/>
            <rFont val="Tahoma"/>
            <family val="2"/>
          </rPr>
          <t xml:space="preserve">
Kammen 08 presentation</t>
        </r>
      </text>
    </comment>
    <comment ref="C20" authorId="0">
      <text>
        <r>
          <rPr>
            <b/>
            <sz val="9"/>
            <color indexed="81"/>
            <rFont val="Tahoma"/>
            <family val="2"/>
          </rPr>
          <t>Max:</t>
        </r>
        <r>
          <rPr>
            <sz val="9"/>
            <color indexed="81"/>
            <rFont val="Tahoma"/>
            <family val="2"/>
          </rPr>
          <t xml:space="preserve">
EPRI 01 cap 55%
</t>
        </r>
      </text>
    </comment>
    <comment ref="O21" authorId="0">
      <text>
        <r>
          <rPr>
            <sz val="9"/>
            <color indexed="81"/>
            <rFont val="Tahoma"/>
            <family val="2"/>
          </rPr>
          <t xml:space="preserve">Karim:
New update from the solar foundation assuming that all other jobs are O&amp;M
</t>
        </r>
      </text>
    </comment>
    <comment ref="C22" authorId="0">
      <text>
        <r>
          <rPr>
            <b/>
            <sz val="9"/>
            <color indexed="81"/>
            <rFont val="Tahoma"/>
            <family val="2"/>
          </rPr>
          <t>Max:</t>
        </r>
        <r>
          <rPr>
            <sz val="9"/>
            <color indexed="81"/>
            <rFont val="Tahoma"/>
            <family val="2"/>
          </rPr>
          <t xml:space="preserve">
Kammen 08 presentation</t>
        </r>
      </text>
    </comment>
    <comment ref="C24" authorId="0">
      <text>
        <r>
          <rPr>
            <b/>
            <sz val="9"/>
            <color indexed="81"/>
            <rFont val="Tahoma"/>
            <family val="2"/>
          </rPr>
          <t>Max:</t>
        </r>
        <r>
          <rPr>
            <sz val="9"/>
            <color indexed="81"/>
            <rFont val="Tahoma"/>
            <family val="2"/>
          </rPr>
          <t xml:space="preserve">
NREL08 cap 40%</t>
        </r>
      </text>
    </comment>
    <comment ref="A25" authorId="0">
      <text>
        <r>
          <rPr>
            <b/>
            <sz val="9"/>
            <color indexed="81"/>
            <rFont val="Tahoma"/>
            <family val="2"/>
          </rPr>
          <t>Max:</t>
        </r>
        <r>
          <rPr>
            <sz val="9"/>
            <color indexed="81"/>
            <rFont val="Tahoma"/>
            <family val="2"/>
          </rPr>
          <t xml:space="preserve">
100 MW parabolic trough plant with 6 hours of storage</t>
        </r>
      </text>
    </comment>
    <comment ref="A26" authorId="0">
      <text>
        <r>
          <rPr>
            <b/>
            <sz val="9"/>
            <color indexed="81"/>
            <rFont val="Tahoma"/>
            <family val="2"/>
          </rPr>
          <t>Max:</t>
        </r>
        <r>
          <rPr>
            <sz val="9"/>
            <color indexed="81"/>
            <rFont val="Tahoma"/>
            <family val="2"/>
          </rPr>
          <t xml:space="preserve">
100 MW parabolic trough plant with 6 hours of storage</t>
        </r>
      </text>
    </comment>
    <comment ref="E27" authorId="0">
      <text>
        <r>
          <rPr>
            <b/>
            <sz val="9"/>
            <color indexed="81"/>
            <rFont val="Tahoma"/>
            <family val="2"/>
          </rPr>
          <t>Max:</t>
        </r>
        <r>
          <rPr>
            <sz val="9"/>
            <color indexed="81"/>
            <rFont val="Tahoma"/>
            <family val="2"/>
          </rPr>
          <t xml:space="preserve">
direct CIM; Another 5 is indirect manufacturing
</t>
        </r>
      </text>
    </comment>
    <comment ref="F27" authorId="0">
      <text>
        <r>
          <rPr>
            <b/>
            <sz val="9"/>
            <color indexed="81"/>
            <rFont val="Tahoma"/>
            <family val="2"/>
          </rPr>
          <t>Max:</t>
        </r>
        <r>
          <rPr>
            <sz val="9"/>
            <color indexed="81"/>
            <rFont val="Tahoma"/>
            <family val="2"/>
          </rPr>
          <t xml:space="preserve">
includes 0.07 jobs/MWp for consultants, researchers, financial services</t>
        </r>
      </text>
    </comment>
    <comment ref="E28" authorId="0">
      <text>
        <r>
          <rPr>
            <b/>
            <sz val="9"/>
            <color indexed="81"/>
            <rFont val="Tahoma"/>
            <family val="2"/>
          </rPr>
          <t>Max:</t>
        </r>
        <r>
          <rPr>
            <sz val="9"/>
            <color indexed="81"/>
            <rFont val="Tahoma"/>
            <family val="2"/>
          </rPr>
          <t xml:space="preserve">
direct CIM; Another 5 is indirect manufacturing
</t>
        </r>
      </text>
    </comment>
    <comment ref="C32" authorId="0">
      <text>
        <r>
          <rPr>
            <b/>
            <sz val="9"/>
            <color indexed="81"/>
            <rFont val="Tahoma"/>
            <family val="2"/>
          </rPr>
          <t>Max:</t>
        </r>
        <r>
          <rPr>
            <sz val="9"/>
            <color indexed="81"/>
            <rFont val="Tahoma"/>
            <family val="2"/>
          </rPr>
          <t xml:space="preserve">
take same as Coal</t>
        </r>
      </text>
    </comment>
    <comment ref="C34" authorId="0">
      <text>
        <r>
          <rPr>
            <b/>
            <sz val="9"/>
            <color indexed="81"/>
            <rFont val="Tahoma"/>
            <family val="2"/>
          </rPr>
          <t>Max:</t>
        </r>
        <r>
          <rPr>
            <sz val="9"/>
            <color indexed="81"/>
            <rFont val="Tahoma"/>
            <family val="2"/>
          </rPr>
          <t xml:space="preserve">
kammen 08
</t>
        </r>
      </text>
    </comment>
    <comment ref="C35" authorId="0">
      <text>
        <r>
          <rPr>
            <b/>
            <sz val="9"/>
            <color indexed="81"/>
            <rFont val="Tahoma"/>
            <family val="2"/>
          </rPr>
          <t>Max:</t>
        </r>
        <r>
          <rPr>
            <sz val="9"/>
            <color indexed="81"/>
            <rFont val="Tahoma"/>
            <family val="2"/>
          </rPr>
          <t xml:space="preserve">
page 15
Also Kammen08 ref</t>
        </r>
      </text>
    </comment>
    <comment ref="F35" authorId="0">
      <text>
        <r>
          <rPr>
            <b/>
            <sz val="9"/>
            <color indexed="81"/>
            <rFont val="Tahoma"/>
            <family val="2"/>
          </rPr>
          <t>Max:</t>
        </r>
        <r>
          <rPr>
            <sz val="9"/>
            <color indexed="81"/>
            <rFont val="Tahoma"/>
            <family val="2"/>
          </rPr>
          <t xml:space="preserve">
Non-Fuel O&amp;M only
</t>
        </r>
      </text>
    </comment>
    <comment ref="C36" authorId="0">
      <text>
        <r>
          <rPr>
            <b/>
            <sz val="9"/>
            <color indexed="81"/>
            <rFont val="Tahoma"/>
            <family val="2"/>
          </rPr>
          <t>Max:</t>
        </r>
        <r>
          <rPr>
            <sz val="9"/>
            <color indexed="81"/>
            <rFont val="Tahoma"/>
            <family val="2"/>
          </rPr>
          <t xml:space="preserve">
per Kammen 09</t>
        </r>
      </text>
    </comment>
  </commentList>
</comments>
</file>

<file path=xl/comments5.xml><?xml version="1.0" encoding="utf-8"?>
<comments xmlns="http://schemas.openxmlformats.org/spreadsheetml/2006/main">
  <authors>
    <author>Max</author>
  </authors>
  <commentList>
    <comment ref="H19" authorId="0">
      <text>
        <r>
          <rPr>
            <b/>
            <sz val="9"/>
            <color indexed="81"/>
            <rFont val="Tahoma"/>
            <family val="2"/>
          </rPr>
          <t>Max:  [ref RE_Germany_text 2007 gross employment document. LInk: http://www.bmu.de/files/pdfs/allgemein/application/pdf/ee_bruttobeschaeftigung_en.pdf.   Same authors as 2007 update to 2006 RE report - see http://74.125.19.132/translate_c?hl=en&amp;sl=de&amp;u=http://www.erneuerbare-energien.de/inhalt/40294/4592/&amp;prev=/search%3Fq%3DErneuerbare%2BEnergien:%2BArbeitsplatzeffekte%2B2007%26hl%3Den%26rls%3Dcom.microsoft:*:IE-SearchBox%26rlz%3D1I7SKPB&amp;usg=ALkJrhjXkOTrVSvZJbiq3zJgu-6z4EaqAw]</t>
        </r>
        <r>
          <rPr>
            <sz val="9"/>
            <color indexed="81"/>
            <rFont val="Tahoma"/>
            <family val="2"/>
          </rPr>
          <t xml:space="preserve">
Central to the calculations is the turnover of companies manufacturing renewable energy (RE) installations in Germany. This is estimated from listed 2007 investments in Germany (including the volume of foreign trade), combined with a survey of the RE sector with the base year 2004. Based on this turnover, the gross employment numbers are determined using Input-Output analysis, taking the 2004 Input-Output Table from the Department of Statistics [StaBu08]. The RE sector is represented by technology-specific vectors derived from the 2004 survey data. Relevant benchmark data, such as the productivity of individual sectors, are adjusted as in the estimates from previous years [BMU06/BMU07].</t>
        </r>
      </text>
    </comment>
  </commentList>
</comments>
</file>

<file path=xl/comments6.xml><?xml version="1.0" encoding="utf-8"?>
<comments xmlns="http://schemas.openxmlformats.org/spreadsheetml/2006/main">
  <authors>
    <author>Max</author>
  </authors>
  <commentList>
    <comment ref="A57" authorId="0">
      <text>
        <r>
          <rPr>
            <b/>
            <sz val="9"/>
            <color indexed="81"/>
            <rFont val="Tahoma"/>
            <family val="2"/>
          </rPr>
          <t>Max:</t>
        </r>
        <r>
          <rPr>
            <sz val="9"/>
            <color indexed="81"/>
            <rFont val="Tahoma"/>
            <family val="2"/>
          </rPr>
          <t xml:space="preserve">
same as solar total generation below
</t>
        </r>
      </text>
    </comment>
  </commentList>
</comments>
</file>

<file path=xl/comments7.xml><?xml version="1.0" encoding="utf-8"?>
<comments xmlns="http://schemas.openxmlformats.org/spreadsheetml/2006/main">
  <authors>
    <author>Max</author>
  </authors>
  <commentList>
    <comment ref="A26" authorId="0">
      <text>
        <r>
          <rPr>
            <b/>
            <sz val="9"/>
            <color indexed="81"/>
            <rFont val="Tahoma"/>
            <family val="2"/>
          </rPr>
          <t>Max:</t>
        </r>
        <r>
          <rPr>
            <sz val="9"/>
            <color indexed="81"/>
            <rFont val="Tahoma"/>
            <family val="2"/>
          </rPr>
          <t xml:space="preserve">
I extrapolated trend line from 1981-2004 data 
out to 2030</t>
        </r>
      </text>
    </comment>
    <comment ref="A27" authorId="0">
      <text>
        <r>
          <rPr>
            <b/>
            <sz val="9"/>
            <color indexed="81"/>
            <rFont val="Tahoma"/>
            <family val="2"/>
          </rPr>
          <t>Max:</t>
        </r>
        <r>
          <rPr>
            <sz val="9"/>
            <color indexed="81"/>
            <rFont val="Tahoma"/>
            <family val="2"/>
          </rPr>
          <t xml:space="preserve">
I extrapolated trend line from 1981-2004 data 
out to 2030</t>
        </r>
      </text>
    </comment>
  </commentList>
</comments>
</file>

<file path=xl/sharedStrings.xml><?xml version="1.0" encoding="utf-8"?>
<sst xmlns="http://schemas.openxmlformats.org/spreadsheetml/2006/main" count="1326" uniqueCount="761">
  <si>
    <t xml:space="preserve"> </t>
  </si>
  <si>
    <t>TIME FRAME</t>
  </si>
  <si>
    <t>JOBS</t>
  </si>
  <si>
    <t>GENERATION ASSUMPTIONS</t>
  </si>
  <si>
    <t>U.S. Data Projections</t>
  </si>
  <si>
    <t xml:space="preserve"> Table  16.  Renewable Energy Generating Capacity and Generation</t>
  </si>
  <si>
    <t xml:space="preserve">                       (gigawatts, unless otherwise noted)</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</si>
  <si>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</si>
  <si>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</si>
  <si>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</si>
  <si>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</si>
  <si>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</si>
  <si>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</si>
  <si>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</si>
  <si>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</si>
  <si>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</si>
  <si>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</si>
  <si>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</si>
  <si>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</si>
  <si>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</si>
  <si>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</si>
  <si>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</si>
  <si>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</si>
  <si>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</si>
  <si>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</si>
  <si>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</si>
  <si>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</si>
  <si>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</si>
  <si>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</si>
  <si>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</si>
  <si>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</si>
  <si>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</si>
  <si>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Electric Power Sector 1/</t>
  </si>
  <si>
    <t xml:space="preserve"> Net Summer Capacity</t>
  </si>
  <si>
    <t xml:space="preserve">   Conventional Hydropower</t>
  </si>
  <si>
    <t xml:space="preserve">   Geothermal 2/</t>
  </si>
  <si>
    <t xml:space="preserve">   Municipal Waste 3/</t>
  </si>
  <si>
    <t xml:space="preserve">   Solar Thermal</t>
  </si>
  <si>
    <t xml:space="preserve">   Solar Photovoltaic 6/</t>
  </si>
  <si>
    <t xml:space="preserve">   Wind</t>
  </si>
  <si>
    <t xml:space="preserve">   Offshore Wind</t>
  </si>
  <si>
    <t>- -</t>
  </si>
  <si>
    <t xml:space="preserve">     Total</t>
  </si>
  <si>
    <t xml:space="preserve"> Generation (billion kilowatthours)</t>
  </si>
  <si>
    <t xml:space="preserve">      Dedicated Plants</t>
  </si>
  <si>
    <t xml:space="preserve">      Cofiring</t>
  </si>
  <si>
    <t xml:space="preserve">   Conventional Hydropower 9/</t>
  </si>
  <si>
    <t xml:space="preserve">   Geothermal</t>
  </si>
  <si>
    <t xml:space="preserve">   Biomass</t>
  </si>
  <si>
    <t xml:space="preserve">    Conventional Hydropower</t>
  </si>
  <si>
    <t xml:space="preserve">    Geothermal</t>
  </si>
  <si>
    <t xml:space="preserve">    Municipal Solid Waste</t>
  </si>
  <si>
    <t xml:space="preserve">    Solar 6/</t>
  </si>
  <si>
    <t xml:space="preserve">    Wind</t>
  </si>
  <si>
    <t xml:space="preserve">      Total</t>
  </si>
  <si>
    <t xml:space="preserve">  Generation (billion kilowatthours)   1e9 * 1e3 = 1e12 Wh</t>
  </si>
  <si>
    <t xml:space="preserve">    Wood and Other Biomass 5/</t>
  </si>
  <si>
    <t>GWh 1e9 Wh</t>
  </si>
  <si>
    <t>Total</t>
  </si>
  <si>
    <t xml:space="preserve">    Nuclear</t>
  </si>
  <si>
    <t xml:space="preserve">    CCS</t>
  </si>
  <si>
    <t xml:space="preserve">    EE</t>
  </si>
  <si>
    <t>GENERATION [GWh]</t>
  </si>
  <si>
    <t xml:space="preserve">    U.S. Data</t>
  </si>
  <si>
    <t xml:space="preserve"> Table   8.  Electricity Supply, Disposition, Prices, and Emissions</t>
  </si>
  <si>
    <t xml:space="preserve">                      (billion kilowatthours, unless otherwise noted)</t>
  </si>
  <si>
    <t>Net Generation by Fuel Type</t>
  </si>
  <si>
    <t xml:space="preserve">  Power Only 2/</t>
  </si>
  <si>
    <t xml:space="preserve">    Coal</t>
  </si>
  <si>
    <t xml:space="preserve">    Petroleum</t>
  </si>
  <si>
    <t xml:space="preserve">    Natural Gas 3/</t>
  </si>
  <si>
    <t xml:space="preserve">    Nuclear Power</t>
  </si>
  <si>
    <t xml:space="preserve">    Pumped Storage/Other 4/</t>
  </si>
  <si>
    <t xml:space="preserve">    Renewable Sources 5/</t>
  </si>
  <si>
    <t xml:space="preserve">    Distributed Generation (Natural Gas)</t>
  </si>
  <si>
    <t xml:space="preserve">  Combined Heat and Power 6/</t>
  </si>
  <si>
    <t xml:space="preserve">    Natural Gas</t>
  </si>
  <si>
    <t xml:space="preserve">    Renewable Sources</t>
  </si>
  <si>
    <t xml:space="preserve">  Total Net Generation</t>
  </si>
  <si>
    <t xml:space="preserve">  Less Direct Use</t>
  </si>
  <si>
    <t xml:space="preserve">    Less Direct Use</t>
  </si>
  <si>
    <t xml:space="preserve">      Total Sales to the Grid</t>
  </si>
  <si>
    <t xml:space="preserve">       Total</t>
  </si>
  <si>
    <t>Total Electricity Generation</t>
  </si>
  <si>
    <t>Total Net Generation to the Grid</t>
  </si>
  <si>
    <t>Net Imports</t>
  </si>
  <si>
    <t>Electricity Sales by Sector</t>
  </si>
  <si>
    <t xml:space="preserve">  Residential</t>
  </si>
  <si>
    <t xml:space="preserve">  Commercial</t>
  </si>
  <si>
    <t xml:space="preserve">  Industrial</t>
  </si>
  <si>
    <t xml:space="preserve">  Transportation</t>
  </si>
  <si>
    <t xml:space="preserve">    Total</t>
  </si>
  <si>
    <t>Direct Use</t>
  </si>
  <si>
    <t>Total Electricity Use</t>
  </si>
  <si>
    <t>End-Use Prices</t>
  </si>
  <si>
    <t xml:space="preserve">    Residential</t>
  </si>
  <si>
    <t xml:space="preserve">    Commercial</t>
  </si>
  <si>
    <t xml:space="preserve">    Industrial</t>
  </si>
  <si>
    <t xml:space="preserve">    Transportation</t>
  </si>
  <si>
    <t xml:space="preserve">      All Sectors Average</t>
  </si>
  <si>
    <t>(nominal cents per kilowatthour)</t>
  </si>
  <si>
    <t>Prices by Service Category</t>
  </si>
  <si>
    <t xml:space="preserve">    Generation</t>
  </si>
  <si>
    <t xml:space="preserve">    Transmission</t>
  </si>
  <si>
    <t xml:space="preserve">    Distribution</t>
  </si>
  <si>
    <t>Electric Power Sector Emissions 1/</t>
  </si>
  <si>
    <t xml:space="preserve">  Nitrogen Oxide (million tons)</t>
  </si>
  <si>
    <t>[Pct. RE Sources including Hydro]</t>
  </si>
  <si>
    <t>[Pct. RE Sources not including Hydro]</t>
  </si>
  <si>
    <t>[Nemet, Federal RPS RE Sources not incl Hydro, GWh]</t>
  </si>
  <si>
    <t>[Nemet, Pct. RE Sources not including Hydro]</t>
  </si>
  <si>
    <t xml:space="preserve">Total Generation </t>
  </si>
  <si>
    <t xml:space="preserve">    pct of Total</t>
  </si>
  <si>
    <t>[Nemet, Pct Inc YOY]</t>
  </si>
  <si>
    <t>RPS</t>
  </si>
  <si>
    <t>YOY Increase</t>
  </si>
  <si>
    <t>Max (RPS, EIA)</t>
  </si>
  <si>
    <t xml:space="preserve">    check:</t>
  </si>
  <si>
    <t xml:space="preserve">    Carbon capture and storage</t>
  </si>
  <si>
    <t xml:space="preserve">    Grid</t>
  </si>
  <si>
    <t xml:space="preserve">    Storage</t>
  </si>
  <si>
    <t xml:space="preserve">    Biomass</t>
  </si>
  <si>
    <t xml:space="preserve">    Carbon Capture and storage</t>
  </si>
  <si>
    <t>Federal RPS Pct.</t>
  </si>
  <si>
    <t xml:space="preserve">    ref: RPS</t>
  </si>
  <si>
    <t xml:space="preserve">    Biomass/ Wood</t>
  </si>
  <si>
    <t xml:space="preserve">    ref: RPS total</t>
  </si>
  <si>
    <t>RPS?</t>
  </si>
  <si>
    <t xml:space="preserve">    total (RPS)</t>
  </si>
  <si>
    <t>[pct Nuclear]</t>
  </si>
  <si>
    <t>Tot. Generation, BAU Ref.</t>
  </si>
  <si>
    <t xml:space="preserve">Total Generation, Modeled </t>
  </si>
  <si>
    <t>total gain</t>
  </si>
  <si>
    <t>Gain , EE</t>
  </si>
  <si>
    <t>Gain, RPS</t>
  </si>
  <si>
    <t>Nuclear Pct.</t>
  </si>
  <si>
    <t>Gain, Nuclear</t>
  </si>
  <si>
    <t>ccs,grid,storage</t>
  </si>
  <si>
    <t>Direct</t>
  </si>
  <si>
    <t>DIRECT JOBS [person-yrs]</t>
  </si>
  <si>
    <t>INDIRECT JOBS [person-yrs]</t>
  </si>
  <si>
    <t>INPUT INTO YELLOW BOXES</t>
  </si>
  <si>
    <t>Coal</t>
  </si>
  <si>
    <t>Wind</t>
  </si>
  <si>
    <t>Year</t>
  </si>
  <si>
    <t>Study</t>
  </si>
  <si>
    <t>Method</t>
  </si>
  <si>
    <t>Scenarios used</t>
  </si>
  <si>
    <t xml:space="preserve">Summary of state level studies. </t>
  </si>
  <si>
    <t>Subject</t>
  </si>
  <si>
    <t xml:space="preserve"> Net Expenditures for Imports of Crude Oil and</t>
  </si>
  <si>
    <t xml:space="preserve"> Gross Inputs to Crude Oil Distillation Units</t>
  </si>
  <si>
    <t xml:space="preserve"> Net Import Share of Product Supplied (percent</t>
  </si>
  <si>
    <t xml:space="preserve">   Total</t>
  </si>
  <si>
    <t xml:space="preserve">     Transportation</t>
  </si>
  <si>
    <t xml:space="preserve">     Residential and Commercial</t>
  </si>
  <si>
    <t xml:space="preserve">   by Sector</t>
  </si>
  <si>
    <t xml:space="preserve">     Residual Fuel Oil</t>
  </si>
  <si>
    <t xml:space="preserve">       of which:  Diesel</t>
  </si>
  <si>
    <t xml:space="preserve">   by Fuel</t>
  </si>
  <si>
    <t xml:space="preserve"> Liquid Fuels Consumption</t>
  </si>
  <si>
    <t xml:space="preserve">     Liquids from Biomass</t>
  </si>
  <si>
    <t xml:space="preserve">     Liquids from Coal</t>
  </si>
  <si>
    <t xml:space="preserve">     Liquids from Gas</t>
  </si>
  <si>
    <t xml:space="preserve">       Net Imports</t>
  </si>
  <si>
    <t xml:space="preserve">       Domestic Production</t>
  </si>
  <si>
    <t xml:space="preserve">     Biodiesel</t>
  </si>
  <si>
    <t xml:space="preserve">     Ethanol</t>
  </si>
  <si>
    <t xml:space="preserve">   Refinery Processing Gain 4/</t>
  </si>
  <si>
    <t xml:space="preserve">     Exports</t>
  </si>
  <si>
    <t xml:space="preserve">     Blending Component Imports</t>
  </si>
  <si>
    <t xml:space="preserve">     Unfinished Oil Imports</t>
  </si>
  <si>
    <t xml:space="preserve">     Gross Refined Product Imports 3/</t>
  </si>
  <si>
    <t xml:space="preserve">   Net Product Imports</t>
  </si>
  <si>
    <t xml:space="preserve">   Natural Gas Plant Liquids</t>
  </si>
  <si>
    <t xml:space="preserve"> Other Supply</t>
  </si>
  <si>
    <t xml:space="preserve">     Total Crude Supply</t>
  </si>
  <si>
    <t xml:space="preserve">   Other Crude Supply 2/</t>
  </si>
  <si>
    <t xml:space="preserve">     Gross Imports</t>
  </si>
  <si>
    <t xml:space="preserve">   Net Imports</t>
  </si>
  <si>
    <t xml:space="preserve">     Lower 48 States</t>
  </si>
  <si>
    <t xml:space="preserve">     Alaska</t>
  </si>
  <si>
    <t xml:space="preserve">   Domestic Crude Production 1/</t>
  </si>
  <si>
    <t xml:space="preserve"> Crude Oil</t>
  </si>
  <si>
    <t xml:space="preserve">                       (million barrels per day, unless otherwise noted)</t>
  </si>
  <si>
    <t xml:space="preserve"> Table  11.  Liquid Fuels Supply and Disposition</t>
  </si>
  <si>
    <t>[B gallons/ yr]</t>
  </si>
  <si>
    <t>[Tot. Domest. Eth/Biodiesel/Liq fr. Biomass]</t>
  </si>
  <si>
    <t>(I)  ELECTRIC POWER</t>
  </si>
  <si>
    <t>(II) BIO FUELS</t>
  </si>
  <si>
    <t>BAU EIA DOMESTIC SUPPLY [M bbls/ yr]</t>
  </si>
  <si>
    <t xml:space="preserve">    Biofuels</t>
  </si>
  <si>
    <t xml:space="preserve"> [Growth YOY]</t>
  </si>
  <si>
    <t xml:space="preserve">     in units of MBOE / year</t>
  </si>
  <si>
    <t>Indirect Multiplier</t>
  </si>
  <si>
    <t>[Pct. eth,biodies,biomass/ primary suppl ]</t>
  </si>
  <si>
    <t xml:space="preserve">   [in units of MBOE/ year]</t>
  </si>
  <si>
    <t>Total Primary Supply, BAU Ref</t>
  </si>
  <si>
    <t>Total Primary Supply, Modeled</t>
  </si>
  <si>
    <t>(II) BIO FUELS [M bbls/yr]</t>
  </si>
  <si>
    <t>DOMESTIC BIOFUEL SUPPLY, BAU Ref</t>
  </si>
  <si>
    <t>DOMESTIC BIOFUEL SUPPLY, Modeled</t>
  </si>
  <si>
    <t>Max(BAU Ref, Modeled)</t>
  </si>
  <si>
    <t xml:space="preserve">    Pct of Total (BAU Ref)</t>
  </si>
  <si>
    <t xml:space="preserve">    Pct of Total (Modeled)</t>
  </si>
  <si>
    <t xml:space="preserve">   B Gallons, Modeled</t>
  </si>
  <si>
    <t>[total jobs/Mboe]</t>
  </si>
  <si>
    <t>Primary Supply, BAU - Modeled</t>
  </si>
  <si>
    <t>Generation, BAU - Modeled</t>
  </si>
  <si>
    <t xml:space="preserve">    EE, Electricity</t>
  </si>
  <si>
    <t xml:space="preserve">    EE, liquid fuels</t>
  </si>
  <si>
    <t>BAU Ref "RPS"</t>
  </si>
  <si>
    <t>Work-hrs per year</t>
  </si>
  <si>
    <t>Employment Components</t>
  </si>
  <si>
    <t>Total jobs/MWp</t>
  </si>
  <si>
    <t>Total jobs/MWa</t>
  </si>
  <si>
    <t>Total person-yrs/GWh</t>
  </si>
  <si>
    <t>Energy Technology</t>
  </si>
  <si>
    <t>Source of Numbers</t>
  </si>
  <si>
    <t>Capacity Factor</t>
  </si>
  <si>
    <t>Wind 2</t>
  </si>
  <si>
    <t>REPP 2006</t>
  </si>
  <si>
    <t>Natural Gas</t>
  </si>
  <si>
    <t>REPP, 2001</t>
  </si>
  <si>
    <t>EE</t>
  </si>
  <si>
    <t>Nuclear</t>
  </si>
  <si>
    <t>(b) Transition quarter.</t>
  </si>
  <si>
    <t>(a) Navigation outlays by the Army Corps of Engineers are included in water resources rather than in water transportation.</t>
  </si>
  <si>
    <t>NOTE:  Data for state and local spending do not include expenditures on freight rail and, after 1990, water resources.</t>
  </si>
  <si>
    <t>SOURCE: Congressional Budget Office</t>
  </si>
  <si>
    <t>Mass + Rail, Capital 1960-80: 20% /yr increase</t>
  </si>
  <si>
    <t>Mass + Rail, Capital 1960-80: 7% /yr increase</t>
  </si>
  <si>
    <t>Net new jobs</t>
  </si>
  <si>
    <t>[Mass X-it + Rail, Capital]</t>
  </si>
  <si>
    <t>1994</t>
  </si>
  <si>
    <t>1993</t>
  </si>
  <si>
    <t>1992</t>
  </si>
  <si>
    <t>1991</t>
  </si>
  <si>
    <t>Operation and Maintenance</t>
  </si>
  <si>
    <t>Capital</t>
  </si>
  <si>
    <t>Rail</t>
  </si>
  <si>
    <t>Mass Transit</t>
  </si>
  <si>
    <t>2005 onward is PROJECTED DATA</t>
  </si>
  <si>
    <t>[Millions of Nominal $]</t>
  </si>
  <si>
    <t>rate of increase</t>
  </si>
  <si>
    <t>Table W-1. Total Public Infrastructure Spending by Federal, State, and Local Governments, 1956-2004 (in millions of nominal dollars)</t>
  </si>
  <si>
    <t xml:space="preserve">    Mass Transit and Rail</t>
  </si>
  <si>
    <t>[tot. jobs/M cap. Funding]</t>
  </si>
  <si>
    <t>ann growth 1960-80</t>
  </si>
  <si>
    <t xml:space="preserve">Note: BAU 2009-2030 is extrapolated from CBO data from 1981-2004 (hidden cells) </t>
  </si>
  <si>
    <t xml:space="preserve">Mass Transit, Rail Capital - BAU ref </t>
  </si>
  <si>
    <t>SCROLL TO 2009</t>
  </si>
  <si>
    <t>JOBS - BIOFUELS</t>
  </si>
  <si>
    <t>JOB - MASS TRANSIT, RAIL</t>
  </si>
  <si>
    <t xml:space="preserve">    Net Job Gain</t>
  </si>
  <si>
    <t xml:space="preserve">    Net new jobs</t>
  </si>
  <si>
    <t>CUMULATIVE TOTAL</t>
  </si>
  <si>
    <t>OUTPUT - New Jobs vs BAU in:</t>
  </si>
  <si>
    <t xml:space="preserve">Mass Transit, Rail Capital - Modeled </t>
  </si>
  <si>
    <t>Direct jobs</t>
  </si>
  <si>
    <t>Indirect jobs</t>
  </si>
  <si>
    <t>Total jobs</t>
  </si>
  <si>
    <t>Renewable Energy</t>
  </si>
  <si>
    <t>Citation</t>
  </si>
  <si>
    <t>Putting Renewables to Work: How Many Jobs Can the Clean Energy Industry Generate?</t>
  </si>
  <si>
    <t>Affiliation</t>
  </si>
  <si>
    <t>Daniel M. Kammen, Kamal Kapadia, and Matthias Fripp</t>
  </si>
  <si>
    <t xml:space="preserve">Energy and Resources Group, Universtiy of California, Berkeley.  </t>
  </si>
  <si>
    <t xml:space="preserve">C.R. Kenley, et al. </t>
  </si>
  <si>
    <t xml:space="preserve">Renewable Energy </t>
  </si>
  <si>
    <t>Meta-analysis of 13 studies on renewable energy job creation.  Normalization of job creation by average power over lifetime of plant.</t>
  </si>
  <si>
    <t>Comparison of average employement from five electricity generation scenarios.  Considers photovoltaics, wind, biomass and coal.</t>
  </si>
  <si>
    <t>American Council for an Energy Efficient Economy</t>
  </si>
  <si>
    <t xml:space="preserve">Positive Returns: State Energy Efficiency Analyses Can Inform U.S. Energy Policy Assessments
</t>
  </si>
  <si>
    <t>John A. "Skip" Laitner and Vanessa McKinney</t>
  </si>
  <si>
    <t>European Wind Energy Association</t>
  </si>
  <si>
    <t>Wind at Work: Wind energy and job creation in the EU</t>
  </si>
  <si>
    <t>Isabel Blanco and Christian Kjaer</t>
  </si>
  <si>
    <t>Frithjof Staiss, et al.</t>
  </si>
  <si>
    <t>Forschungsvorhaben im Auftrag des Bundesministeriums für Umwelt, Naturschutz und Reaktorsicherheit, Federal Republic of Germany.</t>
  </si>
  <si>
    <t>[scroll down to Total Electr. Gen by Fuel]</t>
  </si>
  <si>
    <t>[scroll down to Generation in bold]</t>
  </si>
  <si>
    <t xml:space="preserve">    EE Savings</t>
  </si>
  <si>
    <t>Direct Jobs, Modeled</t>
  </si>
  <si>
    <t>Indirect Jobs, Modeled</t>
  </si>
  <si>
    <t xml:space="preserve">    BAU Ref Biofuels jobs, Direct</t>
  </si>
  <si>
    <t xml:space="preserve">    BAU Ref Biofuels jobs, Indirect</t>
  </si>
  <si>
    <t xml:space="preserve">    Modeled Biofuels jobs, Direct</t>
  </si>
  <si>
    <t xml:space="preserve">    Modeled Biofuels jobs, Indirect</t>
  </si>
  <si>
    <t xml:space="preserve">    EE Jobs, Liq. Fuels, Direct</t>
  </si>
  <si>
    <t xml:space="preserve">    EE Jobs, Liq. Fuels, Indirect</t>
  </si>
  <si>
    <t xml:space="preserve">Direct Jobs, BAU ref </t>
  </si>
  <si>
    <t>Indirect Jobs, BAU</t>
  </si>
  <si>
    <t>Year [$ millions of nominal dollars]</t>
  </si>
  <si>
    <t xml:space="preserve">    Direct Jobs, BAU ref </t>
  </si>
  <si>
    <t xml:space="preserve">    Indirect Jobs, BAU</t>
  </si>
  <si>
    <t xml:space="preserve">    Direct Jobs, Modeled</t>
  </si>
  <si>
    <t xml:space="preserve">    Indirect Jobs, Modeled</t>
  </si>
  <si>
    <t>Jobs created (modeled)</t>
  </si>
  <si>
    <t>Jobs created (BAU ref)</t>
  </si>
  <si>
    <t xml:space="preserve">   Direct (BAU ref)</t>
  </si>
  <si>
    <t xml:space="preserve">   Indirect (BAU ref)</t>
  </si>
  <si>
    <t xml:space="preserve">   Direct (modeled)</t>
  </si>
  <si>
    <t xml:space="preserve">   Indirect (modeled)</t>
  </si>
  <si>
    <t>Net Jobs (modeled - BAU)</t>
  </si>
  <si>
    <t xml:space="preserve">   Net Direct Jobs (modeled - BAU)</t>
  </si>
  <si>
    <t xml:space="preserve">   Net Indirect Jobs (modeled - BAU)</t>
  </si>
  <si>
    <t>total</t>
  </si>
  <si>
    <t>Fuel extraction &amp; processing (person-yrs/GWh)</t>
  </si>
  <si>
    <t>Solar PV 1</t>
  </si>
  <si>
    <t>Solar PV 2</t>
  </si>
  <si>
    <t>Solar PV 3</t>
  </si>
  <si>
    <t>CALPIRG 2002</t>
  </si>
  <si>
    <t>Idaho National Engineering and Environmental Laboratory (INEEL) and Bechtel BWXT Idaho, LLC</t>
  </si>
  <si>
    <t>Renewable Energy jobs</t>
  </si>
  <si>
    <t>Heavner and Churchill</t>
  </si>
  <si>
    <t>CALPIRG (California Public Interest Research Group) Charitable Trust</t>
  </si>
  <si>
    <t>Job Growth from Renewable Energy Development in California</t>
  </si>
  <si>
    <t>Accessible at: https://www.policyarchive.org/bitstream/handle/10207/5556/CA-Renewables%20Work%20text.pdf?sequence=1</t>
  </si>
  <si>
    <t>Virender Singh, Jeffrey Fehrs</t>
  </si>
  <si>
    <t>Renewable Energy Policy Project (REPP)</t>
  </si>
  <si>
    <t>The Work that Goes into Renewable Energy</t>
  </si>
  <si>
    <t>Accessible at: http://www.repp.org/articles/static/1/binaries/LABOR_FINAL_REV.pdf</t>
  </si>
  <si>
    <t>George Sterzinger</t>
  </si>
  <si>
    <t>Jobs and Renewable Energy Project</t>
  </si>
  <si>
    <t>Accessible at: http://www.osti.gov/bridge/servlets/purl/899887-T9Q65H/899887.PDF</t>
  </si>
  <si>
    <t xml:space="preserve">    [assumes 0.5% growth rate after 2020]</t>
  </si>
  <si>
    <t xml:space="preserve">   Subtotal</t>
  </si>
  <si>
    <t>Other (petroleum, hydrogen,..)</t>
  </si>
  <si>
    <t xml:space="preserve">    SubTotal</t>
  </si>
  <si>
    <t xml:space="preserve">Coal </t>
  </si>
  <si>
    <t xml:space="preserve">[ratio of coal/ (coal + NG) ] </t>
  </si>
  <si>
    <t xml:space="preserve">   Sub Total, Generation</t>
  </si>
  <si>
    <t>Petroleum and Other</t>
  </si>
  <si>
    <t>Total Generation (check)</t>
  </si>
  <si>
    <t>Gain vs BAU(EIA)</t>
  </si>
  <si>
    <t xml:space="preserve">   [biomass]</t>
  </si>
  <si>
    <t xml:space="preserve">   [wind]</t>
  </si>
  <si>
    <t xml:space="preserve">   [solar]</t>
  </si>
  <si>
    <t xml:space="preserve">   [geothermal]</t>
  </si>
  <si>
    <t xml:space="preserve">   [municip. Solid waste]</t>
  </si>
  <si>
    <t xml:space="preserve">   [sum]</t>
  </si>
  <si>
    <t>BAU</t>
  </si>
  <si>
    <t xml:space="preserve">    Hydro (Small)</t>
  </si>
  <si>
    <t xml:space="preserve">    Small Hydro</t>
  </si>
  <si>
    <t>grand sum</t>
  </si>
  <si>
    <t>cksum</t>
  </si>
  <si>
    <t xml:space="preserve">    Solar PV</t>
  </si>
  <si>
    <t xml:space="preserve">    Solar Thermal</t>
  </si>
  <si>
    <t>[solar thermal/ total solar]</t>
  </si>
  <si>
    <t>[Solar total]</t>
  </si>
  <si>
    <t>Sum of Subtotal + coal, gas</t>
  </si>
  <si>
    <t xml:space="preserve">Renewable Generation </t>
  </si>
  <si>
    <t xml:space="preserve">    Biomass                  </t>
  </si>
  <si>
    <t xml:space="preserve">    Hydro (Small)         </t>
  </si>
  <si>
    <t xml:space="preserve">    Geothermal             </t>
  </si>
  <si>
    <t xml:space="preserve">    Solar PV </t>
  </si>
  <si>
    <t xml:space="preserve">    Solar Thermal </t>
  </si>
  <si>
    <t xml:space="preserve">    Wind </t>
  </si>
  <si>
    <t>2030 abs %</t>
  </si>
  <si>
    <t>CIM</t>
  </si>
  <si>
    <t>Wind 3</t>
  </si>
  <si>
    <t>EWEA 2008</t>
  </si>
  <si>
    <t>RPS PORTFOLIO - 2020</t>
  </si>
  <si>
    <t>Fraction of RPS</t>
  </si>
  <si>
    <t xml:space="preserve">    Nuclear [% to include in RPS]</t>
  </si>
  <si>
    <t>% total generation</t>
  </si>
  <si>
    <t xml:space="preserve">    Carbon capture and storage [% coal gen.]</t>
  </si>
  <si>
    <t>RPS ASSUMPTIONS</t>
  </si>
  <si>
    <t xml:space="preserve">    Low Carbon %</t>
  </si>
  <si>
    <t xml:space="preserve">    RPS %</t>
  </si>
  <si>
    <t xml:space="preserve">    2020 Low Carbon % of Total Gen.</t>
  </si>
  <si>
    <t xml:space="preserve">    2030 Low Carbon % of Total Gen.</t>
  </si>
  <si>
    <t>LOW CARBON ASSUMPTIONS</t>
  </si>
  <si>
    <t>LOW CARBON PORTFOLIO - 2020</t>
  </si>
  <si>
    <t xml:space="preserve">    Total RPS % + Low Carbon %,  2020</t>
  </si>
  <si>
    <t xml:space="preserve">    Total RPS [% of overall generation], 2020</t>
  </si>
  <si>
    <t>-</t>
  </si>
  <si>
    <t>SOURCES  [GWh or GWh equivalent]</t>
  </si>
  <si>
    <t>Renewables</t>
  </si>
  <si>
    <t xml:space="preserve">    2020 RPS. % of Total Gen.</t>
  </si>
  <si>
    <t xml:space="preserve">    2030 RPS % of Total Gen.</t>
  </si>
  <si>
    <t>Conventional Hydropower %</t>
  </si>
  <si>
    <t xml:space="preserve">    Electricity increase in 2030 over 2009 [%]</t>
  </si>
  <si>
    <t xml:space="preserve">    Subtotal</t>
  </si>
  <si>
    <t xml:space="preserve">        Low carbon</t>
  </si>
  <si>
    <t xml:space="preserve">        RPS</t>
  </si>
  <si>
    <t xml:space="preserve">        Low Carbon</t>
  </si>
  <si>
    <t>RPS Jobs (BAU)</t>
  </si>
  <si>
    <t xml:space="preserve">    Direct RPS (BAU)</t>
  </si>
  <si>
    <t xml:space="preserve">    Indirect RPS (BAU)</t>
  </si>
  <si>
    <t>Low Carbon (BAU)</t>
  </si>
  <si>
    <t xml:space="preserve">     Indirect Low Carbon (BAU)</t>
  </si>
  <si>
    <t xml:space="preserve">     Direct Low Carbon (BAU)</t>
  </si>
  <si>
    <t>Coal and NG Jobs</t>
  </si>
  <si>
    <t xml:space="preserve">      Direct Coal/NG (BAU)</t>
  </si>
  <si>
    <t xml:space="preserve">      Indirect Coal/NG (BAU)</t>
  </si>
  <si>
    <t>RPS Jobs (Modeled)</t>
  </si>
  <si>
    <t xml:space="preserve">    Direct RPS (Modeled)</t>
  </si>
  <si>
    <t xml:space="preserve">    Indirect RPS (Modeled)</t>
  </si>
  <si>
    <t>Low Carbon (Modeled)</t>
  </si>
  <si>
    <t xml:space="preserve">     Direct Low Carbon (Modeled)</t>
  </si>
  <si>
    <t xml:space="preserve">     Indirect Low Carbon (Modeled)</t>
  </si>
  <si>
    <t xml:space="preserve">      Direct Coal/NG (Modeled)</t>
  </si>
  <si>
    <t xml:space="preserve">      Indirect Coal/NG (Modeled)</t>
  </si>
  <si>
    <t>TOTAL</t>
  </si>
  <si>
    <t>EE Jobs (BAU)</t>
  </si>
  <si>
    <t xml:space="preserve">    Direct EE Jobs (BAU)</t>
  </si>
  <si>
    <t xml:space="preserve">    Indirect EE Jobs (BAU)</t>
  </si>
  <si>
    <t>EE Jobs (Modeled)</t>
  </si>
  <si>
    <t xml:space="preserve">    Direct EE Jobs (Modeled)</t>
  </si>
  <si>
    <t xml:space="preserve">    Indirect EE Jobs (Modeled)</t>
  </si>
  <si>
    <t>GROSS JOBS</t>
  </si>
  <si>
    <t>NET JOBS</t>
  </si>
  <si>
    <t>EE Jobs (Modeled - BAU)</t>
  </si>
  <si>
    <t xml:space="preserve">    Direct EE Jobs (Modeled - BAU)</t>
  </si>
  <si>
    <t xml:space="preserve">    Indirect EE Jobs (Modeled - BAU)</t>
  </si>
  <si>
    <t>RPS Jobs (Modeled - BAU)</t>
  </si>
  <si>
    <t xml:space="preserve">    Direct RPS (Modeled - BAU)</t>
  </si>
  <si>
    <t xml:space="preserve">    Indirect RPS (Modeled - BAU)</t>
  </si>
  <si>
    <t>Low Carbon (Modeled - BAU)</t>
  </si>
  <si>
    <t xml:space="preserve">     Direct Low Carbon (Modeled - BAU)</t>
  </si>
  <si>
    <t xml:space="preserve">     Indirect Low Carbon (Modeled - BAU)</t>
  </si>
  <si>
    <t xml:space="preserve">      Direct Coal/NG (Modeled - BAU)</t>
  </si>
  <si>
    <t xml:space="preserve">      Indirect Coal/NG (Modeled - BAU)</t>
  </si>
  <si>
    <t>TOTAL (BAU)</t>
  </si>
  <si>
    <t>TOTAL (MODELED)</t>
  </si>
  <si>
    <t>Energy Efficiency 1</t>
  </si>
  <si>
    <t>Energy Efficiency 2</t>
  </si>
  <si>
    <t>ACEEE 2008</t>
  </si>
  <si>
    <t>J. Goldemberg 2009</t>
  </si>
  <si>
    <t>Carbon Capture &amp; Storage</t>
  </si>
  <si>
    <t>J. Friedmann, 2009</t>
  </si>
  <si>
    <t>INEEL 2004</t>
  </si>
  <si>
    <t>Solar Thermal 1</t>
  </si>
  <si>
    <t>Solar Thermal 2</t>
  </si>
  <si>
    <t>Solar Thermal 3</t>
  </si>
  <si>
    <t>NREL 2006</t>
  </si>
  <si>
    <t>NREL 2008</t>
  </si>
  <si>
    <t>Adjustment for EE multiplier being NET already:</t>
  </si>
  <si>
    <t>coal jobs</t>
  </si>
  <si>
    <t>NG jobs</t>
  </si>
  <si>
    <t xml:space="preserve">   direct</t>
  </si>
  <si>
    <t xml:space="preserve">   indirect</t>
  </si>
  <si>
    <t xml:space="preserve">    total EE, RPS jobs</t>
  </si>
  <si>
    <t xml:space="preserve">    EE + RPS</t>
  </si>
  <si>
    <t xml:space="preserve">    EE+ RPS + Low Carbon</t>
  </si>
  <si>
    <t xml:space="preserve">    total EE, RPS, Low carbon jobs</t>
  </si>
  <si>
    <r>
      <t xml:space="preserve">    </t>
    </r>
    <r>
      <rPr>
        <sz val="11"/>
        <color theme="1"/>
        <rFont val="Calibri"/>
        <family val="2"/>
        <scheme val="minor"/>
      </rPr>
      <t>BAU RPS + Low C</t>
    </r>
  </si>
  <si>
    <t>CUMULATIVE JOB-YRS</t>
  </si>
  <si>
    <t>Cumulative Jobs-Yrs</t>
  </si>
  <si>
    <t xml:space="preserve">   Net Direct Job-Yrs</t>
  </si>
  <si>
    <t xml:space="preserve">   Net Indirect Jobs-Yrs</t>
  </si>
  <si>
    <t>Cumulative Job-Yrs RPS (BAU)</t>
  </si>
  <si>
    <t>Cumulative Job-Yrs RPS (Modeled)</t>
  </si>
  <si>
    <t>Cum. Job-Yrs Coal and NG (Modeled)</t>
  </si>
  <si>
    <t>Cum. Job-Yrs Coal and NG (BAU)</t>
  </si>
  <si>
    <t>Net Coal Cum. Job-Yrs</t>
  </si>
  <si>
    <t xml:space="preserve">    check</t>
  </si>
  <si>
    <t>Cumulative Job Years</t>
  </si>
  <si>
    <t>No.</t>
  </si>
  <si>
    <t>Author - Affiliation</t>
  </si>
  <si>
    <t xml:space="preserve">WInd sector employment in EU increasing from 154k in 2007 to 377k in 2030.  180 GW of wind energy will be operating in the EU in 2020 and 300 GW by the end of 2030. Over that period, an increasing share of the installations will be offshore. </t>
  </si>
  <si>
    <r>
      <t xml:space="preserve">Isabel Blanco and Christian Kjaer (2009) </t>
    </r>
    <r>
      <rPr>
        <i/>
        <sz val="10"/>
        <color indexed="8"/>
        <rFont val="Calibri"/>
        <family val="2"/>
      </rPr>
      <t>Wind at Work: Wind energy and job creation in the EU,</t>
    </r>
    <r>
      <rPr>
        <sz val="10"/>
        <color indexed="8"/>
        <rFont val="Times"/>
      </rPr>
      <t xml:space="preserve"> </t>
    </r>
    <r>
      <rPr>
        <sz val="10"/>
        <color indexed="8"/>
        <rFont val="Calibri"/>
        <family val="2"/>
      </rPr>
      <t>European Wind Energy Association. Available from: http://www.ewea.org/fileadmin/ewea_documents/documents/publications/Wind_at_work_FINAL.pdf [Accessed 3 February 2009].</t>
    </r>
  </si>
  <si>
    <t>Julio Friedmann</t>
  </si>
  <si>
    <t>Lawrence Livermore National Laboratory</t>
  </si>
  <si>
    <t xml:space="preserve">Personal communcation, 13 February 2009, on Carbon capture and storage job impacts </t>
  </si>
  <si>
    <t xml:space="preserve">Model three paths for CCS: (1) pulverized coal; (2) IGCC; (3) Natural gas carbon capture. </t>
  </si>
  <si>
    <t xml:space="preserve">Consider situation where all three paths occur and take average of employment effects. </t>
  </si>
  <si>
    <t xml:space="preserve">José Goldemberg </t>
  </si>
  <si>
    <t>State of São Paulo, Brazil</t>
  </si>
  <si>
    <t>Personal communcation, 13 February 2009, on Energy efficiency and jobs data</t>
  </si>
  <si>
    <t>SkyFuels</t>
  </si>
  <si>
    <t xml:space="preserve">National Renewable Energy Laboratory </t>
  </si>
  <si>
    <t xml:space="preserve">Personal communication 21 March 2009 on Solar Thermal jobs data. </t>
  </si>
  <si>
    <t>Jobs and Economic Development Impact (“JEDI”) model</t>
  </si>
  <si>
    <t xml:space="preserve">1000 MW online by 2014, total projected CSP project job creation through 2014 ~ 33,300 FTE jobs
</t>
  </si>
  <si>
    <t xml:space="preserve">Based on a review of 48 different assessments, this report highlights the findings of a wide variety of studies that explore the many possibilities of further gains in energy efficiency, especially at the regional and state level.  The studies reviewed here show an average 23 percent efficiency gain with a nearly 2 to 1 benefit-cost ratio.  From analyzing this set of studies, we estimate that a 20 percent to 30 percent energy efficiency gain within the U.S. economy might lead to a net gain of 500,000 to 1,500,000 jobs by 2030.  </t>
  </si>
  <si>
    <r>
      <t xml:space="preserve">John A. "Skip" Laitner and Vanessa McKinney (2008) </t>
    </r>
    <r>
      <rPr>
        <i/>
        <sz val="10"/>
        <color indexed="8"/>
        <rFont val="Calibri"/>
        <family val="2"/>
      </rPr>
      <t>Positive Returns: State Energy Efficiency Analyses Can Inform U.S. Energy Policy Assessments</t>
    </r>
    <r>
      <rPr>
        <sz val="10"/>
        <color indexed="8"/>
        <rFont val="Calibri"/>
        <family val="2"/>
      </rPr>
      <t>,  American Council for an Energy Efficient Economy. Available from: http://www.aceee.org/pubs/e084.htm [Accessed on 21 January 2009].</t>
    </r>
  </si>
  <si>
    <t>David Roland-Holst</t>
  </si>
  <si>
    <t>University of California, Berkeley</t>
  </si>
  <si>
    <t>Energy Efficiency, Innovation, and Job Creation in California (I/O model)</t>
  </si>
  <si>
    <t>Detailed I/O tables aggregated to 50-sector framework over period 1972-2006 for detailed historical employment impact.</t>
  </si>
  <si>
    <t>Modeled 1972-2006 period in California households with redirected expenditures from energy efficiency savings creating about 1.5 million FTE jobs with a total payroll of $45 billion, driven by household energy savings of $56 billion.</t>
  </si>
  <si>
    <t>Winfried Hoffman, Sven Teske</t>
  </si>
  <si>
    <t>European Photovoltaic Industry Association (EPIA) and Greenpeace</t>
  </si>
  <si>
    <t xml:space="preserve">Solar Generation: Solar Electricity for Over One Billion People and Two Million Jobs by 2020. </t>
  </si>
  <si>
    <t>Information provided by industry</t>
  </si>
  <si>
    <t>Global PV systems output 589 TWh in 2025, 276 TWh in 2020.</t>
  </si>
  <si>
    <r>
      <t xml:space="preserve">Frithjof Staiss, et al., </t>
    </r>
    <r>
      <rPr>
        <i/>
        <sz val="10"/>
        <color indexed="8"/>
        <rFont val="Calibri"/>
        <family val="2"/>
      </rPr>
      <t>Erneuerbare Energien: Arbeitsplatzeffekte (</t>
    </r>
    <r>
      <rPr>
        <sz val="10"/>
        <color indexed="8"/>
        <rFont val="Calibri"/>
        <family val="2"/>
      </rPr>
      <t>2006) Forschungsvorhaben im Auftrag des Bundesministeriums für Umwelt, Naturschutz und Reaktorsicherheit, Federal Republic of Germany. Available from http://www.bmu.de/files/pdfs/allgemein/application/pdf/arbeitsmarkt_ee_lang.pdf [Accessed on 29 January 2009].</t>
    </r>
  </si>
  <si>
    <t>Used enhanced version of 2002 REPP Jobs Calculator and Nevada RPS standards to yield labor information about wind, PV, biomass co-firing, and geothermal technologies.</t>
  </si>
  <si>
    <t>Concentrated Solar Power</t>
  </si>
  <si>
    <t>L. Stoddard, J. Abiecunas, R. O'Connell</t>
  </si>
  <si>
    <t>National Renewable Energy Laboratory</t>
  </si>
  <si>
    <t>Economic, Energy, and Environmental Benefits of Concentrating  Solar Power in California</t>
  </si>
  <si>
    <t xml:space="preserve">100 MW parabolic trough plant with 6 hours of storage was used as a representative CSP plant. Cumulative deployment scenarious of 2100 MW and 4000 MW were assumed for 2008 to 2020.  Assumed that technological improvements would result in 150 and 200 MW plants in 2011 and 2015, respectively. Included learning curve estimations based on NREL data. </t>
  </si>
  <si>
    <t>Accessible at: http://www.ceert.org/reports_pdf/Concentrating_Solar_May2006.pdf</t>
  </si>
  <si>
    <t>Vestas</t>
  </si>
  <si>
    <t>Windpower and Development: Jobs, Industry and Export</t>
  </si>
  <si>
    <t>Sources: Renewable Energy Vermont; Strom Thurmond Institute: McKinsey (2006)</t>
  </si>
  <si>
    <t xml:space="preserve">Jobs generated by an onshore and on offshore park, considering development and installation jobs and operations and maintenance jobs. </t>
  </si>
  <si>
    <t>Clean Energy</t>
  </si>
  <si>
    <t>Doug Arent, John Tschirhart, Dick Watsson</t>
  </si>
  <si>
    <t>Western Governors' Association: Geothermal Task Force</t>
  </si>
  <si>
    <t>Clean and Diversified Energy Initiative (CDEAC)</t>
  </si>
  <si>
    <t xml:space="preserve">Study synthesizing  views and research of 24 members of geothermal community. </t>
  </si>
  <si>
    <t>Accessible at: http://www.westgov.org/wga/initiatives/cdeac/Geothermal-full.pdf</t>
  </si>
  <si>
    <t>Jose Gil and Hugo Lucas</t>
  </si>
  <si>
    <t>Institute for Diversification and Saving of Energy (Instituto para la Diversificacion y Ahorro de la Energia, IDAE)</t>
  </si>
  <si>
    <t>Plan for Renewable Energy in Spain 2005-2010 (Plan de Energias Renovables en Espana 2005-2010)</t>
  </si>
  <si>
    <r>
      <t xml:space="preserve">Daniel M. Kammen, Kamal Kapadia, and Matthias Fripp (2004) </t>
    </r>
    <r>
      <rPr>
        <i/>
        <sz val="10"/>
        <color indexed="8"/>
        <rFont val="Calibri"/>
        <family val="2"/>
      </rPr>
      <t xml:space="preserve">Putting Renewables to Work: How Many Jobs Can the Clean Energy Industry Generate? </t>
    </r>
    <r>
      <rPr>
        <sz val="10"/>
        <color indexed="8"/>
        <rFont val="Calibri"/>
        <family val="2"/>
      </rPr>
      <t xml:space="preserve">RAEL Report, Universtiy of California, Berkeley.  Available from http://socrates.berkeley.edu/~rael/papers.html [Accessed on 16 January 2009]. </t>
    </r>
  </si>
  <si>
    <t>U.S. Job Creation Due to Nuclear Power Resurgence in the United States</t>
  </si>
  <si>
    <t>Industry/expert estimates for manufacturing and  construction/operations jobs:  Indirect/induced jobs via NEI (Nuclear Energy Institute) economic impact studies and U.S. Census Data IMPLAN modeling tool</t>
  </si>
  <si>
    <t>33-41 Gen III units, 1200-1500 Mwe for 50,000 Mwe by 2020. Construction from 2009-24.  1-2 plants/yr online starting 2014 to 4-5 plants online 2020-2024.  40,000 manufacturing jobs,  80,000 construction/operations jobs and 500,000 total with direct: indirect: induced  ratios of 1:1.7:1.7.</t>
  </si>
  <si>
    <r>
      <t xml:space="preserve">C.R. Kenley, et al., (2004) </t>
    </r>
    <r>
      <rPr>
        <i/>
        <sz val="10"/>
        <color indexed="8"/>
        <rFont val="Calibri"/>
        <family val="2"/>
      </rPr>
      <t>U.S. Job Creation Due to Nuclear Power Resurgence in the United States</t>
    </r>
    <r>
      <rPr>
        <sz val="10"/>
        <color indexed="8"/>
        <rFont val="Calibri"/>
        <family val="2"/>
      </rPr>
      <t>, Volumes 1 and 2,  Idaho National Engineering and Environmental Laboratory Bechtel BWXT Idaho, LLC. Available from: http://www.inl.gov/technicalpublications/Documents/3772069.pdf [Accessed on 21 January 2009].</t>
    </r>
  </si>
  <si>
    <t xml:space="preserve">Report detailing job creation potential of renewable energy industry in California. Data is yielded from CEC (Califonia Energy Commission) research, and a CEC funded EPRI (Electric Power Research Institute) study from 2001. </t>
  </si>
  <si>
    <t xml:space="preserve">Comparison of employment projections from CEC and data from existing plants was used to derive employment rates for wind, geothermal, solar PV, solar thermal, and landfill/digester gas. </t>
  </si>
  <si>
    <t>Study calculates jobs in person-yrs/MW and person-yrs/$ invested. Uses a simple model, does not take into account multiplier effects as an I-O model would. Authors collected primary employment data from companies in the solar PV, wind energy and coal sectors, and used project scenario numbers for biomass energy. Study takes in account jobs in manufacture, transport and delivery, construction and installation, and O&amp;M.</t>
  </si>
  <si>
    <t>None.</t>
  </si>
  <si>
    <t>[ENTER "bau" for reference or business-as-usual case]</t>
  </si>
  <si>
    <t>5) Enter low carbon constituents, e.g. 0% for Carbon capture and storage, 5.9% for conventional hydropower, 18.7% for nuclear.</t>
  </si>
  <si>
    <t>(These values should sum to Total RPS percentage above]</t>
  </si>
  <si>
    <t>(These values should sum to Total Low Carbon percentage above]</t>
  </si>
  <si>
    <t>[Job-years per GWh saved]</t>
  </si>
  <si>
    <t>[Job-years per GWh]</t>
  </si>
  <si>
    <t>6) Enter Direct Jobs muliplier for each technology [in units of Job-years per GWh]</t>
  </si>
  <si>
    <t>7) Enter Indirect Jobs multiplier for each technology [additonal indirect jobs as fraction of Direct Jobs].</t>
  </si>
  <si>
    <t>3) Enter constituents of RPS portfolio in 2020, e.g. 9.5% Biomass, 1.5% Hydro(small), 1.1% Geothermal, 1.3% Municipal Solid Waste, 1% Solar, 0.1% Solar Thermal, 5.5% Wind.</t>
  </si>
  <si>
    <t>("BAU" refers to Business-as-usual reference case according to EIA Dec. 2008 data)</t>
  </si>
  <si>
    <t>0) Input desired values in highlighted yellow boxes</t>
  </si>
  <si>
    <t>Target of 12 percent of primary energy being met from renewable sources by 2010 and in 2010 electricity generation from renewable sources will account for 30.3 percent of gross consumption. </t>
  </si>
  <si>
    <t>Accessible at: http://www.idae.es/index.php/mod.pags/mem.detalle/idpag.14/relcategoria.1153/relmenu.12</t>
  </si>
  <si>
    <t xml:space="preserve">Industry analysis and projected growth to 2010 </t>
  </si>
  <si>
    <t>Erneuerbare Energien: Arbeitsplatzeffekte – Wirkungen des Ausbaus erneuerbarer Energien auf den deutschen Arbeitsmarkt</t>
  </si>
  <si>
    <t xml:space="preserve">I/O analysiswith renewable sector represented by technology specific vectors derived from 2004 survey data.   2004 estimate : 157,000 employed by renewable industry with 71.5k direct and 85.5k indirect. </t>
  </si>
  <si>
    <t>BAU 2020</t>
  </si>
  <si>
    <t>Virender Singh of Renewable Energy Policy Project (REPP) and Jeffrey Fehrs of BBC Research and Consulting</t>
  </si>
  <si>
    <t>2020 abs %</t>
  </si>
  <si>
    <t>CCS % of coal</t>
  </si>
  <si>
    <t>CCS abs % of generation</t>
  </si>
  <si>
    <t xml:space="preserve">   ck CCS% of coal</t>
  </si>
  <si>
    <t>sum RPS %</t>
  </si>
  <si>
    <t>Intermediate SOURCE PCT of TOTAL GEN.: calc'd % as function of 2020 target</t>
  </si>
  <si>
    <t>% RPS gen annual inc</t>
  </si>
  <si>
    <t>annual increase in RPS %</t>
  </si>
  <si>
    <t>BAU 2030</t>
  </si>
  <si>
    <t>Annual Increase in RPS component</t>
  </si>
  <si>
    <t>2020-2030</t>
  </si>
  <si>
    <t xml:space="preserve">FINAL SOURCE PCT of TOTAL GEN. : </t>
  </si>
  <si>
    <t>YOY increase</t>
  </si>
  <si>
    <t>Cum Job-Yrs (Modeled BAU - EIA BAU)</t>
  </si>
  <si>
    <t>8) Enter year of desired job output [cell k14 of "Inputs" worksheet], e.g. 2020</t>
  </si>
  <si>
    <t>1) Enter electricity generation assumption: e.g. "bau" for reference case, 11.4% for 0.5X of reference, 0% for no growth</t>
  </si>
  <si>
    <t>Assumes that wind energy creates 15 jobs (man years) per MW of annual installation, turbine manufacturing, component manufacturing,
wind farm development, installation and
indirect employment. O&amp;M work contributes an additional 0.40 jobs per MW of total installed capacity.</t>
  </si>
  <si>
    <t>Study focusing on economic return, energy supplyl impact, and environmental benefits of CSP (Concentrating Solar Power) in California.   RIMS II I/O model.</t>
  </si>
  <si>
    <t>bau</t>
  </si>
  <si>
    <t>Equipment lifetime (years)</t>
  </si>
  <si>
    <t>Average Employment Over Life of Facility</t>
  </si>
  <si>
    <t>Avg</t>
  </si>
  <si>
    <t>Biomass 1</t>
  </si>
  <si>
    <t>EPRI 2001</t>
  </si>
  <si>
    <t>Biomass 2</t>
  </si>
  <si>
    <t xml:space="preserve">REPP2001 </t>
  </si>
  <si>
    <t>Geothermal 1</t>
  </si>
  <si>
    <t>WGA 2005</t>
  </si>
  <si>
    <t>Geothermal 2</t>
  </si>
  <si>
    <t>Geothermal 3</t>
  </si>
  <si>
    <t>Landfill Gas 1</t>
  </si>
  <si>
    <t>Landfill Gas 2</t>
  </si>
  <si>
    <t>Small Hydro</t>
  </si>
  <si>
    <t>EPIA 2006</t>
  </si>
  <si>
    <t>Wind 1</t>
  </si>
  <si>
    <t>McKinsey 2006</t>
  </si>
  <si>
    <t>Wind 4</t>
  </si>
  <si>
    <t>Wind 5</t>
  </si>
  <si>
    <t xml:space="preserve">    2040 RPS. % of Total Gen.</t>
  </si>
  <si>
    <t xml:space="preserve">    2050 RPS % of Total Gen.</t>
  </si>
  <si>
    <t xml:space="preserve">    2040 Low Carbon % of Total Gen.</t>
  </si>
  <si>
    <t xml:space="preserve">    2050 Low Carbon % of Total Gen.</t>
  </si>
  <si>
    <t>2031</t>
  </si>
  <si>
    <t>2032</t>
  </si>
  <si>
    <t>2033</t>
  </si>
  <si>
    <t>2034</t>
  </si>
  <si>
    <t>2035</t>
  </si>
  <si>
    <t>2036</t>
  </si>
  <si>
    <t>2037</t>
  </si>
  <si>
    <t>2038</t>
  </si>
  <si>
    <t>2039</t>
  </si>
  <si>
    <t>2040</t>
  </si>
  <si>
    <t>Next release date full report: September 2014</t>
  </si>
  <si>
    <t>(2012 cents per kilowatthour)</t>
  </si>
  <si>
    <t>2011-2040</t>
  </si>
  <si>
    <t xml:space="preserve"> Petroleum Products (billion 2012 dollars)</t>
  </si>
  <si>
    <t>   1/ Includes lease condensate.</t>
  </si>
  <si>
    <t>   2/ Strategic petroleum reserve stock additions plus unaccounted for crude oil and crude stock withdrawals minus crude product supplied.</t>
  </si>
  <si>
    <t>   3/ Includes other hydrocarbons and alcohols.</t>
  </si>
  <si>
    <t>   4/ The volumetric amount by which total output is greater than input due to the processing of crude oil into products which, in total,</t>
  </si>
  <si>
    <t>have a lower specific gravity than the crude oil processed.</t>
  </si>
  <si>
    <t>   5/ Includes pyrolysis oils, biomass-derived Fischer-Tropsch liquids, biobutanol, and renewable feedstocks used for the</t>
  </si>
  <si>
    <t>on-site production of diesel and gasoline.</t>
  </si>
  <si>
    <t>   6/ Includes domestic sources of other blending components, other hydrocarbons, and ethers.</t>
  </si>
  <si>
    <t>   7/ Total crude supply plus other petroleum supply plus other non-petroleum supply.</t>
  </si>
  <si>
    <t>   8/ Includes ethane, natural gasoline, and refinery olefins.</t>
  </si>
  <si>
    <t>   9/ Includes ethanol and ethers blended into gasoline.</t>
  </si>
  <si>
    <t>   10/ E85 refers to a blend of 85 percent ethanol (renewable) and 15 percent motor gasoline (nonrenewable).  To address</t>
  </si>
  <si>
    <t>cold starting issues, the percentage of ethanol varies seasonally.  The annual average ethanol content of</t>
  </si>
  <si>
    <t>74 percent is used for this forecast.</t>
  </si>
  <si>
    <t>   11/ Includes only kerosene type.</t>
  </si>
  <si>
    <t>   12/ Includes distillate fuel oil from petroleum and biomass feedstocks.</t>
  </si>
  <si>
    <t>   13/ Includes kerosene, aviation gasoline, petrochemical feedstocks, lubricants, waxes, asphalt, road oil, still gas,</t>
  </si>
  <si>
    <t>special naphthas, petroleum coke, crude oil product supplied, methanol, and miscellaneous petroleum products.</t>
  </si>
  <si>
    <t>   14/ Includes energy for combined heat and power plants that have a non-regulatory status, and small on-site generating systems.</t>
  </si>
  <si>
    <t>   15/ Includes consumption of energy by electricity-only and combined heat and power plants that have a regulatory status.</t>
  </si>
  <si>
    <t>   16/ Balancing item. Includes unaccounted for supply, losses, and gains.</t>
  </si>
  <si>
    <t>   17/ End-of-year operable capacity.</t>
  </si>
  <si>
    <t>   18/ Rate is calculated by dividing the gross annual input to atmospheric crude oil distillation units by their</t>
  </si>
  <si>
    <t>operable refining capacity in barrels per calendar day.</t>
  </si>
  <si>
    <t>   - - = Not applicable.</t>
  </si>
  <si>
    <t>   Note:  Totals may not equal sum of components due to independent rounding.  Data for 2011 and 2012</t>
  </si>
  <si>
    <t>are model results and may differ from official EIA data reports.</t>
  </si>
  <si>
    <t>   Sources:  2011 and 2012 product supplied based on:  U.S. Energy Information Administration (EIA),</t>
  </si>
  <si>
    <t>Monthly Energy Review, DOE/EIA-0035(2013/09) (Washington, DC, September 2013).</t>
  </si>
  <si>
    <t>Other 2011 data:  EIA, Petroleum Supply Annual 2011, DOE/EIA-0340(2011)/1 (Washington, DC, August 2012).</t>
  </si>
  <si>
    <t>Other 2012 data:  EIA, Petroleum Supply Annual 2012, DOE/EIA-0340(2012)/1 (Washington, DC, September 2013).</t>
  </si>
  <si>
    <t>Projections:  EIA, AEO2014 National Energy Modeling System.</t>
  </si>
  <si>
    <t xml:space="preserve">    Renewable Sources 5,9/</t>
  </si>
  <si>
    <t xml:space="preserve">    Other 11/</t>
  </si>
  <si>
    <t xml:space="preserve">  Mercury (short tons)</t>
  </si>
  <si>
    <t xml:space="preserve">  Sulfur Dioxide (million short tons)</t>
  </si>
  <si>
    <t>   1/ Includes electricity-only and combined heat and power plants that have a regulatory status.</t>
  </si>
  <si>
    <t>   2/ Includes plants that only produce electricity and that have a regulatory status.</t>
  </si>
  <si>
    <t>   3/ Includes electricity generation from fuel cells.</t>
  </si>
  <si>
    <t>   4/ Includes non-biogenic municipal waste.  The U.S. Energy Information Administration estimates that in</t>
  </si>
  <si>
    <t>2012 approximately 7 billion kilowatthours of electricity were generated from a municipal waste stream containing</t>
  </si>
  <si>
    <t>petroleum-derived plastics and other non-renewable sources.  See U.S. Energy Information Administration, Methodology</t>
  </si>
  <si>
    <t>for Allocating Municipal Solid Waste to Biogenic and Non-Biogenic Energy (Washington, DC, May 2007).</t>
  </si>
  <si>
    <t>   5/ Includes conventional hydroelectric, geothermal, wood, wood waste, biogenic municipal waste, landfill gas,</t>
  </si>
  <si>
    <t>other biomass, solar, and wind power.</t>
  </si>
  <si>
    <t>   6/ Includes combined heat and power plants whose primary business is to sell electricity and heat to the public</t>
  </si>
  <si>
    <t>(i.e., those that report North American Industry Classification System code 22 or that have a regulatory status).</t>
  </si>
  <si>
    <t>   7/ Includes combined heat and power plants and electricity-only plants in the commercial and industrial sectors that have a non-regulatory</t>
  </si>
  <si>
    <t>status; and small on-site generating systems in the residential, commercial, and industrial sectors used primarily for own-use generation,</t>
  </si>
  <si>
    <t>but which may also sell some power to the grid.</t>
  </si>
  <si>
    <t>   8/ Includes refinery gas and still gas.</t>
  </si>
  <si>
    <t>   9/ Includes conventional hydroelectric, geothermal, wood, wood waste, all municipal waste, landfill gas,</t>
  </si>
  <si>
    <t>   10/ Includes batteries, chemicals, hydrogen, pitch, purchased steam, sulfur, and miscellaneous technologies.</t>
  </si>
  <si>
    <t>   11/ Includes pumped storage, non-biogenic municipal waste, refinery gas, still gas, batteries,</t>
  </si>
  <si>
    <t>chemicals, hydrogen, pitch, purchased steam, sulfur, and miscellaneous technologies.</t>
  </si>
  <si>
    <t>   Sources:  2011 and 2012 electric power sector generation; sales to the grid;</t>
  </si>
  <si>
    <t>net imports; electricity sales; and electricity end-use prices:  U.S. Energy Information Administration (EIA),</t>
  </si>
  <si>
    <t>Monthly Energy Review, DOE/EIA-0035(2013/09) (Washington, DC, September 2013) and supporting databases.  2011 and 2012 emissions:  U.S.</t>
  </si>
  <si>
    <t>Environmental Protection Agency, Clean Air Markets Database.  2011 and 2012 prices by service</t>
  </si>
  <si>
    <t>category:  EIA, AEO2014 National Energy Modeling System.  Projections:  EIA, AEO2014 National Energy Modeling</t>
  </si>
  <si>
    <t>System.</t>
  </si>
  <si>
    <t>Release date, early release: December 2013</t>
  </si>
  <si>
    <t>Next release date full report: February 2014</t>
  </si>
  <si>
    <t xml:space="preserve">   Wood and Other Biomass 4/</t>
  </si>
  <si>
    <t xml:space="preserve">   Biogenic Municipal Waste 6/</t>
  </si>
  <si>
    <t xml:space="preserve">   Wood and Other Biomass </t>
  </si>
  <si>
    <t xml:space="preserve">   Solar Photovoltaic 5/</t>
  </si>
  <si>
    <t>End-Use Sectors 7/</t>
  </si>
  <si>
    <t xml:space="preserve">   Municipal Solid Waste 8/</t>
  </si>
  <si>
    <t>   2/ Includes both hydrothermal resources (hot water and steam) and near-field enhanced geothermal systems (EGS).  Near-field EGS</t>
  </si>
  <si>
    <t>potential occurs on known hydrothermal sites, however this potential requires the addition of external fluids for electricity</t>
  </si>
  <si>
    <t>generation and is only available after 2025.</t>
  </si>
  <si>
    <t>   3/ Includes municipal waste, landfill gas, and municipal sewage sludge.  Incremental growth is assumed to be for landfill gas</t>
  </si>
  <si>
    <t>facilities.  All municipal waste is included, although a portion of the municipal waste stream contains petroleum-derived plastics</t>
  </si>
  <si>
    <t>and other non-renewable sources.</t>
  </si>
  <si>
    <t>   4/ Facilities co-firing biomass and coal are classified as coal.</t>
  </si>
  <si>
    <t>   5/ Does not include off-grid photovoltaics (PV).  Based on annual PV shipments from 1989 through 2012, EIA estimates</t>
  </si>
  <si>
    <t>that as much as 274 megawatts of remote electricity generation PV applications (i.e., off-grid power systems) were in service in</t>
  </si>
  <si>
    <t>2012, plus an additional 573 megawatts in communications, transportation, and assorted other non-grid-connected,</t>
  </si>
  <si>
    <t>specialized applications.  See U.S. Energy Information Administration, Annual Energy Review 2011, DOE/EIA-0384(2011)</t>
  </si>
  <si>
    <t>(Washington, DC, September 2012), Table 10.9 (annual PV shipments, 1989-2010), and Table 12 (U.S. photovoltaic module shipments</t>
  </si>
  <si>
    <t>by end use, sector, and type) in U.S. Energy Information Administration, Solar Photovoltaic Cell/Module Shipments report, 2011</t>
  </si>
  <si>
    <t>(Washington, DC, September 2012) and U.S. Energy Information Administration, Solar Photovoltaic Cell/Module Shipment Report, 2012</t>
  </si>
  <si>
    <t>(Washington, DC, December 2013).  The approach used to develop the estimate, based on shipment data, provides an upper estimate</t>
  </si>
  <si>
    <t>of the size of the PV stock, including both grid-based and off-grid PV.  It will overestimate the size of the stock, because</t>
  </si>
  <si>
    <t>shipments include a substantial number of units that are exported, and each year some of the PV units installed earlier will be</t>
  </si>
  <si>
    <t>retired from service or abandoned.</t>
  </si>
  <si>
    <t>   6/ Includes biogenic municipal waste, landfill gas, and municipal sewage sludge.  Incremental growth is assumed to be for</t>
  </si>
  <si>
    <t>landfill gas facilities.  Only biogenic municipal waste is included.  The U.S. Energy Information Administration estimates that in</t>
  </si>
  <si>
    <t>petroleum-derived plastics and other non-renewable sources.  See U.S. Energy Information Administration, Methodology for Allocating</t>
  </si>
  <si>
    <t>Municipal Solid Waste to Biogenic and Non-Biogenic Energy, (Washington, DC, May 2007).</t>
  </si>
  <si>
    <t>   8/ Includes municipal waste, landfill gas, and municipal sewage sludge.  All municipal waste is included, although a portion</t>
  </si>
  <si>
    <t>of the municipal waste stream contains petroleum-derived plastics and other non-renewable sources.</t>
  </si>
  <si>
    <t>   Sources:  2011 and 2012 capacity:  U.S. Energy Information Administration (EIA), Form EIA-860,</t>
  </si>
  <si>
    <t>"Annual Electric Generator Report" (preliminary).  2011 and 2012 generation:  EIA,</t>
  </si>
  <si>
    <t>Supply from Renewable Sources</t>
  </si>
  <si>
    <t xml:space="preserve">     Other 6/</t>
  </si>
  <si>
    <t xml:space="preserve"> Total Primary Supply 7/</t>
  </si>
  <si>
    <t xml:space="preserve">     E85 9/</t>
  </si>
  <si>
    <t xml:space="preserve">     Liquefied Petroleum Gases 8/</t>
  </si>
  <si>
    <t xml:space="preserve">     Motor Gasoline 10/</t>
  </si>
  <si>
    <t xml:space="preserve">     Jet Fuel 11/</t>
  </si>
  <si>
    <t xml:space="preserve">     Distillate Fuel Oil 12/</t>
  </si>
  <si>
    <t xml:space="preserve">     Other 13/</t>
  </si>
  <si>
    <t xml:space="preserve">     Industrial 14/</t>
  </si>
  <si>
    <t xml:space="preserve">     Electric Power 15/</t>
  </si>
  <si>
    <t xml:space="preserve"> Discrepancy 16/</t>
  </si>
  <si>
    <t xml:space="preserve"> Domestic Refinery Distillation Capacity 17/</t>
  </si>
  <si>
    <t xml:space="preserve"> Capacity Utilization Rate (percent) 18/</t>
  </si>
  <si>
    <t>Report #:DOE/EIA-0383(2014) Early Release</t>
  </si>
  <si>
    <t>BAU 2040</t>
  </si>
  <si>
    <t>2040 abs %</t>
  </si>
  <si>
    <t>2014-2040</t>
  </si>
  <si>
    <t>2030-2040</t>
  </si>
  <si>
    <t>4) Enter low carbon assumptions as percentage of total generation for 2020 and 2040. e.g. 24.6% in 2020 and 22.6% in 2030</t>
  </si>
  <si>
    <t>input year here</t>
  </si>
  <si>
    <t>2014-2020</t>
  </si>
  <si>
    <t>2014-</t>
  </si>
  <si>
    <t xml:space="preserve">2014- </t>
  </si>
  <si>
    <t>2011-</t>
  </si>
  <si>
    <t>2) Enter RPS percentage of total generation in 2020, 2030 and 2040: e.g. 20% of total generation in 2020, 30% in 2030, 40% in 2040</t>
  </si>
  <si>
    <t xml:space="preserve">    Small Hydro reference problem solved</t>
  </si>
  <si>
    <t>Increase BAU/year</t>
  </si>
  <si>
    <t>Increase RPS/year</t>
  </si>
  <si>
    <t>    Coal</t>
  </si>
  <si>
    <t>    Petroleum</t>
  </si>
  <si>
    <t>    Natural Gas</t>
  </si>
  <si>
    <t>    Nuclear</t>
  </si>
  <si>
    <t>    Pumped Storage/Other 12/</t>
  </si>
  <si>
    <t>    Renewable Sources 13/</t>
  </si>
  <si>
    <t>    Distributed Generation 5/</t>
  </si>
  <si>
    <t>      Total Generation</t>
  </si>
  <si>
    <t>Geothermal</t>
  </si>
  <si>
    <t>Hydro Conventional</t>
  </si>
  <si>
    <t>Solar</t>
  </si>
  <si>
    <t>Wood/Wood Waste</t>
  </si>
  <si>
    <t>MSW Biogenic/Landfill Gas</t>
  </si>
  <si>
    <t>Other Biomass</t>
  </si>
  <si>
    <t>    Conventional Hydropower</t>
  </si>
  <si>
    <t>    Geothermal 2/</t>
  </si>
  <si>
    <t>    Municipal Waste 8/</t>
  </si>
  <si>
    <t>    Wood and Other Biomass</t>
  </si>
  <si>
    <t>    Solar 4/</t>
  </si>
  <si>
    <t>    Wind</t>
  </si>
  <si>
    <t>      Total</t>
  </si>
  <si>
    <t>Energy</t>
  </si>
  <si>
    <t xml:space="preserve">    Other Gases</t>
  </si>
  <si>
    <t>Pumped Storage</t>
  </si>
  <si>
    <t>Other</t>
  </si>
  <si>
    <t xml:space="preserve">    Natural Ga0</t>
  </si>
  <si>
    <t>Wood/Wood Wa0te</t>
  </si>
  <si>
    <t>Total Electricity Generation by Fuel from EIA for South</t>
  </si>
  <si>
    <t>Generation from EIA South region from EIA</t>
  </si>
  <si>
    <t>Energy source</t>
  </si>
  <si>
    <t>MSW Biogenic/Landfill Ga0</t>
  </si>
  <si>
    <t>Other Biomass0</t>
  </si>
  <si>
    <t>Fossil</t>
  </si>
  <si>
    <t xml:space="preserve">    Other Gase0</t>
  </si>
  <si>
    <t>Pumped storage</t>
  </si>
  <si>
    <t>Proportion for Arkansas</t>
  </si>
  <si>
    <t>Total Electricity Generation by Fuel by computation for Arkansas</t>
  </si>
  <si>
    <t>Contribution of Arkansas</t>
  </si>
  <si>
    <t>Energy Source</t>
  </si>
  <si>
    <t>Solar PV 2015</t>
  </si>
  <si>
    <t>Solar Foundation 2014</t>
  </si>
  <si>
    <t>CIM (person-years/
MWp)</t>
  </si>
  <si>
    <t>O&amp;M (jobs/
MWp)</t>
  </si>
  <si>
    <t>O&amp;M and fuel process-
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</si>
</sst>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_(* #,##0_);_(* \(#,##0\);_(* &quot;-&quot;??_);_(@_)"/>
    <numFmt numFmtId="166" formatCode="0.00_)"/>
    <numFmt numFmtId="167" formatCode="0.0%"/>
    <numFmt numFmtId="168" formatCode="0_)"/>
    <numFmt numFmtId="169" formatCode="0.0_)"/>
    <numFmt numFmtId="170" formatCode="_(* #,##0.0000_);_(* \(#,##0.0000\);_(* &quot;-&quot;??_);_(@_)"/>
    <numFmt numFmtId="171" formatCode="0.0"/>
    <numFmt numFmtId="172" formatCode="0.000"/>
    <numFmt numFmtId="173" formatCode="0.000%"/>
    <numFmt numFmtId="174" formatCode="0.0000%"/>
    <numFmt numFmtId="175" formatCode="_(* #,##0.000_);_(* \(#,##0.000\);_(* &quot;-&quot;??_);_(@_)"/>
    <numFmt numFmtId="176" formatCode="#,##0.00_);\(#,##0.00\)"/>
    <numFmt numFmtId="177" formatCode="#,##0.000_);\(#,##0.000\)"/>
    <numFmt numFmtId="178" formatCode="#,##0.0000_);\(#,##0.0000\)"/>
  </numFmts>
  <fonts count="51" x14ac:knownFonts="1">
    <font>
      <sz val="11"/>
      <color theme="1"/>
      <name val="Calibri"/>
      <family val="2"/>
      <scheme val="minor"/>
    </font>
    <font>
      <sz val="10"/>
      <name val="Arial"/>
      <family val="2"/>
    </font>
    <font>
      <b/>
      <sz val="12"/>
      <name val="Helv"/>
    </font>
    <font>
      <sz val="12"/>
      <name val="Helv"/>
    </font>
    <font>
      <sz val="8"/>
      <color indexed="8"/>
      <name val="Arial"/>
      <family val="2"/>
    </font>
    <font>
      <sz val="9"/>
      <color indexed="81"/>
      <name val="Tahoma"/>
      <family val="2"/>
    </font>
    <font>
      <b/>
      <sz val="9"/>
      <color indexed="81"/>
      <name val="Tahoma"/>
      <family val="2"/>
    </font>
    <font>
      <sz val="11"/>
      <name val="Helv"/>
    </font>
    <font>
      <sz val="10"/>
      <name val="Helv"/>
    </font>
    <font>
      <b/>
      <sz val="10"/>
      <name val="Helv"/>
    </font>
    <font>
      <i/>
      <sz val="12"/>
      <name val="Helv"/>
    </font>
    <font>
      <b/>
      <i/>
      <sz val="12"/>
      <name val="Helv"/>
    </font>
    <font>
      <sz val="10"/>
      <name val="Arial"/>
      <family val="2"/>
    </font>
    <font>
      <b/>
      <sz val="10"/>
      <name val="Arial"/>
      <family val="2"/>
    </font>
    <font>
      <sz val="9"/>
      <name val="Arial"/>
      <family val="2"/>
    </font>
    <font>
      <b/>
      <sz val="9"/>
      <name val="Arial"/>
      <family val="2"/>
    </font>
    <font>
      <sz val="10"/>
      <name val="Arial"/>
      <family val="2"/>
    </font>
    <font>
      <u/>
      <sz val="10"/>
      <color indexed="12"/>
      <name val="Arial"/>
      <family val="2"/>
    </font>
    <font>
      <sz val="10"/>
      <color indexed="8"/>
      <name val="Calibri"/>
      <family val="2"/>
    </font>
    <font>
      <i/>
      <sz val="10"/>
      <color indexed="8"/>
      <name val="Calibri"/>
      <family val="2"/>
    </font>
    <font>
      <sz val="10"/>
      <color indexed="8"/>
      <name val="Times"/>
    </font>
    <font>
      <sz val="11"/>
      <color theme="1"/>
      <name val="Calibri"/>
      <family val="2"/>
      <scheme val="minor"/>
    </font>
    <font>
      <b/>
      <sz val="11"/>
      <color theme="1"/>
      <name val="Calibri"/>
      <family val="2"/>
      <scheme val="minor"/>
    </font>
    <font>
      <sz val="8"/>
      <color theme="1"/>
      <name val="Calibri"/>
      <family val="2"/>
      <scheme val="minor"/>
    </font>
    <font>
      <sz val="11"/>
      <name val="Calibri"/>
      <family val="2"/>
      <scheme val="minor"/>
    </font>
    <font>
      <b/>
      <sz val="12"/>
      <color rgb="FFFF0000"/>
      <name val="Helv"/>
    </font>
    <font>
      <sz val="9"/>
      <color theme="1"/>
      <name val="Calibri"/>
      <family val="2"/>
      <scheme val="minor"/>
    </font>
    <font>
      <b/>
      <sz val="10"/>
      <color rgb="FFFF0000"/>
      <name val="Calibri"/>
      <family val="2"/>
      <scheme val="minor"/>
    </font>
    <font>
      <sz val="10"/>
      <color theme="1"/>
      <name val="Calibri"/>
      <family val="2"/>
      <scheme val="minor"/>
    </font>
    <font>
      <b/>
      <sz val="10"/>
      <name val="Calibri"/>
      <family val="2"/>
      <scheme val="minor"/>
    </font>
    <font>
      <b/>
      <sz val="11"/>
      <name val="Calibri"/>
      <family val="2"/>
      <scheme val="minor"/>
    </font>
    <font>
      <i/>
      <sz val="11"/>
      <color theme="1"/>
      <name val="Calibri"/>
      <family val="2"/>
      <scheme val="minor"/>
    </font>
    <font>
      <sz val="10"/>
      <color rgb="FFFF0000"/>
      <name val="Calibri"/>
      <family val="2"/>
      <scheme val="minor"/>
    </font>
    <font>
      <b/>
      <sz val="10"/>
      <color theme="1"/>
      <name val="Calibri"/>
      <family val="2"/>
      <scheme val="minor"/>
    </font>
    <font>
      <b/>
      <i/>
      <sz val="11"/>
      <color theme="1"/>
      <name val="Calibri"/>
      <family val="2"/>
      <scheme val="minor"/>
    </font>
    <font>
      <b/>
      <sz val="11"/>
      <color rgb="FFFF0000"/>
      <name val="Calibri"/>
      <family val="2"/>
      <scheme val="minor"/>
    </font>
    <font>
      <sz val="10"/>
      <name val="Calibri"/>
      <family val="2"/>
      <scheme val="minor"/>
    </font>
    <font>
      <i/>
      <sz val="12"/>
      <color rgb="FFFF0000"/>
      <name val="Helv"/>
    </font>
    <font>
      <i/>
      <sz val="10"/>
      <color rgb="FFFF0000"/>
      <name val="Verdana"/>
      <family val="2"/>
    </font>
    <font>
      <strike/>
      <sz val="11"/>
      <color theme="1"/>
      <name val="Calibri"/>
      <family val="2"/>
      <scheme val="minor"/>
    </font>
    <font>
      <i/>
      <sz val="11"/>
      <name val="Calibri"/>
      <family val="2"/>
      <scheme val="minor"/>
    </font>
    <font>
      <b/>
      <i/>
      <sz val="11"/>
      <name val="Calibri"/>
      <family val="2"/>
      <scheme val="minor"/>
    </font>
    <font>
      <i/>
      <sz val="11"/>
      <color rgb="FFFF0000"/>
      <name val="Calibri"/>
      <family val="2"/>
      <scheme val="minor"/>
    </font>
    <font>
      <sz val="10"/>
      <color theme="1"/>
      <name val="Arial"/>
      <family val="2"/>
    </font>
    <font>
      <b/>
      <sz val="10"/>
      <color theme="1"/>
      <name val="Arial"/>
      <family val="2"/>
    </font>
    <font>
      <b/>
      <sz val="9"/>
      <color indexed="81"/>
      <name val="Calibri"/>
      <family val="2"/>
    </font>
    <font>
      <sz val="9"/>
      <color indexed="81"/>
      <name val="Calibri"/>
      <family val="2"/>
    </font>
    <font>
      <u/>
      <sz val="11"/>
      <color theme="10"/>
      <name val="Calibri"/>
      <family val="2"/>
      <scheme val="minor"/>
    </font>
    <font>
      <u/>
      <sz val="11"/>
      <color theme="11"/>
      <name val="Calibri"/>
      <family val="2"/>
      <scheme val="minor"/>
    </font>
    <font>
      <sz val="10"/>
      <color theme="1"/>
      <name val="Helv"/>
    </font>
    <font>
      <b/>
      <sz val="10"/>
      <color theme="1"/>
      <name val="Helv"/>
    </font>
  </fonts>
  <fills count="10">
    <fill>
      <patternFill patternType="none"/>
    </fill>
    <fill>
      <patternFill patternType="gray125"/>
    </fill>
    <fill>
      <patternFill patternType="solid">
        <fgColor rgb="FFFFFF00"/>
        <bgColor indexed="64"/>
      </patternFill>
    </fill>
    <fill>
      <patternFill patternType="solid">
        <fgColor rgb="FF99FF33"/>
        <bgColor indexed="64"/>
      </patternFill>
    </fill>
    <fill>
      <patternFill patternType="solid">
        <fgColor theme="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s>
  <borders count="5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top style="thin">
        <color rgb="FF000000"/>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bottom style="double">
        <color auto="1"/>
      </bottom>
      <diagonal/>
    </border>
    <border>
      <left/>
      <right/>
      <top/>
      <bottom style="double">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right/>
      <top style="thin">
        <color theme="0" tint="-0.34998626667073579"/>
      </top>
      <bottom style="dashed">
        <color theme="0" tint="-0.34998626667073579"/>
      </bottom>
      <diagonal/>
    </border>
    <border>
      <left/>
      <right style="thin">
        <color rgb="FF000000"/>
      </right>
      <top/>
      <bottom/>
      <diagonal/>
    </border>
    <border>
      <left/>
      <right/>
      <top style="dashed">
        <color theme="0" tint="-0.34998626667073579"/>
      </top>
      <bottom style="dashed">
        <color theme="0" tint="-0.34998626667073579"/>
      </bottom>
      <diagonal/>
    </border>
    <border>
      <left/>
      <right/>
      <top style="thin">
        <color theme="0" tint="-0.34998626667073579"/>
      </top>
      <bottom style="thin">
        <color theme="0" tint="-0.34998626667073579"/>
      </bottom>
      <diagonal/>
    </border>
    <border>
      <left/>
      <right/>
      <top/>
      <bottom style="dashed">
        <color theme="0" tint="-0.34998626667073579"/>
      </bottom>
      <diagonal/>
    </border>
    <border>
      <left style="thin">
        <color auto="1"/>
      </left>
      <right/>
      <top/>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style="thin">
        <color auto="1"/>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s>
  <cellStyleXfs count="30">
    <xf numFmtId="0" fontId="0" fillId="0" borderId="0"/>
    <xf numFmtId="164" fontId="21"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12" fillId="0" borderId="0"/>
    <xf numFmtId="0" fontId="1" fillId="0" borderId="0"/>
    <xf numFmtId="0" fontId="1" fillId="0" borderId="0"/>
    <xf numFmtId="0" fontId="16" fillId="0" borderId="0"/>
    <xf numFmtId="0" fontId="1" fillId="0" borderId="0"/>
    <xf numFmtId="9" fontId="2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570">
    <xf numFmtId="0" fontId="0" fillId="0" borderId="0" xfId="0"/>
    <xf numFmtId="0" fontId="22" fillId="0" borderId="0" xfId="0" applyFont="1"/>
    <xf numFmtId="0" fontId="0" fillId="0" borderId="0" xfId="0" applyAlignment="1">
      <alignment horizontal="center"/>
    </xf>
    <xf numFmtId="165" fontId="21" fillId="0" borderId="0" xfId="1" applyNumberFormat="1" applyFont="1" applyAlignment="1">
      <alignment horizontal="center"/>
    </xf>
    <xf numFmtId="0" fontId="0" fillId="0" borderId="0" xfId="0" applyAlignment="1">
      <alignment horizontal="left"/>
    </xf>
    <xf numFmtId="0" fontId="3" fillId="0" borderId="0" xfId="4"/>
    <xf numFmtId="0" fontId="3" fillId="0" borderId="0" xfId="4" applyAlignment="1" applyProtection="1">
      <alignment horizontal="left"/>
    </xf>
    <xf numFmtId="0" fontId="23" fillId="0" borderId="0" xfId="0" applyFont="1" applyAlignment="1">
      <alignment horizontal="center"/>
    </xf>
    <xf numFmtId="0" fontId="7" fillId="0" borderId="0" xfId="4" applyFont="1" applyAlignment="1" applyProtection="1">
      <alignment horizontal="left"/>
    </xf>
    <xf numFmtId="0" fontId="8" fillId="0" borderId="0" xfId="4" applyFont="1" applyAlignment="1" applyProtection="1">
      <alignment horizontal="left"/>
    </xf>
    <xf numFmtId="0" fontId="8" fillId="0" borderId="0" xfId="4" applyFont="1" applyFill="1" applyAlignment="1" applyProtection="1">
      <alignment horizontal="left"/>
    </xf>
    <xf numFmtId="0" fontId="9" fillId="0" borderId="0" xfId="4" applyFont="1" applyFill="1" applyAlignment="1" applyProtection="1">
      <alignment horizontal="left"/>
    </xf>
    <xf numFmtId="2" fontId="0" fillId="0" borderId="0" xfId="0" applyNumberFormat="1" applyAlignment="1">
      <alignment horizontal="center"/>
    </xf>
    <xf numFmtId="0" fontId="22" fillId="0" borderId="0" xfId="0" applyFont="1" applyAlignment="1">
      <alignment horizontal="center"/>
    </xf>
    <xf numFmtId="165" fontId="0" fillId="0" borderId="0" xfId="0" applyNumberFormat="1" applyAlignment="1">
      <alignment horizontal="center"/>
    </xf>
    <xf numFmtId="165" fontId="22" fillId="0" borderId="0" xfId="0" applyNumberFormat="1" applyFont="1" applyAlignment="1">
      <alignment horizontal="center"/>
    </xf>
    <xf numFmtId="1" fontId="0" fillId="0" borderId="0" xfId="0" applyNumberFormat="1" applyAlignment="1">
      <alignment horizontal="center"/>
    </xf>
    <xf numFmtId="0" fontId="2" fillId="0" borderId="0" xfId="4" applyFont="1" applyAlignment="1" applyProtection="1">
      <alignment horizontal="left"/>
    </xf>
    <xf numFmtId="0" fontId="2" fillId="0" borderId="0" xfId="4" applyFont="1"/>
    <xf numFmtId="165" fontId="0" fillId="0" borderId="0" xfId="0" applyNumberFormat="1" applyFont="1" applyAlignment="1">
      <alignment horizontal="center"/>
    </xf>
    <xf numFmtId="0" fontId="0" fillId="0" borderId="0" xfId="0" applyFont="1"/>
    <xf numFmtId="165" fontId="22" fillId="0" borderId="0" xfId="1" applyNumberFormat="1" applyFont="1" applyAlignment="1">
      <alignment horizontal="center"/>
    </xf>
    <xf numFmtId="167" fontId="22" fillId="0" borderId="0" xfId="10" applyNumberFormat="1" applyFont="1" applyAlignment="1">
      <alignment horizontal="center"/>
    </xf>
    <xf numFmtId="167" fontId="21" fillId="0" borderId="0" xfId="10" applyNumberFormat="1" applyFont="1" applyAlignment="1">
      <alignment horizontal="center"/>
    </xf>
    <xf numFmtId="164" fontId="22" fillId="0" borderId="0" xfId="0" applyNumberFormat="1" applyFont="1"/>
    <xf numFmtId="170" fontId="22" fillId="0" borderId="0" xfId="1" applyNumberFormat="1" applyFont="1" applyAlignment="1">
      <alignment horizontal="center"/>
    </xf>
    <xf numFmtId="2" fontId="22" fillId="0" borderId="0" xfId="0" applyNumberFormat="1" applyFont="1" applyAlignment="1">
      <alignment horizontal="center"/>
    </xf>
    <xf numFmtId="0" fontId="7" fillId="0" borderId="0" xfId="4" applyFont="1" applyFill="1" applyAlignment="1" applyProtection="1">
      <alignment horizontal="left"/>
    </xf>
    <xf numFmtId="0" fontId="23" fillId="0" borderId="0" xfId="0" applyFont="1" applyBorder="1" applyAlignment="1">
      <alignment horizontal="left"/>
    </xf>
    <xf numFmtId="9" fontId="0" fillId="0" borderId="0" xfId="0" applyNumberFormat="1"/>
    <xf numFmtId="164" fontId="0" fillId="0" borderId="0" xfId="0" applyNumberFormat="1"/>
    <xf numFmtId="165" fontId="0" fillId="0" borderId="0" xfId="0" applyNumberFormat="1"/>
    <xf numFmtId="0" fontId="22" fillId="0" borderId="0" xfId="0" applyFont="1" applyAlignment="1">
      <alignment horizontal="left"/>
    </xf>
    <xf numFmtId="0" fontId="0" fillId="0" borderId="0" xfId="0" applyFont="1" applyAlignment="1">
      <alignment horizontal="center"/>
    </xf>
    <xf numFmtId="0" fontId="9" fillId="0" borderId="0" xfId="4" applyFont="1" applyAlignment="1" applyProtection="1">
      <alignment horizontal="center"/>
    </xf>
    <xf numFmtId="0" fontId="8" fillId="0" borderId="0" xfId="4" applyFont="1" applyAlignment="1" applyProtection="1">
      <alignment horizontal="center"/>
    </xf>
    <xf numFmtId="0" fontId="9" fillId="0" borderId="0" xfId="4" applyFont="1" applyFill="1" applyAlignment="1" applyProtection="1">
      <alignment horizontal="center"/>
    </xf>
    <xf numFmtId="0" fontId="8" fillId="0" borderId="0" xfId="4" applyFont="1" applyFill="1" applyAlignment="1" applyProtection="1">
      <alignment horizontal="center"/>
    </xf>
    <xf numFmtId="0" fontId="7" fillId="0" borderId="0" xfId="4" applyFont="1" applyAlignment="1" applyProtection="1">
      <alignment horizontal="center"/>
    </xf>
    <xf numFmtId="0" fontId="7" fillId="0" borderId="0" xfId="4" applyFont="1" applyFill="1" applyAlignment="1" applyProtection="1">
      <alignment horizontal="center"/>
    </xf>
    <xf numFmtId="165" fontId="21" fillId="0" borderId="0" xfId="1" applyNumberFormat="1" applyFont="1" applyAlignment="1">
      <alignment horizontal="center"/>
    </xf>
    <xf numFmtId="1" fontId="0" fillId="2" borderId="1" xfId="0" applyNumberFormat="1" applyFill="1" applyBorder="1" applyAlignment="1">
      <alignment horizontal="center"/>
    </xf>
    <xf numFmtId="2" fontId="0" fillId="2" borderId="1" xfId="0" applyNumberFormat="1" applyFill="1" applyBorder="1" applyAlignment="1">
      <alignment horizontal="center"/>
    </xf>
    <xf numFmtId="0" fontId="22" fillId="0" borderId="0" xfId="0" applyFont="1" applyFill="1" applyBorder="1" applyAlignment="1">
      <alignment horizontal="left"/>
    </xf>
    <xf numFmtId="9" fontId="22" fillId="0" borderId="0" xfId="0" applyNumberFormat="1" applyFont="1"/>
    <xf numFmtId="0" fontId="0" fillId="3" borderId="2" xfId="0" applyFill="1" applyBorder="1"/>
    <xf numFmtId="0" fontId="0" fillId="3" borderId="3" xfId="0" applyFill="1" applyBorder="1"/>
    <xf numFmtId="0" fontId="0" fillId="3" borderId="4" xfId="0" applyFill="1" applyBorder="1"/>
    <xf numFmtId="164" fontId="0" fillId="0" borderId="0" xfId="0" applyNumberFormat="1" applyAlignment="1">
      <alignment horizontal="center"/>
    </xf>
    <xf numFmtId="171" fontId="0" fillId="2" borderId="1" xfId="0" applyNumberFormat="1" applyFill="1" applyBorder="1" applyAlignment="1">
      <alignment horizontal="center"/>
    </xf>
    <xf numFmtId="165" fontId="21" fillId="0" borderId="0" xfId="1" applyNumberFormat="1" applyFont="1" applyAlignment="1">
      <alignment horizontal="center"/>
    </xf>
    <xf numFmtId="172" fontId="2" fillId="0" borderId="0" xfId="4" applyNumberFormat="1" applyFont="1"/>
    <xf numFmtId="171" fontId="0" fillId="0" borderId="0" xfId="0" applyNumberFormat="1" applyAlignment="1">
      <alignment horizontal="center"/>
    </xf>
    <xf numFmtId="0" fontId="14" fillId="0" borderId="0" xfId="7" applyFont="1" applyAlignment="1">
      <alignment horizontal="right"/>
    </xf>
    <xf numFmtId="0" fontId="14" fillId="0" borderId="5" xfId="7" applyFont="1" applyBorder="1" applyAlignment="1">
      <alignment horizontal="right"/>
    </xf>
    <xf numFmtId="0" fontId="14" fillId="0" borderId="0" xfId="7" applyFont="1" applyAlignment="1">
      <alignment horizontal="left"/>
    </xf>
    <xf numFmtId="0" fontId="14" fillId="0" borderId="6" xfId="7" applyFont="1" applyBorder="1" applyAlignment="1">
      <alignment horizontal="right"/>
    </xf>
    <xf numFmtId="0" fontId="14" fillId="0" borderId="7" xfId="7" applyFont="1" applyBorder="1" applyAlignment="1">
      <alignment horizontal="right"/>
    </xf>
    <xf numFmtId="0" fontId="14" fillId="0" borderId="7" xfId="7" applyFont="1" applyBorder="1" applyAlignment="1">
      <alignment horizontal="left"/>
    </xf>
    <xf numFmtId="3" fontId="14" fillId="0" borderId="5" xfId="7" applyNumberFormat="1" applyFont="1" applyBorder="1" applyAlignment="1">
      <alignment horizontal="right"/>
    </xf>
    <xf numFmtId="3" fontId="14" fillId="0" borderId="0" xfId="7" applyNumberFormat="1" applyFont="1" applyAlignment="1">
      <alignment horizontal="right"/>
    </xf>
    <xf numFmtId="3" fontId="14" fillId="0" borderId="0" xfId="7" applyNumberFormat="1" applyFont="1" applyAlignment="1">
      <alignment horizontal="left"/>
    </xf>
    <xf numFmtId="165" fontId="14" fillId="0" borderId="0" xfId="2" applyNumberFormat="1" applyFont="1" applyAlignment="1">
      <alignment horizontal="right"/>
    </xf>
    <xf numFmtId="10" fontId="14" fillId="0" borderId="0" xfId="7" applyNumberFormat="1" applyFont="1" applyAlignment="1">
      <alignment horizontal="right"/>
    </xf>
    <xf numFmtId="3" fontId="14" fillId="0" borderId="0" xfId="7" applyNumberFormat="1" applyFont="1" applyBorder="1" applyAlignment="1">
      <alignment horizontal="right"/>
    </xf>
    <xf numFmtId="10" fontId="14" fillId="0" borderId="0" xfId="11" applyNumberFormat="1" applyFont="1" applyAlignment="1">
      <alignment horizontal="right"/>
    </xf>
    <xf numFmtId="167" fontId="14" fillId="0" borderId="0" xfId="11" applyNumberFormat="1" applyFont="1" applyAlignment="1">
      <alignment horizontal="right"/>
    </xf>
    <xf numFmtId="0" fontId="15" fillId="0" borderId="0" xfId="7" applyFont="1" applyAlignment="1">
      <alignment horizontal="right"/>
    </xf>
    <xf numFmtId="0" fontId="15" fillId="0" borderId="5" xfId="7" applyFont="1" applyBorder="1" applyAlignment="1">
      <alignment horizontal="right"/>
    </xf>
    <xf numFmtId="3" fontId="15" fillId="0" borderId="5" xfId="7" applyNumberFormat="1" applyFont="1" applyBorder="1" applyAlignment="1">
      <alignment horizontal="right"/>
    </xf>
    <xf numFmtId="3" fontId="15" fillId="0" borderId="0" xfId="7" applyNumberFormat="1" applyFont="1" applyAlignment="1">
      <alignment horizontal="right"/>
    </xf>
    <xf numFmtId="0" fontId="15" fillId="0" borderId="0" xfId="7" applyFont="1" applyAlignment="1">
      <alignment horizontal="left"/>
    </xf>
    <xf numFmtId="9" fontId="14" fillId="0" borderId="0" xfId="7" applyNumberFormat="1" applyFont="1" applyAlignment="1">
      <alignment horizontal="right"/>
    </xf>
    <xf numFmtId="0" fontId="14" fillId="2" borderId="7" xfId="7" applyFont="1" applyFill="1" applyBorder="1" applyAlignment="1">
      <alignment horizontal="left"/>
    </xf>
    <xf numFmtId="0" fontId="14" fillId="2" borderId="7" xfId="7" applyFont="1" applyFill="1" applyBorder="1" applyAlignment="1">
      <alignment horizontal="right"/>
    </xf>
    <xf numFmtId="0" fontId="13" fillId="0" borderId="0" xfId="7" applyFont="1" applyFill="1" applyAlignment="1">
      <alignment horizontal="left"/>
    </xf>
    <xf numFmtId="0" fontId="1" fillId="0" borderId="0" xfId="7" applyFont="1" applyFill="1" applyAlignment="1">
      <alignment horizontal="left"/>
    </xf>
    <xf numFmtId="165" fontId="22" fillId="0" borderId="0" xfId="1" applyNumberFormat="1" applyFont="1"/>
    <xf numFmtId="0" fontId="3" fillId="2" borderId="0" xfId="4" applyFill="1"/>
    <xf numFmtId="165" fontId="21" fillId="0" borderId="0" xfId="1" applyNumberFormat="1" applyFont="1" applyAlignment="1">
      <alignment horizontal="center"/>
    </xf>
    <xf numFmtId="165" fontId="22" fillId="0" borderId="0" xfId="0" applyNumberFormat="1" applyFont="1"/>
    <xf numFmtId="0" fontId="1" fillId="0" borderId="0" xfId="6" applyFont="1"/>
    <xf numFmtId="167" fontId="21" fillId="0" borderId="0" xfId="10" applyNumberFormat="1" applyFont="1" applyAlignment="1">
      <alignment horizontal="center"/>
    </xf>
    <xf numFmtId="165" fontId="21" fillId="0" borderId="0" xfId="1" applyNumberFormat="1" applyFont="1" applyAlignment="1">
      <alignment horizontal="center"/>
    </xf>
    <xf numFmtId="2" fontId="24" fillId="2" borderId="1" xfId="0" applyNumberFormat="1" applyFont="1" applyFill="1" applyBorder="1" applyAlignment="1">
      <alignment horizontal="center"/>
    </xf>
    <xf numFmtId="10" fontId="22" fillId="0" borderId="0" xfId="10" applyNumberFormat="1" applyFont="1" applyAlignment="1">
      <alignment horizontal="center"/>
    </xf>
    <xf numFmtId="165" fontId="21" fillId="3" borderId="8" xfId="1" applyNumberFormat="1" applyFont="1" applyFill="1" applyBorder="1" applyAlignment="1">
      <alignment horizontal="center"/>
    </xf>
    <xf numFmtId="165" fontId="21" fillId="3" borderId="9" xfId="1" applyNumberFormat="1" applyFont="1" applyFill="1" applyBorder="1" applyAlignment="1">
      <alignment horizontal="center"/>
    </xf>
    <xf numFmtId="165" fontId="21" fillId="3" borderId="10" xfId="1" applyNumberFormat="1" applyFont="1" applyFill="1" applyBorder="1" applyAlignment="1">
      <alignment horizontal="center"/>
    </xf>
    <xf numFmtId="0" fontId="0" fillId="0" borderId="0" xfId="0" applyAlignment="1">
      <alignment horizontal="center"/>
    </xf>
    <xf numFmtId="0" fontId="25" fillId="0" borderId="0" xfId="4" applyFont="1"/>
    <xf numFmtId="167" fontId="21" fillId="0" borderId="0" xfId="10" applyNumberFormat="1" applyFont="1" applyAlignment="1">
      <alignment horizontal="center"/>
    </xf>
    <xf numFmtId="0" fontId="26" fillId="0" borderId="0" xfId="0" applyFont="1" applyAlignment="1">
      <alignment horizontal="left"/>
    </xf>
    <xf numFmtId="0" fontId="0" fillId="0" borderId="0" xfId="0" applyFill="1" applyBorder="1" applyAlignment="1">
      <alignment horizontal="left"/>
    </xf>
    <xf numFmtId="0" fontId="0" fillId="0" borderId="0" xfId="0" applyAlignment="1">
      <alignment horizontal="center"/>
    </xf>
    <xf numFmtId="0" fontId="0" fillId="0" borderId="0" xfId="0" applyFill="1" applyAlignment="1">
      <alignment horizontal="left"/>
    </xf>
    <xf numFmtId="9" fontId="27" fillId="0" borderId="0" xfId="0" applyNumberFormat="1" applyFont="1" applyFill="1" applyAlignment="1">
      <alignment horizontal="left"/>
    </xf>
    <xf numFmtId="10" fontId="0" fillId="0" borderId="0" xfId="0" applyNumberFormat="1" applyFill="1" applyBorder="1" applyAlignment="1">
      <alignment horizontal="center"/>
    </xf>
    <xf numFmtId="167" fontId="27" fillId="0" borderId="0" xfId="0" applyNumberFormat="1" applyFont="1" applyFill="1" applyAlignment="1">
      <alignment horizontal="left"/>
    </xf>
    <xf numFmtId="165" fontId="0" fillId="0" borderId="0" xfId="0" applyNumberFormat="1" applyFont="1"/>
    <xf numFmtId="0" fontId="0" fillId="0" borderId="0" xfId="0" applyAlignment="1">
      <alignment horizontal="center"/>
    </xf>
    <xf numFmtId="0" fontId="0" fillId="0" borderId="0" xfId="0" applyAlignment="1">
      <alignment horizontal="center"/>
    </xf>
    <xf numFmtId="165" fontId="21" fillId="0" borderId="0" xfId="1" applyNumberFormat="1" applyFont="1"/>
    <xf numFmtId="167" fontId="27" fillId="0" borderId="0" xfId="0" applyNumberFormat="1" applyFont="1" applyAlignment="1">
      <alignment horizontal="center"/>
    </xf>
    <xf numFmtId="0" fontId="28" fillId="0" borderId="0" xfId="0" applyFont="1" applyAlignment="1">
      <alignment horizontal="center"/>
    </xf>
    <xf numFmtId="167" fontId="28" fillId="0" borderId="0" xfId="10" applyNumberFormat="1" applyFont="1" applyAlignment="1">
      <alignment horizontal="center"/>
    </xf>
    <xf numFmtId="0" fontId="28" fillId="0" borderId="0" xfId="0" applyFont="1" applyAlignment="1">
      <alignment horizontal="left"/>
    </xf>
    <xf numFmtId="167" fontId="29" fillId="0" borderId="0" xfId="0" applyNumberFormat="1" applyFont="1" applyAlignment="1">
      <alignment horizontal="center"/>
    </xf>
    <xf numFmtId="0" fontId="30" fillId="0" borderId="0" xfId="0" applyFont="1"/>
    <xf numFmtId="165" fontId="21" fillId="0" borderId="0" xfId="1" applyNumberFormat="1" applyFont="1" applyFill="1" applyBorder="1" applyAlignment="1">
      <alignment horizontal="center"/>
    </xf>
    <xf numFmtId="0" fontId="0" fillId="0" borderId="0" xfId="0" applyAlignment="1">
      <alignment horizontal="center"/>
    </xf>
    <xf numFmtId="165" fontId="21" fillId="0" borderId="0" xfId="1" applyNumberFormat="1" applyFont="1"/>
    <xf numFmtId="0" fontId="0" fillId="0" borderId="0" xfId="0" applyAlignment="1">
      <alignment horizontal="center"/>
    </xf>
    <xf numFmtId="0" fontId="24" fillId="0" borderId="0" xfId="0" applyFont="1"/>
    <xf numFmtId="9" fontId="21" fillId="0" borderId="0" xfId="10" applyFont="1" applyAlignment="1">
      <alignment horizontal="center"/>
    </xf>
    <xf numFmtId="10" fontId="21" fillId="0" borderId="0" xfId="10" applyNumberFormat="1" applyFont="1"/>
    <xf numFmtId="10" fontId="21" fillId="0" borderId="0" xfId="10" applyNumberFormat="1" applyFont="1" applyAlignment="1">
      <alignment horizontal="center"/>
    </xf>
    <xf numFmtId="0" fontId="22" fillId="2" borderId="11" xfId="0" applyFont="1" applyFill="1" applyBorder="1" applyAlignment="1">
      <alignment horizontal="left"/>
    </xf>
    <xf numFmtId="165" fontId="21" fillId="0" borderId="0" xfId="1" applyNumberFormat="1" applyFont="1" applyAlignment="1">
      <alignment horizontal="center"/>
    </xf>
    <xf numFmtId="0" fontId="0" fillId="0" borderId="0" xfId="0" applyAlignment="1">
      <alignment horizontal="center"/>
    </xf>
    <xf numFmtId="173" fontId="21" fillId="0" borderId="0" xfId="10" applyNumberFormat="1" applyFont="1"/>
    <xf numFmtId="10" fontId="0" fillId="0" borderId="0" xfId="0" applyNumberFormat="1" applyFont="1"/>
    <xf numFmtId="9" fontId="0" fillId="0" borderId="0" xfId="0" applyNumberFormat="1" applyFont="1"/>
    <xf numFmtId="10" fontId="0" fillId="0" borderId="0" xfId="0" applyNumberFormat="1"/>
    <xf numFmtId="0" fontId="0" fillId="2" borderId="12" xfId="0" applyFill="1" applyBorder="1"/>
    <xf numFmtId="167" fontId="21" fillId="0" borderId="0" xfId="10" applyNumberFormat="1" applyFont="1" applyAlignment="1">
      <alignment horizontal="center"/>
    </xf>
    <xf numFmtId="10" fontId="28" fillId="0" borderId="0" xfId="10" applyNumberFormat="1" applyFont="1" applyAlignment="1">
      <alignment horizontal="center"/>
    </xf>
    <xf numFmtId="165" fontId="31" fillId="0" borderId="0" xfId="1" applyNumberFormat="1" applyFont="1"/>
    <xf numFmtId="165" fontId="31" fillId="0" borderId="0" xfId="1" applyNumberFormat="1" applyFont="1" applyAlignment="1">
      <alignment horizontal="center"/>
    </xf>
    <xf numFmtId="0" fontId="0" fillId="0" borderId="0" xfId="0" applyAlignment="1">
      <alignment horizontal="center"/>
    </xf>
    <xf numFmtId="165" fontId="22" fillId="0" borderId="0" xfId="0" applyNumberFormat="1" applyFont="1" applyBorder="1" applyAlignment="1">
      <alignment horizontal="center"/>
    </xf>
    <xf numFmtId="0" fontId="0" fillId="0" borderId="0" xfId="0" applyAlignment="1">
      <alignment horizontal="center"/>
    </xf>
    <xf numFmtId="165" fontId="24" fillId="0" borderId="0" xfId="0" applyNumberFormat="1" applyFont="1" applyAlignment="1">
      <alignment horizontal="center"/>
    </xf>
    <xf numFmtId="170" fontId="0" fillId="0" borderId="0" xfId="0" applyNumberFormat="1" applyAlignment="1">
      <alignment horizontal="center"/>
    </xf>
    <xf numFmtId="174" fontId="27" fillId="0" borderId="0" xfId="0" applyNumberFormat="1" applyFont="1" applyFill="1" applyAlignment="1">
      <alignment horizontal="left"/>
    </xf>
    <xf numFmtId="174" fontId="0" fillId="0" borderId="0" xfId="0" applyNumberFormat="1"/>
    <xf numFmtId="173" fontId="29" fillId="0" borderId="0" xfId="0" applyNumberFormat="1" applyFont="1" applyAlignment="1">
      <alignment horizontal="center"/>
    </xf>
    <xf numFmtId="167" fontId="32" fillId="0" borderId="0" xfId="0" applyNumberFormat="1" applyFont="1" applyAlignment="1">
      <alignment horizontal="center"/>
    </xf>
    <xf numFmtId="167" fontId="27" fillId="0" borderId="0" xfId="10" applyNumberFormat="1" applyFont="1" applyAlignment="1">
      <alignment horizontal="center"/>
    </xf>
    <xf numFmtId="0" fontId="33" fillId="4" borderId="13" xfId="0" applyFont="1" applyFill="1" applyBorder="1" applyAlignment="1">
      <alignment horizontal="left" vertical="top" wrapText="1"/>
    </xf>
    <xf numFmtId="0" fontId="33" fillId="4" borderId="14" xfId="0" applyFont="1" applyFill="1" applyBorder="1" applyAlignment="1">
      <alignment horizontal="center" vertical="top"/>
    </xf>
    <xf numFmtId="0" fontId="33" fillId="4" borderId="14" xfId="0" applyFont="1" applyFill="1" applyBorder="1" applyAlignment="1">
      <alignment horizontal="left" vertical="top"/>
    </xf>
    <xf numFmtId="0" fontId="33" fillId="4" borderId="14" xfId="0" applyFont="1" applyFill="1" applyBorder="1" applyAlignment="1">
      <alignment horizontal="left" vertical="top" wrapText="1"/>
    </xf>
    <xf numFmtId="0" fontId="33" fillId="4" borderId="13" xfId="0" applyFont="1" applyFill="1" applyBorder="1" applyAlignment="1">
      <alignment horizontal="left" vertical="top"/>
    </xf>
    <xf numFmtId="0" fontId="28" fillId="4" borderId="0" xfId="0" applyFont="1" applyFill="1" applyAlignment="1">
      <alignment horizontal="left" vertical="top"/>
    </xf>
    <xf numFmtId="0" fontId="28" fillId="0" borderId="0" xfId="0" applyFont="1" applyFill="1" applyAlignment="1">
      <alignment horizontal="left" vertical="top" wrapText="1"/>
    </xf>
    <xf numFmtId="0" fontId="28" fillId="0" borderId="15" xfId="0" applyFont="1" applyFill="1" applyBorder="1" applyAlignment="1">
      <alignment horizontal="center" vertical="top" wrapText="1"/>
    </xf>
    <xf numFmtId="0" fontId="28" fillId="0" borderId="15" xfId="0" applyFont="1" applyFill="1" applyBorder="1" applyAlignment="1">
      <alignment horizontal="left" vertical="top" wrapText="1"/>
    </xf>
    <xf numFmtId="0" fontId="28" fillId="0" borderId="16" xfId="0" applyFont="1" applyFill="1" applyBorder="1" applyAlignment="1">
      <alignment horizontal="center" vertical="top" wrapText="1"/>
    </xf>
    <xf numFmtId="0" fontId="28" fillId="0" borderId="16" xfId="0" applyFont="1" applyFill="1" applyBorder="1" applyAlignment="1">
      <alignment horizontal="left" vertical="top" wrapText="1"/>
    </xf>
    <xf numFmtId="0" fontId="28" fillId="0" borderId="17" xfId="0" applyFont="1" applyFill="1" applyBorder="1" applyAlignment="1">
      <alignment horizontal="center" vertical="top" wrapText="1"/>
    </xf>
    <xf numFmtId="0" fontId="28" fillId="0" borderId="17" xfId="0" applyFont="1" applyFill="1" applyBorder="1" applyAlignment="1">
      <alignment horizontal="left" vertical="top" wrapText="1"/>
    </xf>
    <xf numFmtId="0" fontId="28" fillId="0" borderId="0" xfId="0" applyFont="1" applyFill="1" applyAlignment="1">
      <alignment horizontal="left" vertical="top"/>
    </xf>
    <xf numFmtId="0" fontId="28" fillId="0" borderId="16" xfId="0" applyFont="1" applyFill="1" applyBorder="1" applyAlignment="1">
      <alignment horizontal="left" vertical="top"/>
    </xf>
    <xf numFmtId="0" fontId="28" fillId="0" borderId="0" xfId="0" applyFont="1" applyAlignment="1">
      <alignment horizontal="left" vertical="top"/>
    </xf>
    <xf numFmtId="0" fontId="28" fillId="0" borderId="0" xfId="0" applyFont="1" applyFill="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xf>
    <xf numFmtId="165" fontId="0" fillId="0" borderId="0" xfId="0" applyNumberFormat="1" applyBorder="1" applyAlignment="1">
      <alignment horizontal="center"/>
    </xf>
    <xf numFmtId="0" fontId="0" fillId="0" borderId="7" xfId="0" applyBorder="1"/>
    <xf numFmtId="3" fontId="0" fillId="0" borderId="0" xfId="0" applyNumberFormat="1"/>
    <xf numFmtId="172" fontId="0" fillId="0" borderId="0" xfId="0" applyNumberFormat="1" applyAlignment="1">
      <alignment horizontal="center"/>
    </xf>
    <xf numFmtId="0" fontId="0" fillId="0" borderId="0" xfId="0" applyAlignment="1">
      <alignment horizontal="center"/>
    </xf>
    <xf numFmtId="167" fontId="29" fillId="0" borderId="0" xfId="0" applyNumberFormat="1" applyFont="1" applyAlignment="1">
      <alignment horizontal="left"/>
    </xf>
    <xf numFmtId="167" fontId="21" fillId="0" borderId="0" xfId="10" applyNumberFormat="1" applyFont="1" applyAlignment="1">
      <alignment horizontal="center"/>
    </xf>
    <xf numFmtId="10" fontId="21" fillId="0" borderId="0" xfId="10" applyNumberFormat="1" applyFont="1"/>
    <xf numFmtId="173" fontId="22" fillId="0" borderId="0" xfId="10" applyNumberFormat="1" applyFont="1"/>
    <xf numFmtId="10" fontId="22" fillId="0" borderId="0" xfId="0" applyNumberFormat="1" applyFont="1"/>
    <xf numFmtId="167" fontId="21" fillId="0" borderId="0" xfId="10" applyNumberFormat="1" applyFont="1"/>
    <xf numFmtId="167" fontId="22" fillId="0" borderId="0" xfId="0" applyNumberFormat="1" applyFont="1" applyAlignment="1">
      <alignment horizontal="center"/>
    </xf>
    <xf numFmtId="164" fontId="21" fillId="0" borderId="0" xfId="1" applyFont="1"/>
    <xf numFmtId="0" fontId="0" fillId="0" borderId="0" xfId="0" applyAlignment="1">
      <alignment horizontal="center"/>
    </xf>
    <xf numFmtId="167" fontId="21" fillId="0" borderId="0" xfId="10" applyNumberFormat="1" applyFont="1" applyAlignment="1">
      <alignment horizontal="center"/>
    </xf>
    <xf numFmtId="10" fontId="21" fillId="0" borderId="0" xfId="10" applyNumberFormat="1" applyFont="1" applyAlignment="1">
      <alignment horizontal="center"/>
    </xf>
    <xf numFmtId="165" fontId="21" fillId="0" borderId="0" xfId="1" applyNumberFormat="1" applyFont="1" applyAlignment="1">
      <alignment horizontal="center"/>
    </xf>
    <xf numFmtId="0" fontId="0" fillId="0" borderId="5" xfId="0" applyFont="1" applyBorder="1" applyAlignment="1">
      <alignment horizontal="center"/>
    </xf>
    <xf numFmtId="0" fontId="22" fillId="0" borderId="5" xfId="0" applyFont="1" applyBorder="1" applyAlignment="1">
      <alignment horizontal="center"/>
    </xf>
    <xf numFmtId="165" fontId="21" fillId="0" borderId="5" xfId="1" applyNumberFormat="1" applyFont="1" applyBorder="1" applyAlignment="1">
      <alignment horizontal="center"/>
    </xf>
    <xf numFmtId="10" fontId="21" fillId="0" borderId="5" xfId="10" applyNumberFormat="1" applyFont="1" applyBorder="1" applyAlignment="1">
      <alignment horizontal="center"/>
    </xf>
    <xf numFmtId="164" fontId="21" fillId="0" borderId="5" xfId="1" applyNumberFormat="1" applyFont="1" applyBorder="1" applyAlignment="1">
      <alignment horizontal="center"/>
    </xf>
    <xf numFmtId="167" fontId="21" fillId="0" borderId="5" xfId="10" applyNumberFormat="1" applyFont="1" applyBorder="1" applyAlignment="1">
      <alignment horizontal="center"/>
    </xf>
    <xf numFmtId="9" fontId="21" fillId="0" borderId="5" xfId="10" applyFont="1" applyBorder="1" applyAlignment="1">
      <alignment horizontal="center"/>
    </xf>
    <xf numFmtId="165" fontId="0" fillId="0" borderId="5" xfId="0" applyNumberFormat="1" applyFont="1" applyBorder="1" applyAlignment="1">
      <alignment horizontal="center"/>
    </xf>
    <xf numFmtId="10" fontId="22" fillId="0" borderId="5" xfId="10" applyNumberFormat="1" applyFont="1" applyBorder="1" applyAlignment="1">
      <alignment horizontal="center"/>
    </xf>
    <xf numFmtId="165" fontId="21" fillId="0" borderId="5" xfId="1" applyNumberFormat="1" applyFont="1" applyBorder="1" applyAlignment="1">
      <alignment horizontal="center"/>
    </xf>
    <xf numFmtId="167" fontId="21" fillId="0" borderId="5" xfId="10" applyNumberFormat="1" applyFont="1" applyBorder="1" applyAlignment="1">
      <alignment horizontal="center"/>
    </xf>
    <xf numFmtId="164" fontId="21" fillId="0" borderId="5" xfId="1" applyNumberFormat="1" applyFont="1" applyBorder="1" applyAlignment="1">
      <alignment horizontal="center"/>
    </xf>
    <xf numFmtId="165" fontId="0" fillId="0" borderId="5" xfId="0" applyNumberFormat="1" applyBorder="1" applyAlignment="1">
      <alignment horizontal="center"/>
    </xf>
    <xf numFmtId="1" fontId="0" fillId="0" borderId="5" xfId="0" applyNumberFormat="1" applyFont="1" applyBorder="1" applyAlignment="1">
      <alignment horizontal="center"/>
    </xf>
    <xf numFmtId="171" fontId="0" fillId="0" borderId="5" xfId="0" applyNumberFormat="1" applyFont="1" applyBorder="1" applyAlignment="1">
      <alignment horizontal="center"/>
    </xf>
    <xf numFmtId="165" fontId="22" fillId="0" borderId="5" xfId="0" applyNumberFormat="1" applyFont="1" applyBorder="1" applyAlignment="1">
      <alignment horizontal="center"/>
    </xf>
    <xf numFmtId="0" fontId="22" fillId="0" borderId="5" xfId="0" applyFont="1" applyBorder="1"/>
    <xf numFmtId="0" fontId="0" fillId="0" borderId="5" xfId="0" applyBorder="1" applyAlignment="1">
      <alignment horizontal="center"/>
    </xf>
    <xf numFmtId="165" fontId="24" fillId="0" borderId="5" xfId="0" applyNumberFormat="1" applyFont="1" applyBorder="1" applyAlignment="1">
      <alignment horizontal="center"/>
    </xf>
    <xf numFmtId="170" fontId="0" fillId="0" borderId="5" xfId="0" applyNumberFormat="1" applyBorder="1" applyAlignment="1">
      <alignment horizontal="center"/>
    </xf>
    <xf numFmtId="10" fontId="21" fillId="2" borderId="1" xfId="10" applyNumberFormat="1" applyFont="1" applyFill="1" applyBorder="1" applyAlignment="1">
      <alignment horizontal="center"/>
    </xf>
    <xf numFmtId="165" fontId="34" fillId="0" borderId="0" xfId="1" applyNumberFormat="1" applyFont="1"/>
    <xf numFmtId="165" fontId="21" fillId="0" borderId="0" xfId="1" applyNumberFormat="1" applyFont="1" applyFill="1"/>
    <xf numFmtId="0" fontId="21" fillId="2" borderId="18" xfId="1" applyNumberFormat="1" applyFont="1" applyFill="1" applyBorder="1" applyAlignment="1">
      <alignment horizontal="center"/>
    </xf>
    <xf numFmtId="167" fontId="22" fillId="0" borderId="5" xfId="10" applyNumberFormat="1" applyFont="1" applyBorder="1" applyAlignment="1">
      <alignment horizontal="center"/>
    </xf>
    <xf numFmtId="167" fontId="36" fillId="0" borderId="0" xfId="0" applyNumberFormat="1" applyFont="1" applyAlignment="1">
      <alignment horizontal="center"/>
    </xf>
    <xf numFmtId="9" fontId="36" fillId="0" borderId="0" xfId="0" quotePrefix="1" applyNumberFormat="1" applyFont="1" applyAlignment="1">
      <alignment horizontal="center"/>
    </xf>
    <xf numFmtId="0" fontId="36" fillId="0" borderId="0" xfId="0" applyFont="1" applyAlignment="1">
      <alignment horizontal="center"/>
    </xf>
    <xf numFmtId="167" fontId="36" fillId="0" borderId="0" xfId="10" applyNumberFormat="1" applyFont="1" applyAlignment="1">
      <alignment horizontal="center"/>
    </xf>
    <xf numFmtId="10" fontId="24" fillId="0" borderId="0" xfId="0" applyNumberFormat="1" applyFont="1" applyFill="1" applyBorder="1" applyAlignment="1">
      <alignment horizontal="center"/>
    </xf>
    <xf numFmtId="10" fontId="36" fillId="0" borderId="0" xfId="10" applyNumberFormat="1" applyFont="1" applyAlignment="1">
      <alignment horizontal="center"/>
    </xf>
    <xf numFmtId="165" fontId="0" fillId="0" borderId="0" xfId="0" applyNumberFormat="1" applyFont="1" applyBorder="1" applyAlignment="1">
      <alignment horizontal="center"/>
    </xf>
    <xf numFmtId="167" fontId="24" fillId="0" borderId="0" xfId="10" applyNumberFormat="1" applyFont="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167" fontId="21" fillId="2" borderId="0" xfId="10" applyNumberFormat="1" applyFont="1" applyFill="1" applyBorder="1" applyAlignment="1">
      <alignment horizontal="center"/>
    </xf>
    <xf numFmtId="0" fontId="0" fillId="0" borderId="0" xfId="0" applyAlignment="1">
      <alignment horizontal="center"/>
    </xf>
    <xf numFmtId="0" fontId="22" fillId="0" borderId="0" xfId="0" applyFont="1" applyAlignment="1">
      <alignment wrapText="1"/>
    </xf>
    <xf numFmtId="10" fontId="22" fillId="0" borderId="0" xfId="0" applyNumberFormat="1" applyFont="1" applyAlignment="1">
      <alignment wrapText="1"/>
    </xf>
    <xf numFmtId="0" fontId="3" fillId="0" borderId="0" xfId="4" applyFill="1" applyAlignment="1" applyProtection="1">
      <alignment horizontal="left"/>
    </xf>
    <xf numFmtId="0" fontId="3" fillId="0" borderId="0" xfId="4" applyFill="1"/>
    <xf numFmtId="0" fontId="0" fillId="0" borderId="0" xfId="0" applyFill="1"/>
    <xf numFmtId="0" fontId="25" fillId="0" borderId="0" xfId="4" applyFont="1" applyFill="1"/>
    <xf numFmtId="0" fontId="2" fillId="0" borderId="0" xfId="4" applyFont="1" applyFill="1" applyAlignment="1" applyProtection="1">
      <alignment horizontal="left"/>
    </xf>
    <xf numFmtId="0" fontId="2" fillId="0" borderId="0" xfId="4" applyFont="1" applyFill="1"/>
    <xf numFmtId="0" fontId="3" fillId="6" borderId="0" xfId="4" applyFill="1"/>
    <xf numFmtId="0" fontId="3" fillId="6" borderId="0" xfId="4" applyFill="1" applyAlignment="1" applyProtection="1">
      <alignment horizontal="left"/>
    </xf>
    <xf numFmtId="0" fontId="2" fillId="6" borderId="0" xfId="4" applyFont="1" applyFill="1" applyAlignment="1" applyProtection="1">
      <alignment horizontal="left"/>
    </xf>
    <xf numFmtId="0" fontId="2" fillId="6" borderId="0" xfId="4" applyFont="1" applyFill="1"/>
    <xf numFmtId="9" fontId="21" fillId="6" borderId="0" xfId="10" applyFont="1" applyFill="1"/>
    <xf numFmtId="167" fontId="21" fillId="6" borderId="0" xfId="10" applyNumberFormat="1" applyFont="1" applyFill="1"/>
    <xf numFmtId="0" fontId="10" fillId="6" borderId="0" xfId="4" applyFont="1" applyFill="1" applyAlignment="1" applyProtection="1">
      <alignment horizontal="left"/>
    </xf>
    <xf numFmtId="0" fontId="3" fillId="6" borderId="0" xfId="4" applyFont="1" applyFill="1"/>
    <xf numFmtId="0" fontId="11" fillId="6" borderId="0" xfId="4" applyFont="1" applyFill="1" applyAlignment="1" applyProtection="1">
      <alignment horizontal="left"/>
    </xf>
    <xf numFmtId="0" fontId="10" fillId="6" borderId="0" xfId="4" applyFont="1" applyFill="1"/>
    <xf numFmtId="0" fontId="0" fillId="0" borderId="25" xfId="0" applyBorder="1"/>
    <xf numFmtId="0" fontId="3" fillId="7" borderId="0" xfId="4" applyFill="1" applyAlignment="1" applyProtection="1">
      <alignment horizontal="left"/>
    </xf>
    <xf numFmtId="0" fontId="3" fillId="7" borderId="0" xfId="4" applyFill="1"/>
    <xf numFmtId="0" fontId="2" fillId="7" borderId="0" xfId="4" applyFont="1" applyFill="1" applyAlignment="1" applyProtection="1">
      <alignment horizontal="left"/>
    </xf>
    <xf numFmtId="0" fontId="2" fillId="7" borderId="0" xfId="4" applyFont="1" applyFill="1"/>
    <xf numFmtId="165" fontId="21" fillId="0" borderId="0" xfId="1" applyNumberFormat="1" applyFont="1" applyBorder="1" applyAlignment="1">
      <alignment horizontal="center"/>
    </xf>
    <xf numFmtId="0" fontId="4" fillId="7" borderId="0" xfId="4" applyFont="1" applyFill="1"/>
    <xf numFmtId="10" fontId="3" fillId="6" borderId="0" xfId="10" applyNumberFormat="1" applyFont="1" applyFill="1" applyAlignment="1" applyProtection="1">
      <alignment horizontal="left"/>
    </xf>
    <xf numFmtId="10" fontId="3" fillId="6" borderId="0" xfId="10" applyNumberFormat="1" applyFont="1" applyFill="1"/>
    <xf numFmtId="0" fontId="11" fillId="6" borderId="0" xfId="4" applyFont="1" applyFill="1"/>
    <xf numFmtId="165" fontId="22" fillId="0" borderId="0" xfId="2" applyNumberFormat="1" applyFont="1" applyFill="1"/>
    <xf numFmtId="171" fontId="0" fillId="2" borderId="0" xfId="0" applyNumberFormat="1" applyFill="1" applyBorder="1" applyAlignment="1">
      <alignment horizontal="center"/>
    </xf>
    <xf numFmtId="167" fontId="21" fillId="2" borderId="18" xfId="10" applyNumberFormat="1" applyFont="1" applyFill="1" applyBorder="1" applyAlignment="1">
      <alignment horizontal="center"/>
    </xf>
    <xf numFmtId="0" fontId="0" fillId="0" borderId="5" xfId="0" applyFont="1" applyBorder="1"/>
    <xf numFmtId="0" fontId="0" fillId="0" borderId="5" xfId="0" applyBorder="1"/>
    <xf numFmtId="0" fontId="0" fillId="0" borderId="0" xfId="0" applyFont="1" applyFill="1"/>
    <xf numFmtId="0" fontId="39" fillId="0" borderId="0" xfId="0" applyFont="1" applyFill="1" applyAlignment="1">
      <alignment horizontal="center"/>
    </xf>
    <xf numFmtId="167" fontId="21" fillId="0" borderId="5" xfId="10" applyNumberFormat="1" applyFont="1" applyFill="1" applyBorder="1" applyAlignment="1">
      <alignment horizontal="center"/>
    </xf>
    <xf numFmtId="167" fontId="21" fillId="0" borderId="0" xfId="10" applyNumberFormat="1" applyFont="1" applyFill="1" applyAlignment="1">
      <alignment horizontal="center"/>
    </xf>
    <xf numFmtId="0" fontId="0" fillId="0" borderId="0" xfId="0" applyFont="1" applyFill="1" applyAlignment="1">
      <alignment horizontal="center"/>
    </xf>
    <xf numFmtId="165" fontId="21" fillId="0" borderId="0" xfId="1" applyNumberFormat="1" applyFont="1" applyFill="1" applyAlignment="1">
      <alignment horizontal="center"/>
    </xf>
    <xf numFmtId="165" fontId="21" fillId="0" borderId="5" xfId="1" applyNumberFormat="1" applyFont="1" applyFill="1" applyBorder="1" applyAlignment="1">
      <alignment horizontal="center"/>
    </xf>
    <xf numFmtId="10" fontId="0" fillId="0" borderId="0" xfId="0" applyNumberFormat="1" applyFill="1" applyAlignment="1">
      <alignment horizontal="center"/>
    </xf>
    <xf numFmtId="167" fontId="21" fillId="0" borderId="0" xfId="10" applyNumberFormat="1" applyFont="1" applyFill="1" applyBorder="1" applyAlignment="1">
      <alignment horizontal="center"/>
    </xf>
    <xf numFmtId="170" fontId="0" fillId="0" borderId="0" xfId="0" applyNumberFormat="1" applyBorder="1" applyAlignment="1">
      <alignment horizontal="center"/>
    </xf>
    <xf numFmtId="0" fontId="21" fillId="6" borderId="18" xfId="1" applyNumberFormat="1" applyFont="1" applyFill="1" applyBorder="1" applyAlignment="1">
      <alignment horizontal="center"/>
    </xf>
    <xf numFmtId="165" fontId="31" fillId="0" borderId="0" xfId="1" applyNumberFormat="1" applyFont="1" applyFill="1"/>
    <xf numFmtId="0" fontId="21" fillId="0" borderId="0" xfId="0" applyFont="1" applyAlignment="1">
      <alignment wrapText="1"/>
    </xf>
    <xf numFmtId="10" fontId="21" fillId="0" borderId="0" xfId="0" applyNumberFormat="1" applyFont="1" applyAlignment="1">
      <alignment wrapText="1"/>
    </xf>
    <xf numFmtId="0" fontId="21" fillId="0" borderId="0" xfId="0" applyFont="1" applyFill="1" applyAlignment="1">
      <alignment wrapText="1"/>
    </xf>
    <xf numFmtId="10" fontId="21" fillId="0" borderId="0" xfId="0" applyNumberFormat="1" applyFont="1" applyFill="1" applyAlignment="1">
      <alignment wrapText="1"/>
    </xf>
    <xf numFmtId="0" fontId="21" fillId="0" borderId="0" xfId="0" applyFont="1"/>
    <xf numFmtId="0" fontId="21" fillId="0" borderId="25" xfId="0" applyFont="1" applyBorder="1"/>
    <xf numFmtId="0" fontId="24" fillId="0" borderId="0" xfId="4" applyFont="1"/>
    <xf numFmtId="0" fontId="24" fillId="0" borderId="0" xfId="4" applyFont="1" applyAlignment="1" applyProtection="1">
      <alignment horizontal="right"/>
    </xf>
    <xf numFmtId="166" fontId="30" fillId="7" borderId="0" xfId="4" applyNumberFormat="1" applyFont="1" applyFill="1" applyProtection="1"/>
    <xf numFmtId="0" fontId="30" fillId="7" borderId="0" xfId="4" applyFont="1" applyFill="1" applyAlignment="1" applyProtection="1">
      <alignment horizontal="center"/>
    </xf>
    <xf numFmtId="168" fontId="30" fillId="6" borderId="0" xfId="4" applyNumberFormat="1" applyFont="1" applyFill="1" applyProtection="1"/>
    <xf numFmtId="167" fontId="30" fillId="6" borderId="0" xfId="4" applyNumberFormat="1" applyFont="1" applyFill="1" applyProtection="1"/>
    <xf numFmtId="166" fontId="24" fillId="6" borderId="0" xfId="4" applyNumberFormat="1" applyFont="1" applyFill="1" applyProtection="1"/>
    <xf numFmtId="167" fontId="24" fillId="6" borderId="0" xfId="4" applyNumberFormat="1" applyFont="1" applyFill="1" applyProtection="1"/>
    <xf numFmtId="166" fontId="30" fillId="6" borderId="0" xfId="4" applyNumberFormat="1" applyFont="1" applyFill="1" applyProtection="1"/>
    <xf numFmtId="9" fontId="30" fillId="6" borderId="0" xfId="10" applyFont="1" applyFill="1" applyProtection="1"/>
    <xf numFmtId="167" fontId="40" fillId="6" borderId="0" xfId="10" applyNumberFormat="1" applyFont="1" applyFill="1" applyProtection="1"/>
    <xf numFmtId="10" fontId="40" fillId="6" borderId="0" xfId="10" applyNumberFormat="1" applyFont="1" applyFill="1" applyProtection="1"/>
    <xf numFmtId="167" fontId="40" fillId="6" borderId="0" xfId="4" applyNumberFormat="1" applyFont="1" applyFill="1" applyProtection="1"/>
    <xf numFmtId="171" fontId="40" fillId="6" borderId="0" xfId="4" applyNumberFormat="1" applyFont="1" applyFill="1"/>
    <xf numFmtId="0" fontId="40" fillId="6" borderId="0" xfId="4" applyFont="1" applyFill="1"/>
    <xf numFmtId="166" fontId="24" fillId="7" borderId="0" xfId="4" applyNumberFormat="1" applyFont="1" applyFill="1" applyProtection="1"/>
    <xf numFmtId="167" fontId="24" fillId="7" borderId="0" xfId="4" applyNumberFormat="1" applyFont="1" applyFill="1" applyProtection="1"/>
    <xf numFmtId="0" fontId="24" fillId="0" borderId="0" xfId="4" applyFont="1" applyFill="1"/>
    <xf numFmtId="166" fontId="24" fillId="0" borderId="0" xfId="4" applyNumberFormat="1" applyFont="1" applyProtection="1"/>
    <xf numFmtId="167" fontId="24" fillId="0" borderId="0" xfId="4" applyNumberFormat="1" applyFont="1" applyProtection="1"/>
    <xf numFmtId="0" fontId="35" fillId="0" borderId="0" xfId="4" applyFont="1" applyAlignment="1" applyProtection="1">
      <alignment horizontal="right"/>
    </xf>
    <xf numFmtId="0" fontId="30" fillId="0" borderId="0" xfId="4" applyFont="1"/>
    <xf numFmtId="0" fontId="30" fillId="0" borderId="0" xfId="4" applyFont="1" applyFill="1"/>
    <xf numFmtId="0" fontId="24" fillId="6" borderId="0" xfId="4" applyFont="1" applyFill="1"/>
    <xf numFmtId="0" fontId="35" fillId="0" borderId="0" xfId="4" applyFont="1" applyFill="1" applyAlignment="1" applyProtection="1">
      <alignment horizontal="right"/>
    </xf>
    <xf numFmtId="10" fontId="24" fillId="6" borderId="0" xfId="10" applyNumberFormat="1" applyFont="1" applyFill="1" applyProtection="1"/>
    <xf numFmtId="167" fontId="41" fillId="6" borderId="0" xfId="10" applyNumberFormat="1" applyFont="1" applyFill="1" applyProtection="1"/>
    <xf numFmtId="167" fontId="40" fillId="6" borderId="0" xfId="10" applyNumberFormat="1" applyFont="1" applyFill="1"/>
    <xf numFmtId="0" fontId="0" fillId="8" borderId="0" xfId="0" applyFill="1" applyAlignment="1">
      <alignment horizontal="center"/>
    </xf>
    <xf numFmtId="0" fontId="22" fillId="8" borderId="0" xfId="0" applyFont="1" applyFill="1" applyAlignment="1">
      <alignment horizontal="center"/>
    </xf>
    <xf numFmtId="165" fontId="22" fillId="8" borderId="0" xfId="1" applyNumberFormat="1" applyFont="1" applyFill="1" applyAlignment="1">
      <alignment horizontal="center"/>
    </xf>
    <xf numFmtId="165" fontId="21" fillId="8" borderId="0" xfId="1" applyNumberFormat="1" applyFont="1" applyFill="1" applyAlignment="1">
      <alignment horizontal="center"/>
    </xf>
    <xf numFmtId="165" fontId="0" fillId="8" borderId="0" xfId="0" applyNumberFormat="1" applyFill="1" applyAlignment="1">
      <alignment horizontal="center"/>
    </xf>
    <xf numFmtId="167" fontId="21" fillId="8" borderId="0" xfId="10" applyNumberFormat="1" applyFont="1" applyFill="1" applyAlignment="1">
      <alignment horizontal="center"/>
    </xf>
    <xf numFmtId="1" fontId="0" fillId="8" borderId="0" xfId="0" applyNumberFormat="1" applyFill="1" applyAlignment="1">
      <alignment horizontal="center"/>
    </xf>
    <xf numFmtId="165" fontId="0" fillId="8" borderId="0" xfId="0" applyNumberFormat="1" applyFont="1" applyFill="1" applyAlignment="1">
      <alignment horizontal="center"/>
    </xf>
    <xf numFmtId="2" fontId="0" fillId="8" borderId="0" xfId="0" applyNumberFormat="1" applyFill="1" applyAlignment="1">
      <alignment horizontal="center"/>
    </xf>
    <xf numFmtId="10" fontId="21" fillId="8" borderId="0" xfId="10" applyNumberFormat="1" applyFont="1" applyFill="1" applyAlignment="1">
      <alignment horizontal="center"/>
    </xf>
    <xf numFmtId="165" fontId="39" fillId="8" borderId="0" xfId="1" applyNumberFormat="1" applyFont="1" applyFill="1" applyAlignment="1">
      <alignment horizontal="center"/>
    </xf>
    <xf numFmtId="9" fontId="22" fillId="8" borderId="0" xfId="10" applyFont="1" applyFill="1" applyAlignment="1">
      <alignment horizontal="center"/>
    </xf>
    <xf numFmtId="173" fontId="21" fillId="8" borderId="0" xfId="10" applyNumberFormat="1" applyFont="1" applyFill="1" applyAlignment="1">
      <alignment horizontal="center"/>
    </xf>
    <xf numFmtId="10" fontId="22" fillId="8" borderId="0" xfId="10" applyNumberFormat="1" applyFont="1" applyFill="1" applyAlignment="1">
      <alignment horizontal="center"/>
    </xf>
    <xf numFmtId="165" fontId="22" fillId="8" borderId="0" xfId="0" applyNumberFormat="1" applyFont="1" applyFill="1" applyAlignment="1">
      <alignment horizontal="center"/>
    </xf>
    <xf numFmtId="171" fontId="0" fillId="8" borderId="0" xfId="0" applyNumberFormat="1" applyFill="1" applyAlignment="1">
      <alignment horizontal="center"/>
    </xf>
    <xf numFmtId="170" fontId="0" fillId="8" borderId="0" xfId="0" applyNumberFormat="1" applyFill="1" applyAlignment="1">
      <alignment horizontal="center"/>
    </xf>
    <xf numFmtId="0" fontId="3" fillId="8" borderId="0" xfId="4" applyFill="1"/>
    <xf numFmtId="0" fontId="3" fillId="8" borderId="5" xfId="4" applyFill="1" applyBorder="1"/>
    <xf numFmtId="0" fontId="3" fillId="8" borderId="0" xfId="4" applyFill="1" applyAlignment="1" applyProtection="1">
      <alignment horizontal="right"/>
    </xf>
    <xf numFmtId="0" fontId="3" fillId="8" borderId="5" xfId="4" applyFill="1" applyBorder="1" applyAlignment="1" applyProtection="1">
      <alignment horizontal="right"/>
    </xf>
    <xf numFmtId="166" fontId="3" fillId="8" borderId="0" xfId="4" applyNumberFormat="1" applyFill="1" applyProtection="1"/>
    <xf numFmtId="166" fontId="3" fillId="8" borderId="5" xfId="4" applyNumberFormat="1" applyFill="1" applyBorder="1" applyProtection="1"/>
    <xf numFmtId="166" fontId="2" fillId="8" borderId="0" xfId="4" applyNumberFormat="1" applyFont="1" applyFill="1" applyProtection="1"/>
    <xf numFmtId="166" fontId="2" fillId="8" borderId="5" xfId="4" applyNumberFormat="1" applyFont="1" applyFill="1" applyBorder="1" applyProtection="1"/>
    <xf numFmtId="168" fontId="2" fillId="8" borderId="0" xfId="4" applyNumberFormat="1" applyFont="1" applyFill="1" applyProtection="1"/>
    <xf numFmtId="168" fontId="2" fillId="8" borderId="5" xfId="4" applyNumberFormat="1" applyFont="1" applyFill="1" applyBorder="1" applyProtection="1"/>
    <xf numFmtId="166" fontId="3" fillId="8" borderId="0" xfId="4" applyNumberFormat="1" applyFont="1" applyFill="1" applyProtection="1"/>
    <xf numFmtId="166" fontId="3" fillId="8" borderId="5" xfId="4" applyNumberFormat="1" applyFont="1" applyFill="1" applyBorder="1" applyProtection="1"/>
    <xf numFmtId="9" fontId="2" fillId="8" borderId="0" xfId="10" applyFont="1" applyFill="1" applyProtection="1"/>
    <xf numFmtId="9" fontId="2" fillId="8" borderId="5" xfId="10" applyFont="1" applyFill="1" applyBorder="1" applyProtection="1"/>
    <xf numFmtId="167" fontId="10" fillId="8" borderId="0" xfId="10" applyNumberFormat="1" applyFont="1" applyFill="1" applyProtection="1"/>
    <xf numFmtId="167" fontId="10" fillId="8" borderId="5" xfId="10" applyNumberFormat="1" applyFont="1" applyFill="1" applyBorder="1" applyProtection="1"/>
    <xf numFmtId="171" fontId="10" fillId="8" borderId="0" xfId="4" applyNumberFormat="1" applyFont="1" applyFill="1"/>
    <xf numFmtId="171" fontId="10" fillId="8" borderId="5" xfId="4" applyNumberFormat="1" applyFont="1" applyFill="1" applyBorder="1"/>
    <xf numFmtId="169" fontId="3" fillId="8" borderId="0" xfId="4" applyNumberFormat="1" applyFill="1" applyProtection="1"/>
    <xf numFmtId="169" fontId="3" fillId="8" borderId="5" xfId="4" applyNumberFormat="1" applyFill="1" applyBorder="1" applyProtection="1"/>
    <xf numFmtId="0" fontId="25" fillId="8" borderId="0" xfId="4" applyFont="1" applyFill="1" applyAlignment="1" applyProtection="1">
      <alignment horizontal="right"/>
    </xf>
    <xf numFmtId="0" fontId="2" fillId="8" borderId="0" xfId="4" applyFont="1" applyFill="1"/>
    <xf numFmtId="168" fontId="3" fillId="8" borderId="0" xfId="4" applyNumberFormat="1" applyFill="1" applyProtection="1"/>
    <xf numFmtId="10" fontId="3" fillId="8" borderId="0" xfId="10" applyNumberFormat="1" applyFont="1" applyFill="1" applyProtection="1"/>
    <xf numFmtId="167" fontId="11" fillId="8" borderId="0" xfId="10" applyNumberFormat="1" applyFont="1" applyFill="1" applyProtection="1"/>
    <xf numFmtId="167" fontId="10" fillId="8" borderId="0" xfId="10" applyNumberFormat="1" applyFont="1" applyFill="1"/>
    <xf numFmtId="1" fontId="0" fillId="0" borderId="5" xfId="0" applyNumberFormat="1" applyBorder="1" applyAlignment="1">
      <alignment horizontal="center"/>
    </xf>
    <xf numFmtId="171" fontId="0" fillId="0" borderId="5" xfId="0" applyNumberFormat="1" applyBorder="1" applyAlignment="1">
      <alignment horizontal="center"/>
    </xf>
    <xf numFmtId="10" fontId="0" fillId="0" borderId="5" xfId="0" applyNumberFormat="1" applyFill="1" applyBorder="1" applyAlignment="1">
      <alignment horizontal="center"/>
    </xf>
    <xf numFmtId="0" fontId="9" fillId="6" borderId="0" xfId="4" applyFont="1" applyFill="1" applyAlignment="1" applyProtection="1">
      <alignment horizontal="left"/>
    </xf>
    <xf numFmtId="0" fontId="9" fillId="6" borderId="0" xfId="4" applyFont="1" applyFill="1" applyAlignment="1" applyProtection="1">
      <alignment horizontal="center"/>
    </xf>
    <xf numFmtId="10" fontId="22" fillId="6" borderId="0" xfId="10" applyNumberFormat="1" applyFont="1" applyFill="1" applyAlignment="1">
      <alignment horizontal="center"/>
    </xf>
    <xf numFmtId="10" fontId="22" fillId="6" borderId="5" xfId="10" applyNumberFormat="1" applyFont="1" applyFill="1" applyBorder="1" applyAlignment="1">
      <alignment horizontal="center"/>
    </xf>
    <xf numFmtId="165" fontId="34" fillId="6" borderId="0" xfId="1" applyNumberFormat="1" applyFont="1" applyFill="1"/>
    <xf numFmtId="0" fontId="22" fillId="6" borderId="0" xfId="0" applyFont="1" applyFill="1"/>
    <xf numFmtId="0" fontId="0" fillId="6" borderId="0" xfId="0" applyFont="1" applyFill="1"/>
    <xf numFmtId="0" fontId="39" fillId="6" borderId="0" xfId="0" applyFont="1" applyFill="1" applyAlignment="1">
      <alignment horizontal="center"/>
    </xf>
    <xf numFmtId="10" fontId="21" fillId="6" borderId="0" xfId="10" applyNumberFormat="1" applyFont="1" applyFill="1" applyAlignment="1">
      <alignment horizontal="center"/>
    </xf>
    <xf numFmtId="167" fontId="21" fillId="6" borderId="5" xfId="10" applyNumberFormat="1" applyFont="1" applyFill="1" applyBorder="1" applyAlignment="1">
      <alignment horizontal="center"/>
    </xf>
    <xf numFmtId="167" fontId="21" fillId="6" borderId="0" xfId="10" applyNumberFormat="1" applyFont="1" applyFill="1" applyAlignment="1">
      <alignment horizontal="center"/>
    </xf>
    <xf numFmtId="175" fontId="21" fillId="6" borderId="0" xfId="1" applyNumberFormat="1" applyFont="1" applyFill="1" applyAlignment="1">
      <alignment horizontal="center"/>
    </xf>
    <xf numFmtId="9" fontId="0" fillId="6" borderId="0" xfId="0" applyNumberFormat="1" applyFont="1" applyFill="1"/>
    <xf numFmtId="164" fontId="0" fillId="6" borderId="0" xfId="0" applyNumberFormat="1" applyFill="1"/>
    <xf numFmtId="10" fontId="0" fillId="6" borderId="0" xfId="0" applyNumberFormat="1" applyFill="1"/>
    <xf numFmtId="165" fontId="22" fillId="0" borderId="5" xfId="1" applyNumberFormat="1" applyFont="1" applyBorder="1" applyAlignment="1">
      <alignment horizontal="center"/>
    </xf>
    <xf numFmtId="1" fontId="22" fillId="0" borderId="5" xfId="0" applyNumberFormat="1" applyFont="1" applyBorder="1" applyAlignment="1">
      <alignment horizontal="center"/>
    </xf>
    <xf numFmtId="2" fontId="22" fillId="0" borderId="5" xfId="0" applyNumberFormat="1" applyFont="1" applyBorder="1" applyAlignment="1">
      <alignment horizontal="center"/>
    </xf>
    <xf numFmtId="2" fontId="0" fillId="0" borderId="5" xfId="0" applyNumberFormat="1" applyBorder="1" applyAlignment="1">
      <alignment horizontal="center"/>
    </xf>
    <xf numFmtId="170" fontId="22" fillId="8" borderId="0" xfId="1" applyNumberFormat="1" applyFont="1" applyFill="1" applyAlignment="1">
      <alignment horizontal="center"/>
    </xf>
    <xf numFmtId="0" fontId="35" fillId="8" borderId="0" xfId="0" applyFont="1" applyFill="1" applyAlignment="1">
      <alignment horizontal="center"/>
    </xf>
    <xf numFmtId="9" fontId="21" fillId="8" borderId="0" xfId="10" applyFont="1" applyFill="1" applyAlignment="1">
      <alignment horizontal="center"/>
    </xf>
    <xf numFmtId="2" fontId="21" fillId="0" borderId="0" xfId="10" applyNumberFormat="1" applyFont="1" applyFill="1" applyAlignment="1">
      <alignment horizontal="center"/>
    </xf>
    <xf numFmtId="10" fontId="21" fillId="0" borderId="0" xfId="10" applyNumberFormat="1" applyFont="1" applyFill="1" applyAlignment="1">
      <alignment horizontal="center"/>
    </xf>
    <xf numFmtId="10" fontId="21" fillId="0" borderId="5" xfId="10" applyNumberFormat="1" applyFont="1" applyFill="1" applyBorder="1" applyAlignment="1">
      <alignment horizontal="center"/>
    </xf>
    <xf numFmtId="164" fontId="0" fillId="0" borderId="0" xfId="0" applyNumberFormat="1" applyFill="1"/>
    <xf numFmtId="0" fontId="0" fillId="0" borderId="0" xfId="0" applyFill="1" applyAlignment="1">
      <alignment horizontal="center"/>
    </xf>
    <xf numFmtId="0" fontId="22" fillId="0" borderId="0" xfId="0" applyFont="1" applyFill="1" applyAlignment="1">
      <alignment horizontal="center"/>
    </xf>
    <xf numFmtId="170" fontId="22" fillId="0" borderId="0" xfId="1" applyNumberFormat="1" applyFont="1" applyFill="1" applyAlignment="1">
      <alignment horizontal="center"/>
    </xf>
    <xf numFmtId="165" fontId="0" fillId="0" borderId="0" xfId="0" applyNumberFormat="1" applyFill="1" applyAlignment="1">
      <alignment horizontal="center"/>
    </xf>
    <xf numFmtId="10" fontId="22" fillId="0" borderId="0" xfId="10" applyNumberFormat="1" applyFont="1" applyFill="1" applyAlignment="1">
      <alignment horizontal="center"/>
    </xf>
    <xf numFmtId="165" fontId="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ill="1" applyAlignment="1">
      <alignment horizontal="center"/>
    </xf>
    <xf numFmtId="171" fontId="0" fillId="0" borderId="0" xfId="0" applyNumberFormat="1" applyFill="1" applyAlignment="1">
      <alignment horizontal="center"/>
    </xf>
    <xf numFmtId="170" fontId="0" fillId="0" borderId="0" xfId="0" applyNumberFormat="1" applyFill="1" applyAlignment="1">
      <alignment horizontal="center"/>
    </xf>
    <xf numFmtId="10" fontId="24" fillId="0" borderId="0" xfId="10" applyNumberFormat="1" applyFont="1" applyFill="1" applyAlignment="1">
      <alignment horizontal="center"/>
    </xf>
    <xf numFmtId="10" fontId="24" fillId="8" borderId="0" xfId="10" applyNumberFormat="1" applyFont="1" applyFill="1" applyAlignment="1">
      <alignment horizontal="center"/>
    </xf>
    <xf numFmtId="0" fontId="1" fillId="0" borderId="0" xfId="6" applyFont="1" applyBorder="1"/>
    <xf numFmtId="0" fontId="3" fillId="5" borderId="0" xfId="4" applyFill="1" applyAlignment="1" applyProtection="1">
      <alignment horizontal="right"/>
    </xf>
    <xf numFmtId="0" fontId="3" fillId="5" borderId="0" xfId="4" applyFill="1"/>
    <xf numFmtId="166" fontId="3" fillId="5" borderId="0" xfId="4" applyNumberFormat="1" applyFill="1" applyProtection="1"/>
    <xf numFmtId="0" fontId="25" fillId="5" borderId="0" xfId="4" applyFont="1" applyFill="1" applyAlignment="1" applyProtection="1">
      <alignment horizontal="right"/>
    </xf>
    <xf numFmtId="0" fontId="2" fillId="5" borderId="0" xfId="4" applyFont="1" applyFill="1"/>
    <xf numFmtId="165" fontId="22" fillId="5" borderId="0" xfId="2" applyNumberFormat="1" applyFont="1" applyFill="1"/>
    <xf numFmtId="0" fontId="37" fillId="0" borderId="0" xfId="4" applyFont="1" applyFill="1"/>
    <xf numFmtId="165" fontId="38" fillId="0" borderId="0" xfId="1" applyNumberFormat="1" applyFont="1" applyFill="1"/>
    <xf numFmtId="165" fontId="42" fillId="0" borderId="0" xfId="1" applyNumberFormat="1" applyFont="1" applyFill="1"/>
    <xf numFmtId="0" fontId="42" fillId="0" borderId="0" xfId="4" applyFont="1" applyFill="1"/>
    <xf numFmtId="0" fontId="10" fillId="0" borderId="0" xfId="4" applyFont="1" applyFill="1"/>
    <xf numFmtId="167" fontId="10" fillId="0" borderId="0" xfId="10" applyNumberFormat="1" applyFont="1" applyFill="1"/>
    <xf numFmtId="167" fontId="40" fillId="0" borderId="0" xfId="10" applyNumberFormat="1" applyFont="1" applyFill="1"/>
    <xf numFmtId="9" fontId="0" fillId="0" borderId="0" xfId="0" applyNumberFormat="1" applyFill="1"/>
    <xf numFmtId="168" fontId="2" fillId="2" borderId="0" xfId="4" applyNumberFormat="1" applyFont="1" applyFill="1" applyProtection="1"/>
    <xf numFmtId="0" fontId="28" fillId="2" borderId="33" xfId="0" applyFont="1" applyFill="1" applyBorder="1" applyAlignment="1">
      <alignment wrapText="1"/>
    </xf>
    <xf numFmtId="10" fontId="28" fillId="2" borderId="33" xfId="0" applyNumberFormat="1" applyFont="1" applyFill="1" applyBorder="1" applyAlignment="1">
      <alignment wrapText="1"/>
    </xf>
    <xf numFmtId="0" fontId="33" fillId="2" borderId="33" xfId="0" applyFont="1" applyFill="1" applyBorder="1" applyAlignment="1">
      <alignment wrapText="1"/>
    </xf>
    <xf numFmtId="10" fontId="33" fillId="2" borderId="33" xfId="0" applyNumberFormat="1" applyFont="1" applyFill="1" applyBorder="1" applyAlignment="1">
      <alignment wrapText="1"/>
    </xf>
    <xf numFmtId="0" fontId="2" fillId="2" borderId="0" xfId="4" applyFont="1" applyFill="1"/>
    <xf numFmtId="0" fontId="30" fillId="2" borderId="0" xfId="4" applyFont="1" applyFill="1"/>
    <xf numFmtId="10" fontId="22" fillId="2" borderId="0" xfId="0" applyNumberFormat="1" applyFont="1" applyFill="1" applyAlignment="1">
      <alignment wrapText="1"/>
    </xf>
    <xf numFmtId="4" fontId="43" fillId="2" borderId="36" xfId="0" applyNumberFormat="1" applyFont="1" applyFill="1" applyBorder="1" applyAlignment="1">
      <alignment horizontal="right" vertical="center"/>
    </xf>
    <xf numFmtId="4" fontId="0" fillId="2" borderId="0" xfId="0" applyNumberFormat="1" applyFill="1"/>
    <xf numFmtId="4" fontId="44" fillId="2" borderId="0" xfId="0" applyNumberFormat="1" applyFont="1" applyFill="1" applyAlignment="1">
      <alignment horizontal="right" vertical="center"/>
    </xf>
    <xf numFmtId="176" fontId="21" fillId="0" borderId="0" xfId="1" applyNumberFormat="1" applyFont="1" applyFill="1" applyBorder="1" applyAlignment="1">
      <alignment horizontal="center"/>
    </xf>
    <xf numFmtId="177" fontId="21" fillId="0" borderId="0" xfId="1" applyNumberFormat="1" applyFont="1" applyFill="1" applyBorder="1" applyAlignment="1">
      <alignment horizontal="center"/>
    </xf>
    <xf numFmtId="178" fontId="21" fillId="0" borderId="0" xfId="1" applyNumberFormat="1" applyFont="1" applyFill="1" applyBorder="1" applyAlignment="1">
      <alignment horizontal="center"/>
    </xf>
    <xf numFmtId="172" fontId="21" fillId="0" borderId="0" xfId="1" applyNumberFormat="1" applyFont="1" applyFill="1" applyBorder="1" applyAlignment="1">
      <alignment horizontal="center"/>
    </xf>
    <xf numFmtId="165" fontId="0" fillId="0" borderId="0" xfId="1" applyNumberFormat="1" applyFont="1" applyFill="1" applyBorder="1" applyAlignment="1">
      <alignment horizontal="center"/>
    </xf>
    <xf numFmtId="0" fontId="28" fillId="0" borderId="0" xfId="0" applyFont="1" applyAlignment="1">
      <alignment wrapText="1"/>
    </xf>
    <xf numFmtId="0" fontId="33" fillId="0" borderId="0" xfId="0" applyFont="1" applyAlignment="1">
      <alignment wrapText="1"/>
    </xf>
    <xf numFmtId="0" fontId="28" fillId="0" borderId="33" xfId="0" applyFont="1" applyBorder="1" applyAlignment="1">
      <alignment wrapText="1"/>
    </xf>
    <xf numFmtId="0" fontId="33" fillId="0" borderId="33" xfId="0" applyFont="1" applyBorder="1" applyAlignment="1">
      <alignment wrapText="1"/>
    </xf>
    <xf numFmtId="10" fontId="28" fillId="0" borderId="0" xfId="0" applyNumberFormat="1" applyFont="1" applyAlignment="1">
      <alignment wrapText="1"/>
    </xf>
    <xf numFmtId="10" fontId="33" fillId="0" borderId="0" xfId="0" applyNumberFormat="1" applyFont="1" applyAlignment="1">
      <alignment wrapText="1"/>
    </xf>
    <xf numFmtId="2" fontId="43" fillId="2" borderId="32" xfId="0" applyNumberFormat="1" applyFont="1" applyFill="1" applyBorder="1" applyAlignment="1">
      <alignment horizontal="right" vertical="center"/>
    </xf>
    <xf numFmtId="2" fontId="43" fillId="2" borderId="35" xfId="0" applyNumberFormat="1" applyFont="1" applyFill="1" applyBorder="1" applyAlignment="1">
      <alignment horizontal="right" vertical="center"/>
    </xf>
    <xf numFmtId="2" fontId="2" fillId="2" borderId="0" xfId="4" applyNumberFormat="1" applyFont="1" applyFill="1" applyProtection="1"/>
    <xf numFmtId="0" fontId="43" fillId="0" borderId="36" xfId="0" applyFont="1" applyBorder="1" applyAlignment="1">
      <alignment horizontal="left" vertical="center"/>
    </xf>
    <xf numFmtId="0" fontId="44" fillId="0" borderId="0" xfId="0" applyFont="1" applyAlignment="1">
      <alignment horizontal="left" vertical="center"/>
    </xf>
    <xf numFmtId="0" fontId="0" fillId="0" borderId="33" xfId="0" applyBorder="1" applyAlignment="1">
      <alignment wrapText="1"/>
    </xf>
    <xf numFmtId="0" fontId="49" fillId="9" borderId="0" xfId="4" applyFont="1" applyFill="1" applyAlignment="1" applyProtection="1">
      <alignment horizontal="left"/>
    </xf>
    <xf numFmtId="0" fontId="50" fillId="9" borderId="0" xfId="4" applyFont="1" applyFill="1" applyAlignment="1" applyProtection="1">
      <alignment horizontal="center"/>
    </xf>
    <xf numFmtId="165" fontId="21" fillId="9" borderId="0" xfId="1" applyNumberFormat="1" applyFont="1" applyFill="1" applyAlignment="1">
      <alignment horizontal="center"/>
    </xf>
    <xf numFmtId="0" fontId="21" fillId="9" borderId="0" xfId="0" applyFont="1" applyFill="1"/>
    <xf numFmtId="0" fontId="43" fillId="0" borderId="32" xfId="0" applyFont="1" applyBorder="1" applyAlignment="1">
      <alignment horizontal="left" vertical="center"/>
    </xf>
    <xf numFmtId="0" fontId="43" fillId="0" borderId="34" xfId="0" applyFont="1" applyBorder="1" applyAlignment="1">
      <alignment horizontal="left" vertical="center"/>
    </xf>
    <xf numFmtId="0" fontId="43" fillId="0" borderId="35" xfId="0" applyFont="1" applyBorder="1" applyAlignment="1">
      <alignment horizontal="left" vertical="center"/>
    </xf>
    <xf numFmtId="167" fontId="0" fillId="0" borderId="0" xfId="0" applyNumberFormat="1"/>
    <xf numFmtId="0" fontId="22" fillId="9" borderId="0" xfId="0" applyFont="1" applyFill="1"/>
    <xf numFmtId="0" fontId="22" fillId="9" borderId="0" xfId="0" applyFont="1" applyFill="1" applyAlignment="1">
      <alignment horizontal="center"/>
    </xf>
    <xf numFmtId="165" fontId="22" fillId="9" borderId="5" xfId="0" applyNumberFormat="1" applyFont="1" applyFill="1" applyBorder="1" applyAlignment="1">
      <alignment horizontal="center"/>
    </xf>
    <xf numFmtId="165" fontId="22" fillId="9" borderId="0" xfId="0" applyNumberFormat="1" applyFont="1" applyFill="1" applyBorder="1" applyAlignment="1">
      <alignment horizontal="center"/>
    </xf>
    <xf numFmtId="167" fontId="0" fillId="2" borderId="1" xfId="10" applyNumberFormat="1" applyFont="1" applyFill="1" applyBorder="1" applyAlignment="1">
      <alignment horizontal="center"/>
    </xf>
    <xf numFmtId="168" fontId="28" fillId="2" borderId="33" xfId="0" applyNumberFormat="1" applyFont="1" applyFill="1" applyBorder="1" applyAlignment="1">
      <alignment wrapText="1"/>
    </xf>
    <xf numFmtId="0" fontId="1" fillId="0" borderId="0" xfId="0" applyFont="1"/>
    <xf numFmtId="2" fontId="1" fillId="0" borderId="0" xfId="0" applyNumberFormat="1" applyFont="1"/>
    <xf numFmtId="0" fontId="0" fillId="0" borderId="0" xfId="0" applyAlignment="1">
      <alignment horizontal="center"/>
    </xf>
    <xf numFmtId="0" fontId="1" fillId="0" borderId="37" xfId="0" applyFont="1" applyBorder="1"/>
    <xf numFmtId="0" fontId="1" fillId="0" borderId="0" xfId="0" applyFont="1" applyAlignment="1">
      <alignment horizontal="center"/>
    </xf>
    <xf numFmtId="0" fontId="28" fillId="0" borderId="0" xfId="0" applyFont="1" applyAlignment="1">
      <alignment horizontal="center" vertical="top"/>
    </xf>
    <xf numFmtId="0" fontId="0" fillId="0" borderId="0" xfId="0" applyAlignment="1">
      <alignment wrapText="1"/>
    </xf>
    <xf numFmtId="0" fontId="0" fillId="0" borderId="25" xfId="0" applyBorder="1" applyAlignment="1">
      <alignment wrapText="1"/>
    </xf>
    <xf numFmtId="0" fontId="15" fillId="5" borderId="17" xfId="6" applyFont="1" applyFill="1" applyBorder="1" applyAlignment="1">
      <alignment horizontal="center" vertical="center" wrapText="1"/>
    </xf>
    <xf numFmtId="0" fontId="15" fillId="5" borderId="21" xfId="6" applyFont="1" applyFill="1" applyBorder="1" applyAlignment="1">
      <alignment horizontal="center" vertical="center" wrapText="1"/>
    </xf>
    <xf numFmtId="0" fontId="15" fillId="5" borderId="17" xfId="6" applyFont="1" applyFill="1" applyBorder="1" applyAlignment="1">
      <alignment horizontal="center" vertical="center" textRotation="90" wrapText="1"/>
    </xf>
    <xf numFmtId="0" fontId="15" fillId="5" borderId="23" xfId="6" applyFont="1" applyFill="1" applyBorder="1" applyAlignment="1">
      <alignment horizontal="center" vertical="center" wrapText="1"/>
    </xf>
    <xf numFmtId="0" fontId="15" fillId="5" borderId="24" xfId="6" applyFont="1" applyFill="1" applyBorder="1" applyAlignment="1">
      <alignment horizontal="center" vertical="center" wrapText="1"/>
    </xf>
    <xf numFmtId="0" fontId="15" fillId="5" borderId="19" xfId="6" applyFont="1" applyFill="1" applyBorder="1" applyAlignment="1">
      <alignment horizontal="center"/>
    </xf>
    <xf numFmtId="0" fontId="15" fillId="5" borderId="20" xfId="6" applyFont="1" applyFill="1" applyBorder="1" applyAlignment="1">
      <alignment horizontal="center"/>
    </xf>
    <xf numFmtId="0" fontId="15" fillId="5" borderId="38" xfId="6" applyFont="1" applyFill="1" applyBorder="1" applyAlignment="1">
      <alignment horizontal="center"/>
    </xf>
    <xf numFmtId="0" fontId="15" fillId="5" borderId="15" xfId="6" applyFont="1" applyFill="1" applyBorder="1" applyAlignment="1">
      <alignment horizontal="center" vertical="center" wrapText="1"/>
    </xf>
    <xf numFmtId="0" fontId="15" fillId="5" borderId="6" xfId="6" applyFont="1" applyFill="1" applyBorder="1" applyAlignment="1">
      <alignment horizontal="center" vertical="center" wrapText="1"/>
    </xf>
    <xf numFmtId="0" fontId="15" fillId="5" borderId="22" xfId="6" applyFont="1" applyFill="1" applyBorder="1" applyAlignment="1">
      <alignment horizontal="center" vertical="center" textRotation="90" wrapText="1"/>
    </xf>
    <xf numFmtId="0" fontId="15" fillId="5" borderId="39" xfId="6" applyFont="1" applyFill="1" applyBorder="1" applyAlignment="1">
      <alignment horizontal="center" vertical="center" wrapText="1"/>
    </xf>
    <xf numFmtId="0" fontId="15" fillId="5" borderId="7" xfId="6" applyFont="1" applyFill="1" applyBorder="1" applyAlignment="1">
      <alignment horizontal="center" vertical="center" wrapText="1"/>
    </xf>
    <xf numFmtId="0" fontId="15" fillId="5" borderId="14" xfId="6" applyFont="1" applyFill="1" applyBorder="1" applyAlignment="1">
      <alignment horizontal="center" vertical="center" wrapText="1"/>
    </xf>
    <xf numFmtId="0" fontId="15" fillId="5" borderId="28" xfId="6" applyFont="1" applyFill="1" applyBorder="1" applyAlignment="1">
      <alignment horizontal="center" vertical="center" textRotation="90" wrapText="1"/>
    </xf>
    <xf numFmtId="0" fontId="15" fillId="5" borderId="40" xfId="6" applyFont="1" applyFill="1" applyBorder="1" applyAlignment="1">
      <alignment horizontal="center" vertical="center" wrapText="1"/>
    </xf>
    <xf numFmtId="0" fontId="15" fillId="5" borderId="29" xfId="6" applyFont="1" applyFill="1" applyBorder="1" applyAlignment="1">
      <alignment horizontal="center" vertical="center" wrapText="1"/>
    </xf>
    <xf numFmtId="0" fontId="15" fillId="5" borderId="41" xfId="6" applyFont="1" applyFill="1" applyBorder="1" applyAlignment="1">
      <alignment horizontal="center" vertical="center" wrapText="1"/>
    </xf>
    <xf numFmtId="0" fontId="15" fillId="5" borderId="42" xfId="6" applyFont="1" applyFill="1" applyBorder="1" applyAlignment="1">
      <alignment horizontal="center" vertical="center" wrapText="1"/>
    </xf>
    <xf numFmtId="0" fontId="14" fillId="0" borderId="43" xfId="6" applyFont="1" applyFill="1" applyBorder="1" applyAlignment="1">
      <alignment horizontal="center" vertical="center" wrapText="1"/>
    </xf>
    <xf numFmtId="9" fontId="14" fillId="0" borderId="43" xfId="6" applyNumberFormat="1" applyFont="1" applyFill="1" applyBorder="1" applyAlignment="1">
      <alignment horizontal="center" vertical="center" wrapText="1"/>
    </xf>
    <xf numFmtId="1" fontId="14" fillId="0" borderId="43" xfId="6" applyNumberFormat="1" applyFont="1" applyFill="1" applyBorder="1" applyAlignment="1">
      <alignment horizontal="center" vertical="center" wrapText="1"/>
    </xf>
    <xf numFmtId="2" fontId="14" fillId="0" borderId="43" xfId="6" applyNumberFormat="1" applyFont="1" applyBorder="1" applyAlignment="1">
      <alignment horizontal="center" vertical="center" wrapText="1"/>
    </xf>
    <xf numFmtId="2" fontId="14" fillId="0" borderId="44" xfId="6" applyNumberFormat="1" applyFont="1" applyBorder="1" applyAlignment="1">
      <alignment horizontal="center" vertical="center" wrapText="1"/>
    </xf>
    <xf numFmtId="2" fontId="14" fillId="0" borderId="43" xfId="6" applyNumberFormat="1" applyFont="1" applyFill="1" applyBorder="1" applyAlignment="1">
      <alignment horizontal="center" vertical="center" wrapText="1"/>
    </xf>
    <xf numFmtId="2" fontId="14" fillId="0" borderId="45" xfId="6" applyNumberFormat="1" applyFont="1" applyFill="1" applyBorder="1" applyAlignment="1">
      <alignment horizontal="center" vertical="center" wrapText="1"/>
    </xf>
    <xf numFmtId="2" fontId="14" fillId="0" borderId="44" xfId="6" applyNumberFormat="1" applyFont="1" applyFill="1" applyBorder="1" applyAlignment="1">
      <alignment horizontal="center" vertical="center" wrapText="1"/>
    </xf>
    <xf numFmtId="2" fontId="14" fillId="0" borderId="46" xfId="6" applyNumberFormat="1" applyFont="1" applyFill="1" applyBorder="1" applyAlignment="1">
      <alignment horizontal="center" vertical="center" wrapText="1"/>
    </xf>
    <xf numFmtId="2" fontId="14" fillId="0" borderId="15" xfId="6" applyNumberFormat="1" applyFont="1" applyFill="1" applyBorder="1" applyAlignment="1">
      <alignment horizontal="center" vertical="center" wrapText="1"/>
    </xf>
    <xf numFmtId="0" fontId="14" fillId="0" borderId="47" xfId="6" applyFont="1" applyFill="1" applyBorder="1" applyAlignment="1">
      <alignment horizontal="center" vertical="center" wrapText="1"/>
    </xf>
    <xf numFmtId="9" fontId="14" fillId="0" borderId="47" xfId="6" quotePrefix="1" applyNumberFormat="1" applyFont="1" applyFill="1" applyBorder="1" applyAlignment="1">
      <alignment horizontal="center" vertical="center" wrapText="1"/>
    </xf>
    <xf numFmtId="1" fontId="14" fillId="0" borderId="47" xfId="6" applyNumberFormat="1" applyFont="1" applyFill="1" applyBorder="1" applyAlignment="1">
      <alignment horizontal="center" vertical="center" wrapText="1"/>
    </xf>
    <xf numFmtId="2" fontId="14" fillId="0" borderId="47" xfId="6" applyNumberFormat="1" applyFont="1" applyBorder="1" applyAlignment="1">
      <alignment horizontal="center" vertical="center" wrapText="1"/>
    </xf>
    <xf numFmtId="2" fontId="14" fillId="0" borderId="48" xfId="6" applyNumberFormat="1" applyFont="1" applyBorder="1" applyAlignment="1">
      <alignment horizontal="center" vertical="center" wrapText="1"/>
    </xf>
    <xf numFmtId="2" fontId="14" fillId="0" borderId="47" xfId="6" applyNumberFormat="1" applyFont="1" applyFill="1" applyBorder="1" applyAlignment="1">
      <alignment horizontal="center" vertical="center" wrapText="1"/>
    </xf>
    <xf numFmtId="2" fontId="14" fillId="0" borderId="49" xfId="6" applyNumberFormat="1" applyFont="1" applyFill="1" applyBorder="1" applyAlignment="1">
      <alignment horizontal="center" vertical="center" wrapText="1"/>
    </xf>
    <xf numFmtId="2" fontId="14" fillId="0" borderId="48" xfId="6" applyNumberFormat="1" applyFont="1" applyFill="1" applyBorder="1" applyAlignment="1">
      <alignment horizontal="center" vertical="center" wrapText="1"/>
    </xf>
    <xf numFmtId="2" fontId="14" fillId="0" borderId="50" xfId="6" applyNumberFormat="1" applyFont="1" applyFill="1" applyBorder="1" applyAlignment="1">
      <alignment horizontal="center" vertical="center" wrapText="1"/>
    </xf>
    <xf numFmtId="2" fontId="14" fillId="0" borderId="47" xfId="6" applyNumberFormat="1" applyFont="1" applyFill="1" applyBorder="1" applyAlignment="1">
      <alignment horizontal="center" vertical="center" wrapText="1"/>
    </xf>
    <xf numFmtId="0" fontId="14" fillId="0" borderId="51" xfId="6" applyFont="1" applyBorder="1" applyAlignment="1">
      <alignment horizontal="center" vertical="center" wrapText="1"/>
    </xf>
    <xf numFmtId="9" fontId="14" fillId="0" borderId="51" xfId="6" applyNumberFormat="1" applyFont="1" applyBorder="1" applyAlignment="1">
      <alignment horizontal="center" vertical="center" wrapText="1"/>
    </xf>
    <xf numFmtId="1" fontId="14" fillId="0" borderId="51" xfId="6" applyNumberFormat="1" applyFont="1" applyBorder="1" applyAlignment="1">
      <alignment horizontal="center" vertical="center" wrapText="1"/>
    </xf>
    <xf numFmtId="2" fontId="14" fillId="0" borderId="51" xfId="6" applyNumberFormat="1" applyFont="1" applyBorder="1" applyAlignment="1">
      <alignment horizontal="center" vertical="center" wrapText="1"/>
    </xf>
    <xf numFmtId="2" fontId="14" fillId="0" borderId="27" xfId="6" applyNumberFormat="1" applyFont="1" applyBorder="1" applyAlignment="1">
      <alignment horizontal="center" vertical="center" wrapText="1"/>
    </xf>
    <xf numFmtId="2" fontId="14" fillId="0" borderId="26" xfId="6" applyNumberFormat="1" applyFont="1" applyBorder="1" applyAlignment="1">
      <alignment horizontal="center" vertical="center" wrapText="1"/>
    </xf>
    <xf numFmtId="2" fontId="14" fillId="0" borderId="51" xfId="6" applyNumberFormat="1" applyFont="1" applyFill="1" applyBorder="1" applyAlignment="1">
      <alignment horizontal="center" vertical="center" wrapText="1"/>
    </xf>
    <xf numFmtId="2" fontId="14" fillId="0" borderId="27" xfId="6" applyNumberFormat="1" applyFont="1" applyFill="1" applyBorder="1" applyAlignment="1">
      <alignment horizontal="center" vertical="center" wrapText="1"/>
    </xf>
    <xf numFmtId="2" fontId="14" fillId="0" borderId="52" xfId="6" applyNumberFormat="1" applyFont="1" applyFill="1" applyBorder="1" applyAlignment="1">
      <alignment horizontal="center" vertical="center" wrapText="1"/>
    </xf>
    <xf numFmtId="2" fontId="14" fillId="0" borderId="51" xfId="6" applyNumberFormat="1" applyFont="1" applyFill="1" applyBorder="1" applyAlignment="1">
      <alignment horizontal="center" vertical="center" wrapText="1"/>
    </xf>
    <xf numFmtId="0" fontId="14" fillId="0" borderId="16" xfId="6" applyFont="1" applyBorder="1" applyAlignment="1">
      <alignment horizontal="center" vertical="center" wrapText="1"/>
    </xf>
    <xf numFmtId="9" fontId="14" fillId="0" borderId="16" xfId="6" applyNumberFormat="1" applyFont="1" applyBorder="1" applyAlignment="1">
      <alignment horizontal="center" vertical="center" wrapText="1"/>
    </xf>
    <xf numFmtId="1" fontId="14" fillId="0" borderId="16" xfId="6" applyNumberFormat="1" applyFont="1" applyBorder="1" applyAlignment="1">
      <alignment horizontal="center" vertical="center" wrapText="1"/>
    </xf>
    <xf numFmtId="2" fontId="14" fillId="0" borderId="16" xfId="6" applyNumberFormat="1" applyFont="1" applyBorder="1" applyAlignment="1">
      <alignment horizontal="center" vertical="center" wrapText="1"/>
    </xf>
    <xf numFmtId="2" fontId="14" fillId="0" borderId="20" xfId="6" applyNumberFormat="1" applyFont="1" applyBorder="1" applyAlignment="1">
      <alignment horizontal="center" vertical="center" wrapText="1"/>
    </xf>
    <xf numFmtId="2" fontId="14" fillId="0" borderId="19" xfId="6" applyNumberFormat="1" applyFont="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38"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0" fontId="14" fillId="0" borderId="30" xfId="6" applyFont="1" applyBorder="1" applyAlignment="1">
      <alignment horizontal="center" vertical="center" wrapText="1"/>
    </xf>
    <xf numFmtId="9" fontId="14" fillId="0" borderId="30" xfId="6" applyNumberFormat="1" applyFont="1" applyBorder="1" applyAlignment="1">
      <alignment horizontal="center" vertical="center" wrapText="1"/>
    </xf>
    <xf numFmtId="1" fontId="14" fillId="0" borderId="30" xfId="6" applyNumberFormat="1" applyFont="1" applyBorder="1" applyAlignment="1">
      <alignment horizontal="center" vertical="center" wrapText="1"/>
    </xf>
    <xf numFmtId="2" fontId="14" fillId="0" borderId="30" xfId="6" applyNumberFormat="1" applyFont="1" applyBorder="1" applyAlignment="1">
      <alignment horizontal="center" vertical="center" wrapText="1"/>
    </xf>
    <xf numFmtId="2" fontId="14" fillId="0" borderId="13" xfId="6" applyNumberFormat="1" applyFont="1" applyBorder="1" applyAlignment="1">
      <alignment horizontal="center" vertical="center" wrapText="1"/>
    </xf>
    <xf numFmtId="2" fontId="14" fillId="0" borderId="53" xfId="6" applyNumberFormat="1" applyFont="1" applyBorder="1" applyAlignment="1">
      <alignment horizontal="center" vertical="center" wrapText="1"/>
    </xf>
    <xf numFmtId="2" fontId="14" fillId="0" borderId="30" xfId="6" applyNumberFormat="1" applyFont="1" applyFill="1" applyBorder="1" applyAlignment="1">
      <alignment horizontal="center" vertical="center" wrapText="1"/>
    </xf>
    <xf numFmtId="2" fontId="14" fillId="0" borderId="13" xfId="6" applyNumberFormat="1" applyFont="1" applyFill="1" applyBorder="1" applyAlignment="1">
      <alignment horizontal="center" vertical="center" wrapText="1"/>
    </xf>
    <xf numFmtId="2" fontId="14" fillId="0" borderId="31" xfId="6" applyNumberFormat="1" applyFont="1" applyFill="1" applyBorder="1" applyAlignment="1">
      <alignment horizontal="center" vertical="center" wrapText="1"/>
    </xf>
    <xf numFmtId="0" fontId="14" fillId="0" borderId="54" xfId="6" applyFont="1" applyBorder="1" applyAlignment="1">
      <alignment horizontal="center" vertical="center" wrapText="1"/>
    </xf>
    <xf numFmtId="9" fontId="14" fillId="0" borderId="54" xfId="6" applyNumberFormat="1" applyFont="1" applyBorder="1" applyAlignment="1">
      <alignment horizontal="center" vertical="center" wrapText="1"/>
    </xf>
    <xf numFmtId="1" fontId="14" fillId="0" borderId="54" xfId="6" applyNumberFormat="1" applyFont="1" applyBorder="1" applyAlignment="1">
      <alignment horizontal="center" vertical="center" wrapText="1"/>
    </xf>
    <xf numFmtId="2" fontId="14" fillId="0" borderId="54" xfId="6" applyNumberFormat="1" applyFont="1" applyBorder="1" applyAlignment="1">
      <alignment horizontal="center" vertical="center" wrapText="1"/>
    </xf>
    <xf numFmtId="2" fontId="14" fillId="0" borderId="55" xfId="6" applyNumberFormat="1" applyFont="1" applyBorder="1" applyAlignment="1">
      <alignment horizontal="center" vertical="center" wrapText="1"/>
    </xf>
    <xf numFmtId="2" fontId="14" fillId="0" borderId="56" xfId="6" applyNumberFormat="1" applyFont="1" applyBorder="1" applyAlignment="1">
      <alignment horizontal="center" vertical="center" wrapText="1"/>
    </xf>
    <xf numFmtId="2" fontId="14" fillId="0" borderId="54" xfId="6" applyNumberFormat="1" applyFont="1" applyFill="1" applyBorder="1" applyAlignment="1">
      <alignment horizontal="center" vertical="center" wrapText="1"/>
    </xf>
    <xf numFmtId="2" fontId="14" fillId="0" borderId="55" xfId="6" applyNumberFormat="1" applyFont="1" applyFill="1" applyBorder="1" applyAlignment="1">
      <alignment horizontal="center" vertical="center" wrapText="1"/>
    </xf>
    <xf numFmtId="2" fontId="14" fillId="0" borderId="57" xfId="6" applyNumberFormat="1" applyFont="1" applyFill="1" applyBorder="1" applyAlignment="1">
      <alignment horizontal="center" vertical="center" wrapText="1"/>
    </xf>
    <xf numFmtId="0" fontId="14" fillId="0" borderId="51" xfId="4" applyFont="1" applyBorder="1" applyAlignment="1">
      <alignment horizontal="center" vertical="center" wrapText="1"/>
    </xf>
    <xf numFmtId="9" fontId="14" fillId="0" borderId="51" xfId="4" applyNumberFormat="1" applyFont="1" applyFill="1" applyBorder="1" applyAlignment="1">
      <alignment horizontal="center" vertical="center" wrapText="1"/>
    </xf>
    <xf numFmtId="1" fontId="14" fillId="0" borderId="51" xfId="4" applyNumberFormat="1" applyFont="1" applyBorder="1" applyAlignment="1">
      <alignment horizontal="center" vertical="center" wrapText="1"/>
    </xf>
    <xf numFmtId="2" fontId="14" fillId="0" borderId="51" xfId="4" applyNumberFormat="1" applyFont="1" applyBorder="1" applyAlignment="1">
      <alignment horizontal="center" vertical="center" wrapText="1"/>
    </xf>
    <xf numFmtId="2" fontId="14" fillId="0" borderId="27" xfId="4" applyNumberFormat="1" applyFont="1" applyBorder="1" applyAlignment="1">
      <alignment horizontal="center" vertical="center" wrapText="1"/>
    </xf>
    <xf numFmtId="2" fontId="14" fillId="0" borderId="26" xfId="4" applyNumberFormat="1" applyFont="1" applyFill="1" applyBorder="1" applyAlignment="1">
      <alignment horizontal="center" vertical="center" wrapText="1"/>
    </xf>
    <xf numFmtId="2" fontId="14" fillId="0" borderId="51" xfId="4" applyNumberFormat="1" applyFont="1" applyFill="1" applyBorder="1" applyAlignment="1">
      <alignment horizontal="center" vertical="center" wrapText="1"/>
    </xf>
    <xf numFmtId="2" fontId="14" fillId="0" borderId="27" xfId="4" applyNumberFormat="1" applyFont="1" applyFill="1" applyBorder="1" applyAlignment="1">
      <alignment horizontal="center" vertical="center" wrapText="1"/>
    </xf>
    <xf numFmtId="2" fontId="14" fillId="0" borderId="52" xfId="4" applyNumberFormat="1" applyFont="1" applyFill="1" applyBorder="1" applyAlignment="1">
      <alignment horizontal="center" vertical="center" wrapText="1"/>
    </xf>
    <xf numFmtId="2" fontId="14" fillId="2" borderId="51" xfId="4" applyNumberFormat="1" applyFont="1" applyFill="1" applyBorder="1" applyAlignment="1">
      <alignment horizontal="center" vertical="center" wrapText="1"/>
    </xf>
    <xf numFmtId="0" fontId="14" fillId="0" borderId="15" xfId="4" applyFont="1" applyBorder="1" applyAlignment="1">
      <alignment horizontal="center" vertical="center" wrapText="1"/>
    </xf>
    <xf numFmtId="9" fontId="14" fillId="0" borderId="15" xfId="4" applyNumberFormat="1" applyFont="1" applyFill="1" applyBorder="1" applyAlignment="1">
      <alignment horizontal="center" vertical="center" wrapText="1"/>
    </xf>
    <xf numFmtId="1" fontId="14" fillId="0" borderId="15" xfId="4" applyNumberFormat="1" applyFont="1" applyBorder="1" applyAlignment="1">
      <alignment horizontal="center" vertical="center" wrapText="1"/>
    </xf>
    <xf numFmtId="2" fontId="14" fillId="0" borderId="15" xfId="4" applyNumberFormat="1" applyFont="1" applyBorder="1" applyAlignment="1">
      <alignment horizontal="center" vertical="center" wrapText="1"/>
    </xf>
    <xf numFmtId="2" fontId="14" fillId="0" borderId="7" xfId="4" applyNumberFormat="1" applyFont="1" applyBorder="1" applyAlignment="1">
      <alignment horizontal="center" vertical="center" wrapText="1"/>
    </xf>
    <xf numFmtId="2" fontId="14" fillId="0" borderId="39" xfId="4" applyNumberFormat="1" applyFont="1" applyFill="1" applyBorder="1" applyAlignment="1">
      <alignment horizontal="center" vertical="center" wrapText="1"/>
    </xf>
    <xf numFmtId="2" fontId="14" fillId="0" borderId="15" xfId="4" applyNumberFormat="1" applyFont="1" applyFill="1" applyBorder="1" applyAlignment="1">
      <alignment horizontal="center" vertical="center" wrapText="1"/>
    </xf>
    <xf numFmtId="2" fontId="14" fillId="0" borderId="7" xfId="4" applyNumberFormat="1" applyFont="1" applyFill="1" applyBorder="1" applyAlignment="1">
      <alignment horizontal="center" vertical="center" wrapText="1"/>
    </xf>
    <xf numFmtId="2" fontId="14" fillId="0" borderId="6" xfId="4" applyNumberFormat="1" applyFont="1" applyFill="1" applyBorder="1" applyAlignment="1">
      <alignment horizontal="center" vertical="center" wrapText="1"/>
    </xf>
    <xf numFmtId="2" fontId="14" fillId="2" borderId="16" xfId="4" applyNumberFormat="1" applyFont="1" applyFill="1" applyBorder="1" applyAlignment="1">
      <alignment horizontal="center" vertical="center" wrapText="1"/>
    </xf>
    <xf numFmtId="2" fontId="14" fillId="0" borderId="30" xfId="4" applyNumberFormat="1" applyFont="1" applyBorder="1" applyAlignment="1">
      <alignment horizontal="center" vertical="center" wrapText="1"/>
    </xf>
    <xf numFmtId="2" fontId="14" fillId="0" borderId="31" xfId="6" applyNumberFormat="1" applyFont="1" applyBorder="1" applyAlignment="1">
      <alignment horizontal="center" vertical="center" wrapText="1"/>
    </xf>
    <xf numFmtId="2" fontId="14" fillId="2" borderId="47" xfId="4" applyNumberFormat="1" applyFont="1" applyFill="1" applyBorder="1" applyAlignment="1">
      <alignment horizontal="center" vertical="center" wrapText="1"/>
    </xf>
    <xf numFmtId="9" fontId="14" fillId="0" borderId="51" xfId="6" applyNumberFormat="1" applyFont="1" applyFill="1" applyBorder="1" applyAlignment="1">
      <alignment horizontal="center" vertical="center" wrapText="1"/>
    </xf>
    <xf numFmtId="0" fontId="14" fillId="0" borderId="16" xfId="6" applyFont="1" applyFill="1" applyBorder="1" applyAlignment="1">
      <alignment horizontal="center" vertical="center" wrapText="1"/>
    </xf>
    <xf numFmtId="9" fontId="14" fillId="0" borderId="16" xfId="6" applyNumberFormat="1" applyFont="1" applyFill="1" applyBorder="1" applyAlignment="1">
      <alignment horizontal="center" vertical="center" wrapText="1"/>
    </xf>
    <xf numFmtId="1" fontId="14" fillId="0" borderId="16" xfId="6" applyNumberFormat="1" applyFont="1" applyFill="1" applyBorder="1" applyAlignment="1">
      <alignment horizontal="center" vertical="center" wrapText="1"/>
    </xf>
    <xf numFmtId="2" fontId="14" fillId="0" borderId="19" xfId="6" applyNumberFormat="1" applyFont="1" applyFill="1" applyBorder="1" applyAlignment="1">
      <alignment horizontal="center" vertical="center" wrapText="1"/>
    </xf>
    <xf numFmtId="0" fontId="14" fillId="0" borderId="30" xfId="6" applyFont="1" applyFill="1" applyBorder="1" applyAlignment="1">
      <alignment horizontal="center" vertical="center" wrapText="1"/>
    </xf>
    <xf numFmtId="9" fontId="14" fillId="0" borderId="30" xfId="6" applyNumberFormat="1" applyFont="1" applyFill="1" applyBorder="1" applyAlignment="1">
      <alignment horizontal="center" vertical="center" wrapText="1"/>
    </xf>
    <xf numFmtId="2" fontId="14" fillId="0" borderId="53" xfId="6" applyNumberFormat="1" applyFont="1" applyFill="1" applyBorder="1" applyAlignment="1">
      <alignment horizontal="center" vertical="center" wrapText="1"/>
    </xf>
    <xf numFmtId="0" fontId="14" fillId="0" borderId="51" xfId="6" applyFont="1" applyFill="1" applyBorder="1" applyAlignment="1">
      <alignment horizontal="center" vertical="center" wrapText="1"/>
    </xf>
    <xf numFmtId="2" fontId="14" fillId="0" borderId="26" xfId="6" applyNumberFormat="1" applyFont="1" applyFill="1" applyBorder="1" applyAlignment="1">
      <alignment horizontal="center" vertical="center" wrapText="1"/>
    </xf>
    <xf numFmtId="1" fontId="14" fillId="0" borderId="30" xfId="6" applyNumberFormat="1" applyFont="1" applyFill="1" applyBorder="1" applyAlignment="1">
      <alignment horizontal="center" vertical="center" wrapText="1"/>
    </xf>
    <xf numFmtId="2" fontId="14" fillId="0" borderId="56" xfId="6" applyNumberFormat="1" applyFont="1" applyFill="1" applyBorder="1" applyAlignment="1">
      <alignment horizontal="center" vertical="center" wrapText="1"/>
    </xf>
    <xf numFmtId="0" fontId="14" fillId="0" borderId="54" xfId="6" applyFont="1" applyFill="1" applyBorder="1" applyAlignment="1">
      <alignment horizontal="center" vertical="center" wrapText="1"/>
    </xf>
    <xf numFmtId="9" fontId="14" fillId="0" borderId="54" xfId="6" applyNumberFormat="1" applyFont="1" applyFill="1" applyBorder="1" applyAlignment="1">
      <alignment horizontal="center" vertical="center" wrapText="1"/>
    </xf>
    <xf numFmtId="1" fontId="14" fillId="0" borderId="54" xfId="6" applyNumberFormat="1" applyFont="1" applyFill="1" applyBorder="1" applyAlignment="1">
      <alignment horizontal="center" vertical="center" wrapText="1"/>
    </xf>
    <xf numFmtId="0" fontId="14" fillId="0" borderId="15" xfId="6" applyFont="1" applyFill="1" applyBorder="1" applyAlignment="1">
      <alignment horizontal="center" vertical="center" wrapText="1"/>
    </xf>
    <xf numFmtId="9" fontId="14" fillId="0" borderId="15" xfId="11" applyFont="1" applyBorder="1" applyAlignment="1">
      <alignment horizontal="center" vertical="center" wrapText="1"/>
    </xf>
    <xf numFmtId="1" fontId="14" fillId="0" borderId="15" xfId="6" applyNumberFormat="1" applyFont="1" applyBorder="1" applyAlignment="1">
      <alignment horizontal="center" vertical="center" wrapText="1"/>
    </xf>
    <xf numFmtId="2" fontId="14" fillId="0" borderId="39" xfId="6" applyNumberFormat="1" applyFont="1" applyBorder="1" applyAlignment="1">
      <alignment horizontal="center" vertical="center" wrapText="1"/>
    </xf>
    <xf numFmtId="2" fontId="14" fillId="0" borderId="7" xfId="6" applyNumberFormat="1" applyFont="1" applyBorder="1" applyAlignment="1">
      <alignment horizontal="center" vertical="center" wrapText="1"/>
    </xf>
    <xf numFmtId="2" fontId="14" fillId="0" borderId="6" xfId="6" applyNumberFormat="1" applyFont="1" applyBorder="1" applyAlignment="1">
      <alignment horizontal="center" vertical="center" wrapText="1"/>
    </xf>
    <xf numFmtId="2" fontId="14" fillId="0" borderId="6" xfId="6" applyNumberFormat="1" applyFont="1" applyFill="1" applyBorder="1" applyAlignment="1">
      <alignment horizontal="center" vertical="center" wrapText="1"/>
    </xf>
    <xf numFmtId="2" fontId="14" fillId="0" borderId="15" xfId="4" applyNumberFormat="1" applyFont="1" applyFill="1" applyBorder="1" applyAlignment="1">
      <alignment horizontal="center" vertical="center" wrapText="1"/>
    </xf>
    <xf numFmtId="9" fontId="14" fillId="0" borderId="16" xfId="11" applyFont="1" applyBorder="1" applyAlignment="1">
      <alignment horizontal="center" vertical="center" wrapText="1"/>
    </xf>
    <xf numFmtId="2" fontId="14" fillId="0" borderId="19" xfId="6" applyNumberFormat="1" applyFont="1" applyBorder="1" applyAlignment="1">
      <alignment horizontal="center" vertical="center" wrapText="1"/>
    </xf>
    <xf numFmtId="2" fontId="14" fillId="0" borderId="20" xfId="6" applyNumberFormat="1" applyFont="1" applyBorder="1" applyAlignment="1">
      <alignment horizontal="center" vertical="center" wrapText="1"/>
    </xf>
    <xf numFmtId="2" fontId="14" fillId="0" borderId="38" xfId="6" applyNumberFormat="1" applyFont="1" applyBorder="1" applyAlignment="1">
      <alignment horizontal="center" vertical="center" wrapText="1"/>
    </xf>
    <xf numFmtId="2" fontId="14" fillId="0" borderId="16" xfId="4" applyNumberFormat="1" applyFont="1" applyFill="1" applyBorder="1" applyAlignment="1">
      <alignment horizontal="center" vertical="center" wrapText="1"/>
    </xf>
    <xf numFmtId="9" fontId="1" fillId="0" borderId="0" xfId="6" applyNumberFormat="1" applyFont="1"/>
  </cellXfs>
  <cellStyles count="30">
    <cellStyle name="Comma" xfId="1" builtinId="3"/>
    <cellStyle name="Comma 2" xfId="2"/>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2" xfId="3"/>
    <cellStyle name="Normal" xfId="0" builtinId="0"/>
    <cellStyle name="Normal 2" xfId="4"/>
    <cellStyle name="Normal 3" xfId="5"/>
    <cellStyle name="Normal 3 2" xfId="6"/>
    <cellStyle name="Normal 4" xfId="7"/>
    <cellStyle name="Normal 5" xfId="8"/>
    <cellStyle name="Normal 5 2" xfId="9"/>
    <cellStyle name="Percent" xfId="10" builtinId="5"/>
    <cellStyle name="Percent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15891195419"/>
          <c:y val="0.0293717451985169"/>
          <c:w val="0.594331504016543"/>
          <c:h val="0.863337707786526"/>
        </c:manualLayout>
      </c:layout>
      <c:lineChart>
        <c:grouping val="standard"/>
        <c:varyColors val="0"/>
        <c:ser>
          <c:idx val="0"/>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strRef>
              <c:f>'backup - Mass Transit'!$AA$24:$AX$24</c:f>
              <c:strCache>
                <c:ptCount val="2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strCache>
            </c:strRef>
          </c:cat>
          <c:val>
            <c:numRef>
              <c:f>'backup - Mass Transit'!$AA$25:$AX$25</c:f>
              <c:numCache>
                <c:formatCode>#,##0</c:formatCode>
                <c:ptCount val="24"/>
                <c:pt idx="0">
                  <c:v>3182.0</c:v>
                </c:pt>
                <c:pt idx="1">
                  <c:v>3729.0</c:v>
                </c:pt>
                <c:pt idx="2">
                  <c:v>4105.0</c:v>
                </c:pt>
                <c:pt idx="3">
                  <c:v>4296.0</c:v>
                </c:pt>
                <c:pt idx="4">
                  <c:v>4166.0</c:v>
                </c:pt>
                <c:pt idx="5">
                  <c:v>4040.0</c:v>
                </c:pt>
                <c:pt idx="6">
                  <c:v>4243.0</c:v>
                </c:pt>
                <c:pt idx="7">
                  <c:v>4106.0</c:v>
                </c:pt>
                <c:pt idx="8">
                  <c:v>4677.0</c:v>
                </c:pt>
                <c:pt idx="9">
                  <c:v>5443.0</c:v>
                </c:pt>
                <c:pt idx="10">
                  <c:v>5914.0</c:v>
                </c:pt>
                <c:pt idx="11">
                  <c:v>6047.0</c:v>
                </c:pt>
                <c:pt idx="12">
                  <c:v>5937.0</c:v>
                </c:pt>
                <c:pt idx="13">
                  <c:v>7389.0</c:v>
                </c:pt>
                <c:pt idx="14">
                  <c:v>7977.65825</c:v>
                </c:pt>
                <c:pt idx="15">
                  <c:v>8060.7755</c:v>
                </c:pt>
                <c:pt idx="16">
                  <c:v>8235.077499999999</c:v>
                </c:pt>
                <c:pt idx="17">
                  <c:v>8297.34075</c:v>
                </c:pt>
                <c:pt idx="18">
                  <c:v>8398.08025</c:v>
                </c:pt>
                <c:pt idx="19">
                  <c:v>10052.36175</c:v>
                </c:pt>
                <c:pt idx="20">
                  <c:v>9883.15375</c:v>
                </c:pt>
                <c:pt idx="21">
                  <c:v>13292.852</c:v>
                </c:pt>
                <c:pt idx="22">
                  <c:v>15655.89575</c:v>
                </c:pt>
                <c:pt idx="23">
                  <c:v>16863.25</c:v>
                </c:pt>
              </c:numCache>
            </c:numRef>
          </c:val>
          <c:smooth val="0"/>
        </c:ser>
        <c:dLbls>
          <c:showLegendKey val="0"/>
          <c:showVal val="0"/>
          <c:showCatName val="0"/>
          <c:showSerName val="0"/>
          <c:showPercent val="0"/>
          <c:showBubbleSize val="0"/>
        </c:dLbls>
        <c:marker val="1"/>
        <c:smooth val="0"/>
        <c:axId val="2082947000"/>
        <c:axId val="2082855640"/>
      </c:lineChart>
      <c:catAx>
        <c:axId val="2082947000"/>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082855640"/>
        <c:crosses val="autoZero"/>
        <c:auto val="1"/>
        <c:lblAlgn val="ctr"/>
        <c:lblOffset val="100"/>
        <c:noMultiLvlLbl val="0"/>
      </c:catAx>
      <c:valAx>
        <c:axId val="2082855640"/>
        <c:scaling>
          <c:logBase val="10.0"/>
          <c:orientation val="minMax"/>
          <c:min val="1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2947000"/>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779965004374"/>
          <c:y val="0.0282524059492563"/>
          <c:w val="0.547288713910761"/>
          <c:h val="0.748385826771653"/>
        </c:manualLayout>
      </c:layout>
      <c:lineChart>
        <c:grouping val="standard"/>
        <c:varyColors val="0"/>
        <c:ser>
          <c:idx val="1"/>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numRef>
              <c:f>'backup - Mass Transit'!$F$24:$Z$24</c:f>
              <c:numCache>
                <c:formatCode>General</c:formatCode>
                <c:ptCount val="21"/>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numCache>
            </c:numRef>
          </c:cat>
          <c:val>
            <c:numRef>
              <c:f>'backup - Mass Transit'!$F$25:$Z$25</c:f>
              <c:numCache>
                <c:formatCode>#,##0</c:formatCode>
                <c:ptCount val="21"/>
                <c:pt idx="0">
                  <c:v>94.0</c:v>
                </c:pt>
                <c:pt idx="1">
                  <c:v>120.0</c:v>
                </c:pt>
                <c:pt idx="2">
                  <c:v>90.0</c:v>
                </c:pt>
                <c:pt idx="3">
                  <c:v>162.0</c:v>
                </c:pt>
                <c:pt idx="4">
                  <c:v>155.0</c:v>
                </c:pt>
                <c:pt idx="5">
                  <c:v>242.0</c:v>
                </c:pt>
                <c:pt idx="6">
                  <c:v>216.0</c:v>
                </c:pt>
                <c:pt idx="7">
                  <c:v>324.0</c:v>
                </c:pt>
                <c:pt idx="8">
                  <c:v>443.0</c:v>
                </c:pt>
                <c:pt idx="9">
                  <c:v>559.0</c:v>
                </c:pt>
                <c:pt idx="10">
                  <c:v>366.0</c:v>
                </c:pt>
                <c:pt idx="11">
                  <c:v>446.0</c:v>
                </c:pt>
                <c:pt idx="12">
                  <c:v>495.0</c:v>
                </c:pt>
                <c:pt idx="13">
                  <c:v>920.0</c:v>
                </c:pt>
                <c:pt idx="14">
                  <c:v>973.0</c:v>
                </c:pt>
                <c:pt idx="15">
                  <c:v>1408.0</c:v>
                </c:pt>
                <c:pt idx="16">
                  <c:v>1907.0</c:v>
                </c:pt>
                <c:pt idx="17">
                  <c:v>2544.0</c:v>
                </c:pt>
                <c:pt idx="18">
                  <c:v>2308.0</c:v>
                </c:pt>
                <c:pt idx="19">
                  <c:v>2849.0</c:v>
                </c:pt>
                <c:pt idx="20">
                  <c:v>3341.0</c:v>
                </c:pt>
              </c:numCache>
            </c:numRef>
          </c:val>
          <c:smooth val="0"/>
        </c:ser>
        <c:dLbls>
          <c:showLegendKey val="0"/>
          <c:showVal val="0"/>
          <c:showCatName val="0"/>
          <c:showSerName val="0"/>
          <c:showPercent val="0"/>
          <c:showBubbleSize val="0"/>
        </c:dLbls>
        <c:marker val="1"/>
        <c:smooth val="0"/>
        <c:axId val="2087154520"/>
        <c:axId val="2082777528"/>
      </c:lineChart>
      <c:catAx>
        <c:axId val="2087154520"/>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082777528"/>
        <c:crosses val="autoZero"/>
        <c:auto val="1"/>
        <c:lblAlgn val="ctr"/>
        <c:lblOffset val="100"/>
        <c:noMultiLvlLbl val="0"/>
      </c:catAx>
      <c:valAx>
        <c:axId val="2082777528"/>
        <c:scaling>
          <c:logBase val="10.0"/>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7154520"/>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1</xdr:row>
      <xdr:rowOff>28575</xdr:rowOff>
    </xdr:from>
    <xdr:to>
      <xdr:col>4</xdr:col>
      <xdr:colOff>285750</xdr:colOff>
      <xdr:row>1</xdr:row>
      <xdr:rowOff>1257300</xdr:rowOff>
    </xdr:to>
    <xdr:pic>
      <xdr:nvPicPr>
        <xdr:cNvPr id="4054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28575"/>
          <a:ext cx="44672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666750</xdr:colOff>
      <xdr:row>0</xdr:row>
      <xdr:rowOff>104775</xdr:rowOff>
    </xdr:from>
    <xdr:to>
      <xdr:col>7</xdr:col>
      <xdr:colOff>333375</xdr:colOff>
      <xdr:row>7</xdr:row>
      <xdr:rowOff>85725</xdr:rowOff>
    </xdr:to>
    <xdr:pic>
      <xdr:nvPicPr>
        <xdr:cNvPr id="18385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04775"/>
          <a:ext cx="40481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381000</xdr:colOff>
      <xdr:row>7</xdr:row>
      <xdr:rowOff>12700</xdr:rowOff>
    </xdr:to>
    <xdr:sp macro="" textlink="">
      <xdr:nvSpPr>
        <xdr:cNvPr id="1838486" name="AutoShape 406"/>
        <xdr:cNvSpPr>
          <a:spLocks noChangeAspect="1" noChangeArrowheads="1"/>
        </xdr:cNvSpPr>
      </xdr:nvSpPr>
      <xdr:spPr bwMode="auto">
        <a:xfrm>
          <a:off x="0" y="0"/>
          <a:ext cx="4686300" cy="10795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152400</xdr:rowOff>
    </xdr:from>
    <xdr:to>
      <xdr:col>6</xdr:col>
      <xdr:colOff>2038350</xdr:colOff>
      <xdr:row>8</xdr:row>
      <xdr:rowOff>200025</xdr:rowOff>
    </xdr:to>
    <xdr:pic>
      <xdr:nvPicPr>
        <xdr:cNvPr id="302736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52400"/>
          <a:ext cx="46767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485775</xdr:colOff>
      <xdr:row>40</xdr:row>
      <xdr:rowOff>0</xdr:rowOff>
    </xdr:from>
    <xdr:to>
      <xdr:col>16</xdr:col>
      <xdr:colOff>38100</xdr:colOff>
      <xdr:row>60</xdr:row>
      <xdr:rowOff>95250</xdr:rowOff>
    </xdr:to>
    <xdr:graphicFrame macro="">
      <xdr:nvGraphicFramePr>
        <xdr:cNvPr id="405507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39</xdr:row>
      <xdr:rowOff>133350</xdr:rowOff>
    </xdr:from>
    <xdr:to>
      <xdr:col>8</xdr:col>
      <xdr:colOff>361950</xdr:colOff>
      <xdr:row>57</xdr:row>
      <xdr:rowOff>133350</xdr:rowOff>
    </xdr:to>
    <xdr:graphicFrame macro="">
      <xdr:nvGraphicFramePr>
        <xdr:cNvPr id="40550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58</xdr:col>
      <xdr:colOff>247650</xdr:colOff>
      <xdr:row>0</xdr:row>
      <xdr:rowOff>104775</xdr:rowOff>
    </xdr:from>
    <xdr:to>
      <xdr:col>64</xdr:col>
      <xdr:colOff>381000</xdr:colOff>
      <xdr:row>9</xdr:row>
      <xdr:rowOff>28575</xdr:rowOff>
    </xdr:to>
    <xdr:pic>
      <xdr:nvPicPr>
        <xdr:cNvPr id="4055072"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62150" y="104775"/>
          <a:ext cx="46672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7.vml"/><Relationship Id="rId3"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0"/>
  <sheetViews>
    <sheetView topLeftCell="A14" zoomScale="80" zoomScaleNormal="80" zoomScalePageLayoutView="80" workbookViewId="0">
      <selection activeCell="C54" sqref="C54"/>
    </sheetView>
  </sheetViews>
  <sheetFormatPr baseColWidth="10" defaultColWidth="8.83203125" defaultRowHeight="14" x14ac:dyDescent="0"/>
  <cols>
    <col min="1" max="1" width="2.5" customWidth="1"/>
    <col min="2" max="2" width="42" customWidth="1"/>
    <col min="3" max="3" width="16.83203125" customWidth="1"/>
    <col min="4" max="4" width="14.1640625" style="2" customWidth="1"/>
    <col min="5" max="5" width="13.1640625" style="94" customWidth="1"/>
    <col min="6" max="6" width="11" style="94" customWidth="1"/>
    <col min="7" max="7" width="11.5" style="94" customWidth="1"/>
    <col min="8" max="8" width="17.5" style="7" customWidth="1"/>
    <col min="9" max="9" width="16.1640625" style="7" customWidth="1"/>
    <col min="10" max="11" width="17.5" style="7" customWidth="1"/>
    <col min="12" max="12" width="4.5" style="7" customWidth="1"/>
    <col min="13" max="13" width="29.33203125" style="7" bestFit="1" customWidth="1"/>
    <col min="14" max="14" width="12.5" customWidth="1"/>
    <col min="15" max="15" width="13.5" customWidth="1"/>
    <col min="16" max="16" width="16.6640625" customWidth="1"/>
    <col min="17" max="17" width="17.83203125" customWidth="1"/>
    <col min="18" max="18" width="16.33203125" customWidth="1"/>
  </cols>
  <sheetData>
    <row r="1" spans="1:20" ht="113.25" hidden="1" customHeight="1">
      <c r="A1" s="435"/>
      <c r="B1" s="435"/>
      <c r="C1" s="435"/>
      <c r="D1" s="435"/>
      <c r="E1" s="435"/>
      <c r="F1" s="435"/>
      <c r="G1" s="435"/>
      <c r="H1" s="435"/>
      <c r="I1" s="435"/>
      <c r="J1" s="435"/>
      <c r="K1" s="435"/>
      <c r="L1" s="435"/>
      <c r="M1" s="435"/>
      <c r="N1" s="435"/>
      <c r="O1" s="435"/>
      <c r="P1" s="435"/>
      <c r="Q1" s="435"/>
      <c r="R1" s="435"/>
      <c r="S1" s="435"/>
      <c r="T1" s="435"/>
    </row>
    <row r="2" spans="1:20" ht="113.25" customHeight="1">
      <c r="A2" s="435"/>
      <c r="B2" s="435"/>
      <c r="C2" s="435"/>
      <c r="D2" s="435"/>
      <c r="E2" s="435"/>
      <c r="F2" s="435"/>
      <c r="G2" s="435"/>
      <c r="H2" s="435"/>
      <c r="I2" s="435"/>
      <c r="J2" s="435"/>
      <c r="K2" s="435"/>
      <c r="L2" s="435"/>
      <c r="M2" s="435"/>
      <c r="N2" s="435"/>
      <c r="O2" s="435"/>
      <c r="P2" s="119"/>
      <c r="Q2" s="119"/>
      <c r="R2" s="119"/>
      <c r="S2" s="119"/>
      <c r="T2" s="119"/>
    </row>
    <row r="3" spans="1:20" ht="15" thickBot="1">
      <c r="C3" s="110"/>
      <c r="D3"/>
      <c r="E3" s="110"/>
      <c r="F3" s="110"/>
      <c r="G3" s="110"/>
      <c r="H3" s="110"/>
      <c r="I3" s="212"/>
      <c r="J3" s="212"/>
      <c r="K3" s="212"/>
      <c r="L3" s="171"/>
      <c r="M3" s="7" t="s">
        <v>0</v>
      </c>
    </row>
    <row r="4" spans="1:20" ht="15" thickBot="1">
      <c r="C4" s="117" t="s">
        <v>141</v>
      </c>
      <c r="D4" s="124"/>
      <c r="E4" s="119"/>
      <c r="F4" s="110"/>
      <c r="G4" s="110"/>
      <c r="H4" s="162" t="s">
        <v>0</v>
      </c>
      <c r="I4" s="212"/>
      <c r="J4" s="212"/>
      <c r="K4" s="212"/>
      <c r="L4" s="171"/>
      <c r="M4" t="s">
        <v>0</v>
      </c>
      <c r="Q4" t="s">
        <v>0</v>
      </c>
      <c r="R4" t="s">
        <v>0</v>
      </c>
    </row>
    <row r="5" spans="1:20">
      <c r="B5" s="1" t="s">
        <v>1</v>
      </c>
      <c r="C5" s="110" t="s">
        <v>705</v>
      </c>
      <c r="D5" s="1"/>
      <c r="E5" s="110"/>
      <c r="F5" s="110"/>
      <c r="G5" s="110"/>
      <c r="H5"/>
      <c r="I5"/>
      <c r="J5"/>
      <c r="K5"/>
      <c r="L5"/>
      <c r="M5" t="s">
        <v>0</v>
      </c>
      <c r="N5" t="s">
        <v>0</v>
      </c>
      <c r="O5" t="s">
        <v>0</v>
      </c>
      <c r="P5" t="s">
        <v>0</v>
      </c>
    </row>
    <row r="6" spans="1:20" ht="15" thickBot="1">
      <c r="B6" s="1" t="s">
        <v>3</v>
      </c>
      <c r="C6" s="110"/>
      <c r="D6" s="104" t="s">
        <v>342</v>
      </c>
      <c r="E6" s="110"/>
      <c r="F6" s="110"/>
      <c r="G6" s="110"/>
      <c r="H6" s="29" t="s">
        <v>0</v>
      </c>
      <c r="I6" s="29"/>
      <c r="J6" s="29"/>
      <c r="K6" s="29"/>
      <c r="L6" s="29"/>
      <c r="M6" s="7" t="s">
        <v>0</v>
      </c>
      <c r="N6" t="s">
        <v>0</v>
      </c>
      <c r="O6" t="s">
        <v>0</v>
      </c>
      <c r="P6" t="s">
        <v>0</v>
      </c>
    </row>
    <row r="7" spans="1:20" ht="15" thickBot="1">
      <c r="B7" s="4" t="s">
        <v>383</v>
      </c>
      <c r="C7" s="210" t="s">
        <v>555</v>
      </c>
      <c r="D7" s="114">
        <f>'Output - Jobs vs Yr (BAU)'!X4/'Output - Jobs vs Yr (BAU)'!C4-1</f>
        <v>0.14382688771481744</v>
      </c>
      <c r="E7" s="92" t="s">
        <v>519</v>
      </c>
      <c r="F7" s="109"/>
      <c r="G7" s="109"/>
      <c r="H7" s="29" t="s">
        <v>0</v>
      </c>
      <c r="I7" s="29"/>
      <c r="J7" s="29"/>
      <c r="K7" s="29"/>
      <c r="L7" s="29"/>
      <c r="M7" s="7" t="s">
        <v>0</v>
      </c>
      <c r="N7" t="s">
        <v>0</v>
      </c>
      <c r="O7" t="s">
        <v>0</v>
      </c>
      <c r="P7" t="s">
        <v>0</v>
      </c>
    </row>
    <row r="8" spans="1:20" ht="15" thickBot="1">
      <c r="B8" s="1" t="s">
        <v>368</v>
      </c>
      <c r="C8" s="109"/>
      <c r="D8" s="104" t="s">
        <v>342</v>
      </c>
      <c r="E8" s="406" t="s">
        <v>715</v>
      </c>
      <c r="F8" s="109"/>
      <c r="G8" s="406" t="s">
        <v>716</v>
      </c>
      <c r="H8"/>
      <c r="I8"/>
      <c r="J8"/>
      <c r="K8"/>
      <c r="L8"/>
      <c r="M8" t="s">
        <v>0</v>
      </c>
      <c r="N8" t="s">
        <v>0</v>
      </c>
      <c r="O8" s="111" t="s">
        <v>0</v>
      </c>
      <c r="P8" s="31" t="s">
        <v>0</v>
      </c>
    </row>
    <row r="9" spans="1:20" ht="15.75" hidden="1" customHeight="1" thickBot="1">
      <c r="B9" s="43" t="s">
        <v>368</v>
      </c>
      <c r="C9" s="110"/>
      <c r="D9" s="114" t="e">
        <f>'Output - Jobs vs Yr (BAU)'!X6/'Output - Jobs vs Yr (BAU)'!C6-1</f>
        <v>#DIV/0!</v>
      </c>
      <c r="E9" s="109"/>
      <c r="F9" s="109"/>
      <c r="G9" s="109"/>
      <c r="H9"/>
      <c r="I9"/>
      <c r="J9"/>
      <c r="K9"/>
      <c r="L9"/>
      <c r="M9"/>
      <c r="O9" s="102"/>
    </row>
    <row r="10" spans="1:20" ht="15.75" hidden="1" customHeight="1" thickBot="1">
      <c r="B10" s="93" t="s">
        <v>352</v>
      </c>
      <c r="C10" s="110"/>
      <c r="D10" s="43"/>
      <c r="E10" s="109"/>
      <c r="F10" s="109"/>
      <c r="G10" s="109"/>
      <c r="H10"/>
      <c r="I10"/>
      <c r="J10"/>
      <c r="K10"/>
      <c r="L10"/>
      <c r="M10"/>
      <c r="O10" s="102"/>
    </row>
    <row r="11" spans="1:20" ht="15" thickBot="1">
      <c r="B11" t="s">
        <v>380</v>
      </c>
      <c r="C11" s="431">
        <v>0.1</v>
      </c>
      <c r="D11" s="125">
        <f>'Output - Jobs vs Yr (BAU)'!N18/'Output -Jobs vs Yr'!N14</f>
        <v>4.1872153510633489E-2</v>
      </c>
      <c r="E11" s="405">
        <f>(7.7/3)^(1/6)</f>
        <v>1.1701141873017888</v>
      </c>
      <c r="F11" s="109"/>
      <c r="G11" s="402">
        <f>(12.5/3)^(1/6)</f>
        <v>1.2685223586294079</v>
      </c>
      <c r="H11"/>
      <c r="I11"/>
      <c r="J11"/>
      <c r="K11"/>
      <c r="L11"/>
      <c r="M11" t="s">
        <v>0</v>
      </c>
      <c r="N11" t="s">
        <v>0</v>
      </c>
      <c r="O11" s="111" t="s">
        <v>0</v>
      </c>
      <c r="P11" s="31" t="s">
        <v>0</v>
      </c>
    </row>
    <row r="12" spans="1:20" ht="15" thickBot="1">
      <c r="B12" t="s">
        <v>381</v>
      </c>
      <c r="C12" s="209">
        <v>0.14000000000000001</v>
      </c>
      <c r="D12" s="125">
        <f>'Output - Jobs vs Yr (BAU)'!X18/'Output -Jobs vs Yr'!X14</f>
        <v>6.9302254073576403E-2</v>
      </c>
      <c r="E12" s="405">
        <f>(D12/D11)^(1/10)</f>
        <v>1.0516765888478545</v>
      </c>
      <c r="F12" s="109"/>
      <c r="G12" s="403">
        <f>(C12/C11)^(1/10)</f>
        <v>1.0342196941293802</v>
      </c>
      <c r="H12"/>
      <c r="I12"/>
      <c r="J12"/>
      <c r="K12"/>
      <c r="L12"/>
      <c r="M12" t="s">
        <v>0</v>
      </c>
      <c r="N12" t="s">
        <v>0</v>
      </c>
      <c r="O12" s="111" t="s">
        <v>0</v>
      </c>
      <c r="P12" s="31" t="s">
        <v>0</v>
      </c>
    </row>
    <row r="13" spans="1:20" ht="15" thickBot="1">
      <c r="B13" t="s">
        <v>575</v>
      </c>
      <c r="C13" s="210">
        <v>0.2</v>
      </c>
      <c r="D13" s="172">
        <f>'Output - Jobs vs Yr (BAU)'!AH18/'Output -Jobs vs Yr'!AH14</f>
        <v>7.7581206020981119E-2</v>
      </c>
      <c r="E13" s="405">
        <f>(D13/D12)^(1/10)</f>
        <v>1.0113486908339868</v>
      </c>
      <c r="F13" s="109"/>
      <c r="G13" s="404">
        <f>(C13/C12)^(1/10)</f>
        <v>1.0363112099103142</v>
      </c>
      <c r="H13"/>
      <c r="I13"/>
      <c r="J13"/>
      <c r="K13"/>
      <c r="L13"/>
      <c r="M13"/>
      <c r="O13" s="111"/>
      <c r="P13" s="31"/>
    </row>
    <row r="14" spans="1:20">
      <c r="B14" t="s">
        <v>576</v>
      </c>
      <c r="C14" s="211"/>
      <c r="D14" s="172"/>
      <c r="E14" s="109"/>
      <c r="F14" s="109"/>
      <c r="G14" s="109"/>
      <c r="H14"/>
      <c r="I14"/>
      <c r="J14"/>
      <c r="K14"/>
      <c r="L14"/>
      <c r="M14"/>
      <c r="O14" s="111"/>
      <c r="P14" s="31"/>
    </row>
    <row r="15" spans="1:20" ht="15" thickBot="1">
      <c r="C15" s="4" t="s">
        <v>0</v>
      </c>
      <c r="D15" s="32"/>
      <c r="E15" s="4"/>
      <c r="F15" s="95" t="s">
        <v>0</v>
      </c>
      <c r="G15" s="95"/>
      <c r="H15" s="4"/>
      <c r="I15" s="4"/>
      <c r="J15" s="4"/>
      <c r="K15" s="4"/>
      <c r="L15" s="4"/>
      <c r="N15" t="s">
        <v>710</v>
      </c>
      <c r="O15" s="31" t="s">
        <v>710</v>
      </c>
      <c r="P15" s="31" t="s">
        <v>711</v>
      </c>
      <c r="Q15" t="s">
        <v>708</v>
      </c>
    </row>
    <row r="16" spans="1:20" ht="15" thickBot="1">
      <c r="B16" s="32" t="s">
        <v>363</v>
      </c>
      <c r="C16" s="106" t="s">
        <v>366</v>
      </c>
      <c r="D16" s="104" t="s">
        <v>535</v>
      </c>
      <c r="E16" s="104" t="s">
        <v>364</v>
      </c>
      <c r="F16" s="104" t="s">
        <v>359</v>
      </c>
      <c r="G16" s="104" t="s">
        <v>545</v>
      </c>
      <c r="H16" s="104" t="s">
        <v>364</v>
      </c>
      <c r="I16" s="104" t="s">
        <v>704</v>
      </c>
      <c r="J16" s="104" t="s">
        <v>703</v>
      </c>
      <c r="K16" s="104" t="s">
        <v>364</v>
      </c>
      <c r="L16" s="104"/>
      <c r="M16" s="44" t="s">
        <v>257</v>
      </c>
      <c r="N16" s="256">
        <v>2020</v>
      </c>
      <c r="O16" s="256">
        <v>2030</v>
      </c>
      <c r="P16" s="256">
        <v>2040</v>
      </c>
      <c r="Q16" s="198">
        <v>2031</v>
      </c>
    </row>
    <row r="17" spans="2:17" ht="15" thickBot="1">
      <c r="B17" t="s">
        <v>353</v>
      </c>
      <c r="C17" s="195">
        <f>D17*$C$11/$D$11</f>
        <v>9.7437725523821697E-2</v>
      </c>
      <c r="D17" s="126">
        <f>'Output - Jobs vs Yr (BAU)'!N10/'Output -Jobs vs Yr'!$N$14</f>
        <v>4.0799274008604329E-2</v>
      </c>
      <c r="E17" s="105">
        <f t="shared" ref="E17:E23" si="0">IF($C$24&lt;&gt;0,C17/$C$24,0)</f>
        <v>0.97437725523821717</v>
      </c>
      <c r="F17" s="172">
        <f>C17*$C$12/$C$11</f>
        <v>0.13641281573335037</v>
      </c>
      <c r="G17" s="105">
        <f>'Output - Jobs vs Yr (BAU)'!X10/'Output - Jobs vs Yr (BAU)'!X24</f>
        <v>6.8319611472791489E-2</v>
      </c>
      <c r="H17" s="105">
        <f t="shared" ref="H17:H23" si="1">G17/$G$24</f>
        <v>0.98582542224526304</v>
      </c>
      <c r="I17" s="172">
        <f>F17*$C$13/$C$12</f>
        <v>0.19487545104764337</v>
      </c>
      <c r="J17" s="105">
        <f>'Output - Jobs vs Yr (BAU)'!AH10/'Output - Jobs vs Yr (BAU)'!AH24</f>
        <v>7.6600627618776687E-2</v>
      </c>
      <c r="K17" s="105">
        <f>J17/$J$24</f>
        <v>0.98736205892678175</v>
      </c>
      <c r="L17" s="105"/>
      <c r="M17" s="45" t="s">
        <v>259</v>
      </c>
      <c r="N17" s="86">
        <f>HLOOKUP(N16,'Output -Jobs vs Yr'!$H$175:$AH$184,9)</f>
        <v>344.00142742526077</v>
      </c>
      <c r="O17" s="86">
        <f>HLOOKUP(O16,'Output -Jobs vs Yr'!$H$175:$AH$184,9)</f>
        <v>450.85920066341896</v>
      </c>
      <c r="P17" s="86">
        <f>HLOOKUP(P16,'Output -Jobs vs Yr'!$H$175:$AH$184,9)</f>
        <v>818.56908903895055</v>
      </c>
      <c r="Q17" s="86">
        <f>HLOOKUP(Q16,'Output -Jobs vs Yr'!$H$175:$AH$184,9)</f>
        <v>478.30873090296154</v>
      </c>
    </row>
    <row r="18" spans="2:17" ht="15" thickBot="1">
      <c r="B18" s="4" t="s">
        <v>354</v>
      </c>
      <c r="C18" s="195">
        <f>D18*$C$11/$D$11</f>
        <v>3.966438623854854E-7</v>
      </c>
      <c r="D18" s="126">
        <f>'Output - Jobs vs Yr (BAU)'!N15/'Output -Jobs vs Yr'!$N$14</f>
        <v>1.6608332694855629E-7</v>
      </c>
      <c r="E18" s="105">
        <f t="shared" si="0"/>
        <v>3.9664386238548552E-6</v>
      </c>
      <c r="F18" s="172">
        <f t="shared" ref="F18:F23" si="2">C18*$C$12/$C$11</f>
        <v>5.5530140733967951E-7</v>
      </c>
      <c r="G18" s="105">
        <f>'Output - Jobs vs Yr (BAU)'!X15/'Output - Jobs vs Yr (BAU)'!X24</f>
        <v>1.5242593116129154E-7</v>
      </c>
      <c r="H18" s="105">
        <f t="shared" si="1"/>
        <v>2.1994469041740864E-6</v>
      </c>
      <c r="I18" s="172">
        <f t="shared" ref="I18:I24" si="3">F18*$C$13/$C$12</f>
        <v>7.9328772477097069E-7</v>
      </c>
      <c r="J18" s="105">
        <f>'Output - Jobs vs Yr (BAU)'!AH15/'Output - Jobs vs Yr (BAU)'!AH24</f>
        <v>1.4581076249910529E-7</v>
      </c>
      <c r="K18" s="105">
        <f t="shared" ref="K18:K24" si="4">J18/$J$24</f>
        <v>1.8794625990702782E-6</v>
      </c>
      <c r="L18" s="105"/>
      <c r="M18" s="46" t="s">
        <v>260</v>
      </c>
      <c r="N18" s="87">
        <f>HLOOKUP(N16,'Output -Jobs vs Yr'!$H$175:$AH$184,10)</f>
        <v>309.60063986278328</v>
      </c>
      <c r="O18" s="87">
        <f>HLOOKUP(O16,'Output -Jobs vs Yr'!$H$175:$AH$184,10)</f>
        <v>405.7722969672368</v>
      </c>
      <c r="P18" s="87">
        <f>HLOOKUP(P16,'Output -Jobs vs Yr'!$H$175:$AH$184,10)</f>
        <v>736.71071119428689</v>
      </c>
      <c r="Q18" s="87">
        <f>HLOOKUP(Q16,'Output -Jobs vs Yr'!$H$175:$AH$184,10)</f>
        <v>430.47683623892135</v>
      </c>
    </row>
    <row r="19" spans="2:17" ht="15" thickBot="1">
      <c r="B19" s="4" t="s">
        <v>355</v>
      </c>
      <c r="C19" s="195">
        <f>D19*$C$11/$D$11</f>
        <v>1.9492400221684497E-7</v>
      </c>
      <c r="D19" s="126">
        <f>'Output - Jobs vs Yr (BAU)'!N11/'Output -Jobs vs Yr'!$N$14</f>
        <v>8.1618877437307945E-8</v>
      </c>
      <c r="E19" s="105">
        <f t="shared" si="0"/>
        <v>1.9492400221684503E-6</v>
      </c>
      <c r="F19" s="172">
        <f t="shared" si="2"/>
        <v>2.7289360310358297E-7</v>
      </c>
      <c r="G19" s="105">
        <f>'Output - Jobs vs Yr (BAU)'!X11/'Output - Jobs vs Yr (BAU)'!X24</f>
        <v>8.8855294251908212E-8</v>
      </c>
      <c r="H19" s="105">
        <f t="shared" si="1"/>
        <v>1.2821473378767651E-6</v>
      </c>
      <c r="I19" s="172">
        <f t="shared" si="3"/>
        <v>3.8984800443368995E-7</v>
      </c>
      <c r="J19" s="105">
        <f>'Output - Jobs vs Yr (BAU)'!AH11/'Output - Jobs vs Yr (BAU)'!AH24</f>
        <v>8.7888647325664452E-8</v>
      </c>
      <c r="K19" s="105">
        <f t="shared" si="4"/>
        <v>1.1328616811291825E-6</v>
      </c>
      <c r="L19" s="105"/>
      <c r="M19" s="46" t="s">
        <v>261</v>
      </c>
      <c r="N19" s="87">
        <f>HLOOKUP(N16,'Output -Jobs vs Yr'!$H$175:$AH$184,8)</f>
        <v>653.60206728804405</v>
      </c>
      <c r="O19" s="87">
        <f>HLOOKUP(O16,'Output -Jobs vs Yr'!$H$175:$AH$184,8)</f>
        <v>856.63149763065667</v>
      </c>
      <c r="P19" s="87">
        <f>HLOOKUP(P16,'Output -Jobs vs Yr'!$H$175:$AH$184,8)</f>
        <v>1555.2798002332383</v>
      </c>
      <c r="Q19" s="87">
        <f>HLOOKUP(Q16,'Output -Jobs vs Yr'!$H$175:$AH$184,8)</f>
        <v>908.78556714188198</v>
      </c>
    </row>
    <row r="20" spans="2:17" ht="15" thickBot="1">
      <c r="B20" s="4" t="s">
        <v>51</v>
      </c>
      <c r="C20" s="195">
        <f>D20*$C$11/$D$11</f>
        <v>2.5471107090111224E-3</v>
      </c>
      <c r="D20" s="126">
        <f>'Output - Jobs vs Yr (BAU)'!N12/'Output -Jobs vs Yr'!$N$14</f>
        <v>1.0665301061629222E-3</v>
      </c>
      <c r="E20" s="105">
        <f t="shared" si="0"/>
        <v>2.5471107090111231E-2</v>
      </c>
      <c r="F20" s="172">
        <f t="shared" si="2"/>
        <v>3.5659549926155714E-3</v>
      </c>
      <c r="G20" s="105">
        <f>'Output - Jobs vs Yr (BAU)'!X12/'Output - Jobs vs Yr (BAU)'!X24</f>
        <v>9.764813319793255E-4</v>
      </c>
      <c r="H20" s="105">
        <f t="shared" si="1"/>
        <v>1.4090245840998526E-2</v>
      </c>
      <c r="I20" s="172">
        <f t="shared" si="3"/>
        <v>5.0942214180222448E-3</v>
      </c>
      <c r="J20" s="105">
        <f>'Output - Jobs vs Yr (BAU)'!AH12/'Output - Jobs vs Yr (BAU)'!AH24</f>
        <v>9.7775482965082564E-4</v>
      </c>
      <c r="K20" s="105">
        <f t="shared" si="4"/>
        <v>1.2603004071118097E-2</v>
      </c>
      <c r="L20" s="105"/>
      <c r="M20" s="47" t="s">
        <v>459</v>
      </c>
      <c r="N20" s="88">
        <f>HLOOKUP(N16,'Output -Jobs vs Yr'!$H$175:$AH$188,11)-HLOOKUP(N16,'Output -Jobs vs Yr'!$H$175:$AH$188,14)</f>
        <v>1722.5120313125062</v>
      </c>
      <c r="O20" s="88">
        <f>HLOOKUP(O16,'Output -Jobs vs Yr'!$H$175:$AH$188,11)-HLOOKUP(O16,'Output -Jobs vs Yr'!$H$175:$AH$188,14)</f>
        <v>9331.5937564751002</v>
      </c>
      <c r="P20" s="88">
        <f>HLOOKUP(P16,'Output -Jobs vs Yr'!$H$175:$AH$188,11)-HLOOKUP(P16,'Output -Jobs vs Yr'!$H$175:$AH$188,14)</f>
        <v>21424.563621730777</v>
      </c>
      <c r="Q20" s="88">
        <f>HLOOKUP(Q16,'Output -Jobs vs Yr'!$H$175:$AH$188,11)-HLOOKUP(Q16,'Output -Jobs vs Yr'!$H$175:$AH$188,14)</f>
        <v>10240.379323616982</v>
      </c>
    </row>
    <row r="21" spans="2:17" ht="15" thickBot="1">
      <c r="B21" t="s">
        <v>356</v>
      </c>
      <c r="C21" s="195">
        <f t="shared" ref="C21:C23" si="5">D21*$C$11/$D$11</f>
        <v>7.9328772477097086E-6</v>
      </c>
      <c r="D21" s="126">
        <f>'Output - Jobs vs Yr (BAU)'!N13/'Output -Jobs vs Yr'!$N$14</f>
        <v>3.3216665389711257E-6</v>
      </c>
      <c r="E21" s="105">
        <f t="shared" si="0"/>
        <v>7.932877247709711E-5</v>
      </c>
      <c r="F21" s="172">
        <f t="shared" si="2"/>
        <v>1.1106028146793591E-5</v>
      </c>
      <c r="G21" s="105">
        <f>'Output - Jobs vs Yr (BAU)'!X13/'Output - Jobs vs Yr (BAU)'!X24</f>
        <v>3.0485186232258309E-6</v>
      </c>
      <c r="H21" s="105">
        <f t="shared" si="1"/>
        <v>4.398893808348173E-5</v>
      </c>
      <c r="I21" s="172">
        <f t="shared" si="3"/>
        <v>1.5865754495419417E-5</v>
      </c>
      <c r="J21" s="105">
        <f>'Output - Jobs vs Yr (BAU)'!AH13/'Output - Jobs vs Yr (BAU)'!AH24</f>
        <v>0</v>
      </c>
      <c r="K21" s="105">
        <f t="shared" si="4"/>
        <v>0</v>
      </c>
      <c r="L21" s="105"/>
      <c r="N21" s="160"/>
    </row>
    <row r="22" spans="2:17" ht="15" thickBot="1">
      <c r="B22" s="4" t="s">
        <v>357</v>
      </c>
      <c r="C22" s="195">
        <f t="shared" si="5"/>
        <v>3.9664386238548543E-6</v>
      </c>
      <c r="D22" s="126">
        <f>'Output - Jobs vs Yr (BAU)'!N14/'Output -Jobs vs Yr'!$N$14</f>
        <v>1.6608332694855628E-6</v>
      </c>
      <c r="E22" s="105">
        <f t="shared" si="0"/>
        <v>3.9664386238548555E-5</v>
      </c>
      <c r="F22" s="172">
        <f t="shared" si="2"/>
        <v>5.5530140733967957E-6</v>
      </c>
      <c r="G22" s="105">
        <f>'Output - Jobs vs Yr (BAU)'!X14/'Output - Jobs vs Yr (BAU)'!X24</f>
        <v>1.5242593116129154E-6</v>
      </c>
      <c r="H22" s="105">
        <f t="shared" si="1"/>
        <v>2.1994469041740865E-5</v>
      </c>
      <c r="I22" s="172">
        <f t="shared" si="3"/>
        <v>7.9328772477097086E-6</v>
      </c>
      <c r="J22" s="105">
        <f>'Output - Jobs vs Yr (BAU)'!AH14/'Output - Jobs vs Yr (BAU)'!AH24</f>
        <v>1.4581076249910529E-6</v>
      </c>
      <c r="K22" s="105">
        <f t="shared" si="4"/>
        <v>1.8794625990702782E-5</v>
      </c>
      <c r="L22" s="105"/>
      <c r="O22" t="s">
        <v>0</v>
      </c>
    </row>
    <row r="23" spans="2:17" ht="15" thickBot="1">
      <c r="B23" t="s">
        <v>358</v>
      </c>
      <c r="C23" s="195">
        <f t="shared" si="5"/>
        <v>2.6728834310063273E-6</v>
      </c>
      <c r="D23" s="126">
        <f>'Output - Jobs vs Yr (BAU)'!N16/'Output -Jobs vs Yr'!$N$14</f>
        <v>1.1191938533912566E-6</v>
      </c>
      <c r="E23" s="105">
        <f t="shared" si="0"/>
        <v>2.6728834310063278E-5</v>
      </c>
      <c r="F23" s="172">
        <f t="shared" si="2"/>
        <v>3.7420368034088587E-6</v>
      </c>
      <c r="G23" s="105">
        <f>'Output - Jobs vs Yr (BAU)'!X16/'Output - Jobs vs Yr (BAU)'!X24</f>
        <v>1.0303058270693427E-6</v>
      </c>
      <c r="H23" s="105">
        <f t="shared" si="1"/>
        <v>1.4866912371375185E-5</v>
      </c>
      <c r="I23" s="172">
        <f t="shared" si="3"/>
        <v>5.3457668620126547E-6</v>
      </c>
      <c r="J23" s="105">
        <f>'Output - Jobs vs Yr (BAU)'!AH16/'Output - Jobs vs Yr (BAU)'!AH24</f>
        <v>1.018643770720913E-6</v>
      </c>
      <c r="K23" s="105">
        <f t="shared" si="4"/>
        <v>1.3130051829045358E-5</v>
      </c>
      <c r="L23" s="105"/>
      <c r="M23" s="44"/>
      <c r="N23" s="197"/>
      <c r="O23" t="s">
        <v>0</v>
      </c>
    </row>
    <row r="24" spans="2:17">
      <c r="B24" s="108" t="s">
        <v>370</v>
      </c>
      <c r="C24" s="137">
        <f t="shared" ref="C24:H24" si="6">SUM(C17:C23)</f>
        <v>9.9999999999999978E-2</v>
      </c>
      <c r="D24" s="205">
        <f t="shared" si="6"/>
        <v>4.1872153510633482E-2</v>
      </c>
      <c r="E24" s="200">
        <f t="shared" si="6"/>
        <v>1.0000000000000002</v>
      </c>
      <c r="F24" s="200">
        <f t="shared" si="6"/>
        <v>0.14000000000000001</v>
      </c>
      <c r="G24" s="200">
        <f t="shared" si="6"/>
        <v>6.9301937169758118E-2</v>
      </c>
      <c r="H24" s="105">
        <f t="shared" si="6"/>
        <v>1</v>
      </c>
      <c r="I24" s="172">
        <f t="shared" si="3"/>
        <v>0.2</v>
      </c>
      <c r="J24" s="105">
        <f>SUM(J17:J23)</f>
        <v>7.7581092899233067E-2</v>
      </c>
      <c r="K24" s="105">
        <f t="shared" si="4"/>
        <v>1</v>
      </c>
      <c r="L24" s="105"/>
      <c r="M24" s="44"/>
      <c r="N24" s="44"/>
      <c r="O24" t="s">
        <v>0</v>
      </c>
    </row>
    <row r="25" spans="2:17">
      <c r="B25" s="108"/>
      <c r="C25" s="137" t="str">
        <f>IF(ROUND(C24,3)=ROUND(C11,3),"Great, "&amp;ROUND(C24,3)*100&amp;"% agrees with 2020 RPS % entered above","Please re-adust RPS portfolio to total "&amp;ROUND(C11,3)*100&amp;"% or change 2020 RPS % entered above")</f>
        <v>Great, 10% agrees with 2020 RPS % entered above</v>
      </c>
      <c r="D25" s="107"/>
      <c r="E25" s="107"/>
      <c r="F25" s="107" t="s">
        <v>0</v>
      </c>
      <c r="G25" s="96"/>
      <c r="H25"/>
      <c r="I25"/>
      <c r="J25"/>
      <c r="K25"/>
      <c r="L25"/>
      <c r="O25" t="s">
        <v>0</v>
      </c>
    </row>
    <row r="26" spans="2:17">
      <c r="B26" s="108"/>
      <c r="C26" s="107"/>
      <c r="D26" s="107"/>
      <c r="E26" s="107"/>
      <c r="F26" s="107"/>
      <c r="G26" s="96"/>
      <c r="H26"/>
      <c r="I26"/>
      <c r="J26"/>
      <c r="K26"/>
      <c r="L26"/>
    </row>
    <row r="27" spans="2:17" ht="15" thickBot="1">
      <c r="B27" s="108" t="s">
        <v>373</v>
      </c>
      <c r="C27" s="107"/>
      <c r="D27" s="200" t="s">
        <v>342</v>
      </c>
      <c r="E27" s="107"/>
      <c r="F27" s="98"/>
      <c r="G27" s="134" t="s">
        <v>0</v>
      </c>
      <c r="H27" s="135" t="s">
        <v>0</v>
      </c>
      <c r="I27" s="135"/>
      <c r="J27" s="135"/>
      <c r="K27" s="135"/>
      <c r="L27" s="135"/>
      <c r="M27"/>
    </row>
    <row r="28" spans="2:17" ht="15" thickBot="1">
      <c r="B28" t="s">
        <v>371</v>
      </c>
      <c r="C28" s="208">
        <f>D28</f>
        <v>0.36927812995448528</v>
      </c>
      <c r="D28" s="105">
        <f>('Output - Jobs vs Yr (BAU)'!N8+'Output - Jobs vs Yr (BAU)'!N7)/'Output -Jobs vs Yr'!N14</f>
        <v>0.36927812995448528</v>
      </c>
      <c r="E28" s="136" t="s">
        <v>0</v>
      </c>
      <c r="F28" s="98"/>
      <c r="G28" s="98" t="s">
        <v>0</v>
      </c>
      <c r="H28" s="135" t="s">
        <v>0</v>
      </c>
      <c r="I28" s="135"/>
      <c r="J28" s="135"/>
      <c r="K28" s="135"/>
      <c r="L28" s="135"/>
      <c r="M28"/>
    </row>
    <row r="29" spans="2:17" ht="15" thickBot="1">
      <c r="B29" t="s">
        <v>372</v>
      </c>
      <c r="C29" s="243">
        <f>D29</f>
        <v>0.34118780168159163</v>
      </c>
      <c r="D29" s="105">
        <f>('Output - Jobs vs Yr (BAU)'!X8+'Output - Jobs vs Yr (BAU)'!X7)/'Output -Jobs vs Yr'!X14</f>
        <v>0.34118780168159163</v>
      </c>
      <c r="E29" s="107"/>
      <c r="F29" s="98"/>
      <c r="G29" s="96"/>
      <c r="H29"/>
      <c r="I29"/>
      <c r="J29"/>
      <c r="K29"/>
      <c r="L29"/>
    </row>
    <row r="30" spans="2:17" ht="15" thickBot="1">
      <c r="B30" t="s">
        <v>577</v>
      </c>
      <c r="C30" s="210">
        <f>D30</f>
        <v>0.32740144656609876</v>
      </c>
      <c r="D30" s="105">
        <f>('Output - Jobs vs Yr (BAU)'!AH8+'Output - Jobs vs Yr (BAU)'!AH7)/'Output -Jobs vs Yr'!AH14</f>
        <v>0.32740144656609876</v>
      </c>
      <c r="E30" s="107"/>
      <c r="F30" s="98"/>
      <c r="G30" s="96"/>
      <c r="H30"/>
      <c r="I30"/>
      <c r="J30"/>
      <c r="K30"/>
      <c r="L30"/>
    </row>
    <row r="31" spans="2:17">
      <c r="B31" t="s">
        <v>578</v>
      </c>
      <c r="C31" s="211"/>
      <c r="D31" s="105"/>
      <c r="E31" s="107"/>
      <c r="F31" s="98"/>
      <c r="G31" s="96"/>
      <c r="H31"/>
      <c r="I31"/>
      <c r="J31"/>
      <c r="K31"/>
      <c r="L31"/>
    </row>
    <row r="32" spans="2:17">
      <c r="B32" s="108"/>
      <c r="C32" s="107" t="s">
        <v>0</v>
      </c>
      <c r="D32" s="107"/>
      <c r="E32" s="107"/>
      <c r="F32" s="98"/>
      <c r="G32" s="96"/>
      <c r="H32"/>
      <c r="I32"/>
      <c r="J32"/>
      <c r="K32"/>
      <c r="L32"/>
    </row>
    <row r="33" spans="1:18" ht="15" thickBot="1">
      <c r="B33" s="108" t="s">
        <v>374</v>
      </c>
      <c r="C33" s="107"/>
      <c r="D33" s="200" t="s">
        <v>342</v>
      </c>
      <c r="E33" s="200" t="s">
        <v>537</v>
      </c>
      <c r="F33" s="201" t="s">
        <v>359</v>
      </c>
      <c r="G33" s="202" t="s">
        <v>342</v>
      </c>
      <c r="H33" s="201" t="s">
        <v>704</v>
      </c>
      <c r="I33" s="202" t="s">
        <v>342</v>
      </c>
      <c r="J33" s="163"/>
      <c r="K33" s="163"/>
      <c r="L33" s="163"/>
      <c r="M33" s="7" t="s">
        <v>0</v>
      </c>
    </row>
    <row r="34" spans="1:18" ht="15" thickBot="1">
      <c r="B34" s="4" t="s">
        <v>367</v>
      </c>
      <c r="C34" s="209">
        <f>D34</f>
        <v>0</v>
      </c>
      <c r="D34" s="105">
        <v>0</v>
      </c>
      <c r="E34" s="203">
        <f>'Output -Jobs vs Yr'!N30/'Output -Jobs vs Yr'!N49</f>
        <v>0</v>
      </c>
      <c r="F34" s="200">
        <f>C34*$C$29/$C$28</f>
        <v>0</v>
      </c>
      <c r="G34" s="204">
        <v>0</v>
      </c>
      <c r="H34" s="200">
        <f>F34*$C$30/$C$29</f>
        <v>0</v>
      </c>
      <c r="I34" s="204">
        <v>0</v>
      </c>
      <c r="J34" s="138"/>
      <c r="K34" s="138"/>
      <c r="L34" s="138"/>
    </row>
    <row r="35" spans="1:18" ht="15" thickBot="1">
      <c r="B35" s="4" t="s">
        <v>49</v>
      </c>
      <c r="C35" s="209">
        <f>D35</f>
        <v>8.0601795837506221E-2</v>
      </c>
      <c r="D35" s="105">
        <f>'Output - Jobs vs Yr (BAU)'!N7/'Output -Jobs vs Yr'!N14</f>
        <v>8.0601795837506221E-2</v>
      </c>
      <c r="E35" s="203">
        <f>C35</f>
        <v>8.0601795837506221E-2</v>
      </c>
      <c r="F35" s="200">
        <f>C35*$C$29/$C$28</f>
        <v>7.4470561082988357E-2</v>
      </c>
      <c r="G35" s="204">
        <f>'Output - Jobs vs Yr (BAU)'!X7/'Output - Jobs vs Yr (BAU)'!X24</f>
        <v>7.6248399121446778E-2</v>
      </c>
      <c r="H35" s="200">
        <f>F35*$C$30/$C$29</f>
        <v>7.1461433571160679E-2</v>
      </c>
      <c r="I35" s="204">
        <f>'Output - Jobs vs Yr (BAU)'!AH7/'Output - Jobs vs Yr (BAU)'!AH24</f>
        <v>7.3961226226532978E-2</v>
      </c>
      <c r="J35"/>
      <c r="K35"/>
      <c r="L35"/>
    </row>
    <row r="36" spans="1:18" ht="15" thickBot="1">
      <c r="B36" s="4" t="s">
        <v>365</v>
      </c>
      <c r="C36" s="209">
        <f>D36</f>
        <v>0.28867633411697907</v>
      </c>
      <c r="D36" s="105">
        <f>'Output - Jobs vs Yr (BAU)'!N8/'Output -Jobs vs Yr'!N14</f>
        <v>0.28867633411697907</v>
      </c>
      <c r="E36" s="203">
        <f>C36</f>
        <v>0.28867633411697907</v>
      </c>
      <c r="F36" s="200">
        <f>C36*$C$29/$C$28</f>
        <v>0.2667172405986033</v>
      </c>
      <c r="G36" s="204">
        <f>'Output - Jobs vs Yr (BAU)'!X8/'Output - Jobs vs Yr (BAU)'!X24</f>
        <v>0.26493784238409357</v>
      </c>
      <c r="H36" s="200">
        <f>F36*$C$30/$C$29</f>
        <v>0.25594001299493813</v>
      </c>
      <c r="I36" s="204">
        <f>'Output - Jobs vs Yr (BAU)'!AH8/'Output - Jobs vs Yr (BAU)'!AH24</f>
        <v>0.25343974295302008</v>
      </c>
      <c r="J36"/>
      <c r="K36"/>
      <c r="L36"/>
    </row>
    <row r="37" spans="1:18">
      <c r="B37" s="4" t="s">
        <v>369</v>
      </c>
      <c r="C37" s="138">
        <f>SUM(C35:C36)+'Output -Jobs vs Yr'!N30/'Output -Jobs vs Yr'!N49</f>
        <v>0.36927812995448528</v>
      </c>
      <c r="D37" s="105">
        <f>SUM(D34:D36)</f>
        <v>0.36927812995448528</v>
      </c>
      <c r="E37" s="203">
        <f>SUM(E34:E36)</f>
        <v>0.36927812995448528</v>
      </c>
      <c r="F37" s="203">
        <f>SUM(F34:F36)</f>
        <v>0.34118780168159168</v>
      </c>
      <c r="G37" s="203">
        <f>SUM(G34:G36)</f>
        <v>0.34118624150554033</v>
      </c>
      <c r="H37" s="200">
        <f>C37*$C$30/$C$28</f>
        <v>0.32740144656609876</v>
      </c>
      <c r="I37" s="203">
        <f>SUM(I34:I36)</f>
        <v>0.32740096917955308</v>
      </c>
      <c r="J37" s="138"/>
      <c r="K37" s="138"/>
      <c r="L37" s="138"/>
    </row>
    <row r="38" spans="1:18">
      <c r="B38" s="4"/>
      <c r="C38" s="137" t="str">
        <f>IF(ROUND(C37,3)=ROUND(C28,3), "Great, " &amp; ROUND(C37,3)*100 &amp; "% agrees with 2020 Low Carbon % entered above", "Please re-adust Low Carbon portfolio to " &amp; ROUND(C28,3)*100 &amp; "% or change 2020 Low Carbon % above" )</f>
        <v>Great, 36,9% agrees with 2020 Low Carbon % entered above</v>
      </c>
      <c r="D38" s="105"/>
      <c r="E38" s="105"/>
      <c r="F38" s="97"/>
      <c r="G38" s="97"/>
      <c r="H38"/>
      <c r="I38"/>
      <c r="J38"/>
      <c r="K38"/>
      <c r="L38"/>
    </row>
    <row r="39" spans="1:18">
      <c r="B39" s="4"/>
      <c r="C39" s="105"/>
      <c r="D39" s="105" t="s">
        <v>0</v>
      </c>
      <c r="E39" s="105"/>
      <c r="F39" s="105" t="s">
        <v>0</v>
      </c>
      <c r="G39" s="97"/>
      <c r="H39"/>
      <c r="I39"/>
      <c r="J39"/>
      <c r="K39"/>
      <c r="L39"/>
    </row>
    <row r="40" spans="1:18">
      <c r="B40" s="113" t="s">
        <v>376</v>
      </c>
      <c r="C40" s="105">
        <f>C24</f>
        <v>9.9999999999999978E-2</v>
      </c>
      <c r="D40" s="105" t="s">
        <v>0</v>
      </c>
      <c r="E40" s="105" t="s">
        <v>0</v>
      </c>
      <c r="F40" s="105" t="s">
        <v>0</v>
      </c>
      <c r="G40" s="103" t="s">
        <v>0</v>
      </c>
      <c r="H40"/>
      <c r="I40"/>
      <c r="J40"/>
      <c r="K40"/>
      <c r="L40"/>
    </row>
    <row r="41" spans="1:18">
      <c r="B41" s="4" t="s">
        <v>375</v>
      </c>
      <c r="C41" s="105">
        <f>C24+C37</f>
        <v>0.46927812995448526</v>
      </c>
      <c r="D41" s="105" t="s">
        <v>0</v>
      </c>
      <c r="E41" s="105"/>
      <c r="F41" s="105" t="s">
        <v>0</v>
      </c>
      <c r="G41" s="103" t="s">
        <v>0</v>
      </c>
      <c r="H41"/>
      <c r="I41"/>
      <c r="J41"/>
      <c r="K41"/>
      <c r="L41"/>
    </row>
    <row r="42" spans="1:18">
      <c r="C42" s="110"/>
      <c r="D42"/>
      <c r="E42" s="13"/>
      <c r="F42" s="13"/>
      <c r="G42" s="13"/>
      <c r="M42"/>
    </row>
    <row r="43" spans="1:18" ht="15" thickBot="1">
      <c r="B43" s="1" t="s">
        <v>2</v>
      </c>
      <c r="C43" s="13" t="s">
        <v>138</v>
      </c>
      <c r="D43" s="1"/>
      <c r="E43" s="7"/>
      <c r="F43" s="7"/>
      <c r="G43" s="1"/>
      <c r="H43" s="13" t="s">
        <v>194</v>
      </c>
      <c r="I43" s="13"/>
      <c r="J43" s="13"/>
      <c r="K43" s="13"/>
      <c r="L43" s="13"/>
      <c r="M43" s="13" t="s">
        <v>307</v>
      </c>
      <c r="N43" s="7"/>
    </row>
    <row r="44" spans="1:18" ht="15" thickBot="1">
      <c r="B44" s="4" t="s">
        <v>209</v>
      </c>
      <c r="C44" s="42">
        <v>3.7999999999999999E-2</v>
      </c>
      <c r="D44" s="4"/>
      <c r="E44" s="28" t="s">
        <v>523</v>
      </c>
      <c r="F44" s="28"/>
      <c r="G44" s="1"/>
      <c r="H44" s="49">
        <v>9</v>
      </c>
      <c r="I44" s="242"/>
      <c r="J44" s="242"/>
      <c r="K44" s="242"/>
      <c r="L44"/>
      <c r="M44" s="12">
        <f t="shared" ref="M44:M61" si="7">C44+H44*C44</f>
        <v>0.37999999999999995</v>
      </c>
      <c r="N44" s="28" t="s">
        <v>523</v>
      </c>
    </row>
    <row r="45" spans="1:18" ht="15.75" hidden="1" customHeight="1" thickBot="1">
      <c r="B45" s="4" t="s">
        <v>210</v>
      </c>
      <c r="C45" s="41" t="e">
        <f>0.1*#REF!</f>
        <v>#REF!</v>
      </c>
      <c r="D45" s="4"/>
      <c r="E45" s="28" t="s">
        <v>206</v>
      </c>
      <c r="F45" s="28"/>
      <c r="G45" s="110"/>
      <c r="H45" s="49">
        <v>9</v>
      </c>
      <c r="I45" s="242"/>
      <c r="J45" s="242"/>
      <c r="K45" s="242"/>
      <c r="L45"/>
      <c r="M45" s="12" t="e">
        <f t="shared" si="7"/>
        <v>#REF!</v>
      </c>
      <c r="N45" s="28" t="s">
        <v>523</v>
      </c>
    </row>
    <row r="46" spans="1:18" s="1" customFormat="1" ht="15" thickBot="1">
      <c r="A46"/>
      <c r="B46" s="4" t="s">
        <v>121</v>
      </c>
      <c r="C46" s="84">
        <v>0.21</v>
      </c>
      <c r="D46" s="4" t="s">
        <v>0</v>
      </c>
      <c r="E46" s="28" t="s">
        <v>524</v>
      </c>
      <c r="F46" s="28"/>
      <c r="H46" s="49">
        <v>0.9</v>
      </c>
      <c r="I46" s="242"/>
      <c r="J46" s="242"/>
      <c r="K46" s="242"/>
      <c r="L46"/>
      <c r="M46" s="12">
        <f t="shared" si="7"/>
        <v>0.39900000000000002</v>
      </c>
      <c r="N46" s="28" t="s">
        <v>524</v>
      </c>
      <c r="O46"/>
      <c r="P46"/>
      <c r="Q46"/>
      <c r="R46"/>
    </row>
    <row r="47" spans="1:18" s="1" customFormat="1" ht="15" thickBot="1">
      <c r="A47"/>
      <c r="B47" s="4" t="s">
        <v>118</v>
      </c>
      <c r="C47" s="42">
        <v>0.18</v>
      </c>
      <c r="D47" s="4"/>
      <c r="E47" s="28" t="s">
        <v>524</v>
      </c>
      <c r="F47" s="28"/>
      <c r="H47" s="49">
        <v>0.9</v>
      </c>
      <c r="I47" s="242"/>
      <c r="J47" s="242"/>
      <c r="K47" s="242"/>
      <c r="L47"/>
      <c r="M47" s="12">
        <f t="shared" si="7"/>
        <v>0.34199999999999997</v>
      </c>
      <c r="N47" s="28" t="s">
        <v>524</v>
      </c>
      <c r="O47"/>
      <c r="P47"/>
      <c r="Q47"/>
    </row>
    <row r="48" spans="1:18" ht="15" thickBot="1">
      <c r="B48" s="4" t="s">
        <v>49</v>
      </c>
      <c r="C48" s="42">
        <v>0.15</v>
      </c>
      <c r="D48" s="4"/>
      <c r="E48" s="28" t="s">
        <v>524</v>
      </c>
      <c r="F48" s="28"/>
      <c r="G48" s="1"/>
      <c r="H48" s="49">
        <v>0.9</v>
      </c>
      <c r="I48" s="242"/>
      <c r="J48" s="242"/>
      <c r="K48" s="242"/>
      <c r="L48"/>
      <c r="M48" s="12">
        <f t="shared" si="7"/>
        <v>0.28500000000000003</v>
      </c>
      <c r="N48" s="28" t="s">
        <v>524</v>
      </c>
    </row>
    <row r="49" spans="1:17" s="1" customFormat="1" ht="15" thickBot="1">
      <c r="A49"/>
      <c r="B49" s="4" t="s">
        <v>50</v>
      </c>
      <c r="C49" s="42">
        <v>0.25</v>
      </c>
      <c r="D49" s="4" t="s">
        <v>0</v>
      </c>
      <c r="E49" s="28" t="s">
        <v>524</v>
      </c>
      <c r="F49" s="28"/>
      <c r="H49" s="49">
        <v>0.9</v>
      </c>
      <c r="I49" s="242"/>
      <c r="J49" s="242"/>
      <c r="K49" s="242"/>
      <c r="L49"/>
      <c r="M49" s="12">
        <f t="shared" si="7"/>
        <v>0.47499999999999998</v>
      </c>
      <c r="N49" s="28" t="s">
        <v>524</v>
      </c>
      <c r="O49" t="s">
        <v>0</v>
      </c>
      <c r="P49"/>
      <c r="Q49"/>
    </row>
    <row r="50" spans="1:17" s="1" customFormat="1" ht="15.75" hidden="1" customHeight="1" thickBot="1">
      <c r="A50"/>
      <c r="B50" s="4" t="s">
        <v>119</v>
      </c>
      <c r="C50" s="42">
        <v>0.11</v>
      </c>
      <c r="D50" s="4"/>
      <c r="E50" s="28" t="s">
        <v>524</v>
      </c>
      <c r="F50" s="28"/>
      <c r="G50" s="110"/>
      <c r="H50" s="49">
        <v>0.8</v>
      </c>
      <c r="I50" s="242"/>
      <c r="J50" s="242"/>
      <c r="K50" s="242"/>
      <c r="L50"/>
      <c r="M50" s="12">
        <f t="shared" si="7"/>
        <v>0.19800000000000001</v>
      </c>
      <c r="N50" s="28" t="s">
        <v>524</v>
      </c>
      <c r="O50" t="s">
        <v>0</v>
      </c>
      <c r="P50"/>
      <c r="Q50"/>
    </row>
    <row r="51" spans="1:17" s="1" customFormat="1" ht="15" thickBot="1">
      <c r="A51"/>
      <c r="B51" s="4" t="s">
        <v>343</v>
      </c>
      <c r="C51" s="42">
        <v>0.27</v>
      </c>
      <c r="D51" s="4"/>
      <c r="E51" s="28" t="s">
        <v>524</v>
      </c>
      <c r="F51" s="28"/>
      <c r="G51" s="110"/>
      <c r="H51" s="49">
        <v>0.9</v>
      </c>
      <c r="I51" s="242"/>
      <c r="J51" s="242"/>
      <c r="K51" s="242"/>
      <c r="L51"/>
      <c r="M51" s="12">
        <f t="shared" si="7"/>
        <v>0.51300000000000001</v>
      </c>
      <c r="N51" s="28" t="s">
        <v>524</v>
      </c>
      <c r="O51" t="s">
        <v>0</v>
      </c>
      <c r="P51"/>
      <c r="Q51"/>
    </row>
    <row r="52" spans="1:17" s="1" customFormat="1" ht="15" thickBot="1">
      <c r="A52"/>
      <c r="B52" s="4" t="s">
        <v>51</v>
      </c>
      <c r="C52" s="42">
        <v>0.15</v>
      </c>
      <c r="D52" s="4"/>
      <c r="E52" s="28" t="s">
        <v>524</v>
      </c>
      <c r="F52" s="28"/>
      <c r="G52" s="110"/>
      <c r="H52" s="49">
        <v>0.9</v>
      </c>
      <c r="I52" s="242"/>
      <c r="J52" s="242"/>
      <c r="K52" s="242"/>
      <c r="L52"/>
      <c r="M52" s="12">
        <f t="shared" si="7"/>
        <v>0.28500000000000003</v>
      </c>
      <c r="N52" s="28" t="s">
        <v>524</v>
      </c>
      <c r="O52" t="s">
        <v>0</v>
      </c>
      <c r="P52"/>
      <c r="Q52"/>
    </row>
    <row r="53" spans="1:17" ht="15" thickBot="1">
      <c r="B53" s="4" t="s">
        <v>59</v>
      </c>
      <c r="C53" s="42">
        <v>0.14000000000000001</v>
      </c>
      <c r="D53" s="4"/>
      <c r="E53" s="28" t="s">
        <v>524</v>
      </c>
      <c r="F53" s="28"/>
      <c r="G53" s="110"/>
      <c r="H53" s="49">
        <v>0.9</v>
      </c>
      <c r="I53" s="242"/>
      <c r="J53" s="242"/>
      <c r="K53" s="242"/>
      <c r="L53"/>
      <c r="M53" s="161">
        <f t="shared" si="7"/>
        <v>0.26600000000000001</v>
      </c>
      <c r="N53" s="28" t="s">
        <v>524</v>
      </c>
    </row>
    <row r="54" spans="1:17" ht="15" thickBot="1">
      <c r="B54" s="4" t="s">
        <v>347</v>
      </c>
      <c r="C54" s="84">
        <v>0.79</v>
      </c>
      <c r="D54" s="4" t="s">
        <v>0</v>
      </c>
      <c r="E54" s="28" t="s">
        <v>524</v>
      </c>
      <c r="F54" s="28"/>
      <c r="G54" s="110"/>
      <c r="H54" s="49">
        <v>0.9</v>
      </c>
      <c r="I54" s="242"/>
      <c r="J54" s="242"/>
      <c r="K54" s="242"/>
      <c r="L54"/>
      <c r="M54" s="12">
        <f t="shared" si="7"/>
        <v>1.5010000000000001</v>
      </c>
      <c r="N54" s="28" t="s">
        <v>524</v>
      </c>
    </row>
    <row r="55" spans="1:17" ht="15" thickBot="1">
      <c r="B55" s="4" t="s">
        <v>348</v>
      </c>
      <c r="C55" s="84">
        <v>0.23</v>
      </c>
      <c r="D55" s="4"/>
      <c r="E55" s="28" t="s">
        <v>524</v>
      </c>
      <c r="F55" s="28"/>
      <c r="G55" s="110"/>
      <c r="H55" s="49">
        <v>0.9</v>
      </c>
      <c r="I55" s="242"/>
      <c r="J55" s="242"/>
      <c r="K55" s="242"/>
      <c r="L55"/>
      <c r="M55" s="12">
        <f t="shared" si="7"/>
        <v>0.43700000000000006</v>
      </c>
      <c r="N55" s="28" t="s">
        <v>524</v>
      </c>
    </row>
    <row r="56" spans="1:17" ht="15.75" hidden="1" customHeight="1" thickBot="1">
      <c r="B56" s="4" t="s">
        <v>120</v>
      </c>
      <c r="C56" s="42">
        <v>0.11</v>
      </c>
      <c r="D56" s="4"/>
      <c r="E56" s="28" t="s">
        <v>524</v>
      </c>
      <c r="F56" s="28"/>
      <c r="G56" s="110"/>
      <c r="H56" s="49">
        <v>0.8</v>
      </c>
      <c r="I56" s="242"/>
      <c r="J56" s="242"/>
      <c r="K56" s="242"/>
      <c r="L56"/>
      <c r="M56" s="12">
        <f t="shared" si="7"/>
        <v>0.19800000000000001</v>
      </c>
      <c r="N56" s="28"/>
    </row>
    <row r="57" spans="1:17" ht="15" thickBot="1">
      <c r="B57" s="4" t="s">
        <v>53</v>
      </c>
      <c r="C57" s="84">
        <v>0.17</v>
      </c>
      <c r="D57" s="4" t="s">
        <v>0</v>
      </c>
      <c r="E57" s="28" t="s">
        <v>524</v>
      </c>
      <c r="F57" s="28"/>
      <c r="G57" s="110"/>
      <c r="H57" s="49">
        <v>0.9</v>
      </c>
      <c r="I57" s="242"/>
      <c r="J57" s="242"/>
      <c r="K57" s="242"/>
      <c r="L57"/>
      <c r="M57" s="12">
        <f t="shared" si="7"/>
        <v>0.32300000000000006</v>
      </c>
      <c r="N57" s="28" t="s">
        <v>524</v>
      </c>
    </row>
    <row r="58" spans="1:17" ht="15.75" hidden="1" customHeight="1" thickBot="1">
      <c r="B58" s="4" t="s">
        <v>191</v>
      </c>
      <c r="C58" s="41" t="e">
        <f xml:space="preserve"> 0.693 *#REF!</f>
        <v>#REF!</v>
      </c>
      <c r="D58" s="4"/>
      <c r="E58" s="28" t="s">
        <v>206</v>
      </c>
      <c r="F58" s="28"/>
      <c r="G58" s="110"/>
      <c r="H58" s="49">
        <v>0.8</v>
      </c>
      <c r="I58" s="242"/>
      <c r="J58" s="242"/>
      <c r="K58" s="242"/>
      <c r="L58"/>
      <c r="M58" s="12" t="e">
        <f t="shared" si="7"/>
        <v>#REF!</v>
      </c>
      <c r="N58" s="28" t="s">
        <v>524</v>
      </c>
    </row>
    <row r="59" spans="1:17" ht="15.75" hidden="1" customHeight="1" thickBot="1">
      <c r="B59" s="4" t="s">
        <v>246</v>
      </c>
      <c r="C59" s="49" t="e">
        <f xml:space="preserve"> (1/6) *#REF!</f>
        <v>#REF!</v>
      </c>
      <c r="D59" s="4"/>
      <c r="E59" s="28" t="s">
        <v>247</v>
      </c>
      <c r="F59" s="28"/>
      <c r="G59" s="110"/>
      <c r="H59" s="49">
        <v>0.8</v>
      </c>
      <c r="I59" s="242"/>
      <c r="J59" s="242"/>
      <c r="K59" s="242"/>
      <c r="L59"/>
      <c r="M59" s="12" t="e">
        <f t="shared" si="7"/>
        <v>#REF!</v>
      </c>
      <c r="N59" s="28" t="s">
        <v>206</v>
      </c>
    </row>
    <row r="60" spans="1:17" ht="15" thickBot="1">
      <c r="B60" s="4" t="s">
        <v>68</v>
      </c>
      <c r="C60" s="42">
        <v>0.11</v>
      </c>
      <c r="D60" s="4"/>
      <c r="E60" s="28" t="s">
        <v>524</v>
      </c>
      <c r="F60" s="28"/>
      <c r="G60" s="110"/>
      <c r="H60" s="49">
        <v>0.9</v>
      </c>
      <c r="I60" s="242"/>
      <c r="J60" s="242"/>
      <c r="K60" s="242"/>
      <c r="L60"/>
      <c r="M60" s="161">
        <f t="shared" si="7"/>
        <v>0.20900000000000002</v>
      </c>
      <c r="N60" s="28" t="s">
        <v>524</v>
      </c>
    </row>
    <row r="61" spans="1:17" ht="15" thickBot="1">
      <c r="B61" s="4" t="s">
        <v>76</v>
      </c>
      <c r="C61" s="42">
        <v>0.11</v>
      </c>
      <c r="D61" s="4"/>
      <c r="E61" s="28" t="s">
        <v>524</v>
      </c>
      <c r="F61" s="28"/>
      <c r="G61" s="110"/>
      <c r="H61" s="49">
        <v>0.9</v>
      </c>
      <c r="I61" s="242"/>
      <c r="J61" s="242"/>
      <c r="K61" s="242"/>
      <c r="L61"/>
      <c r="M61" s="12">
        <f t="shared" si="7"/>
        <v>0.20900000000000002</v>
      </c>
      <c r="N61" s="28" t="s">
        <v>524</v>
      </c>
    </row>
    <row r="62" spans="1:17">
      <c r="C62" s="110"/>
      <c r="D62"/>
      <c r="E62" s="7"/>
      <c r="F62" s="7"/>
      <c r="G62" s="110"/>
      <c r="H62"/>
      <c r="I62"/>
      <c r="J62"/>
      <c r="K62"/>
      <c r="L62"/>
    </row>
    <row r="63" spans="1:17">
      <c r="C63" s="12" t="s">
        <v>0</v>
      </c>
      <c r="D63"/>
      <c r="E63" s="7"/>
      <c r="F63" s="7"/>
      <c r="G63"/>
      <c r="H63"/>
      <c r="I63"/>
      <c r="J63"/>
      <c r="K63"/>
      <c r="L63"/>
    </row>
    <row r="64" spans="1:17">
      <c r="E64" s="7"/>
      <c r="F64" s="7"/>
      <c r="G64"/>
      <c r="H64"/>
      <c r="I64"/>
      <c r="J64"/>
      <c r="K64"/>
      <c r="L64"/>
    </row>
    <row r="65" spans="5:14">
      <c r="E65" s="7"/>
      <c r="F65" s="7"/>
      <c r="G65"/>
      <c r="H65"/>
      <c r="I65"/>
      <c r="J65"/>
      <c r="K65"/>
      <c r="L65"/>
      <c r="M65"/>
      <c r="N65" s="28" t="s">
        <v>0</v>
      </c>
    </row>
    <row r="66" spans="5:14" ht="15" customHeight="1">
      <c r="E66" s="7"/>
      <c r="F66" s="7"/>
      <c r="G66"/>
      <c r="H66"/>
      <c r="I66"/>
      <c r="J66"/>
      <c r="K66"/>
      <c r="L66"/>
      <c r="M66"/>
    </row>
    <row r="67" spans="5:14" ht="15" customHeight="1">
      <c r="M67" t="s">
        <v>0</v>
      </c>
    </row>
    <row r="68" spans="5:14" ht="15" customHeight="1">
      <c r="M68"/>
    </row>
    <row r="69" spans="5:14" ht="15" customHeight="1">
      <c r="M69"/>
    </row>
    <row r="70" spans="5:14" ht="15.75" customHeight="1">
      <c r="M70"/>
    </row>
  </sheetData>
  <dataConsolidate/>
  <mergeCells count="2">
    <mergeCell ref="A1:T1"/>
    <mergeCell ref="A2:O2"/>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L109"/>
  <sheetViews>
    <sheetView zoomScale="70" zoomScaleNormal="70" zoomScalePageLayoutView="70" workbookViewId="0">
      <selection activeCell="B70" sqref="B70"/>
    </sheetView>
  </sheetViews>
  <sheetFormatPr baseColWidth="10" defaultColWidth="12.5" defaultRowHeight="16" x14ac:dyDescent="0"/>
  <cols>
    <col min="1" max="1" width="47.33203125" style="5" customWidth="1"/>
    <col min="2" max="5" width="12.5" style="309"/>
    <col min="6" max="6" width="12.5" style="310"/>
    <col min="7" max="37" width="12.5" style="264"/>
    <col min="38" max="16384" width="12.5" style="5"/>
  </cols>
  <sheetData>
    <row r="1" spans="1:37">
      <c r="A1" s="237" t="s">
        <v>702</v>
      </c>
    </row>
    <row r="2" spans="1:37">
      <c r="A2" s="237" t="s">
        <v>654</v>
      </c>
    </row>
    <row r="3" spans="1:37">
      <c r="A3" s="237" t="s">
        <v>655</v>
      </c>
    </row>
    <row r="5" spans="1:37">
      <c r="A5" s="6" t="s">
        <v>185</v>
      </c>
    </row>
    <row r="6" spans="1:37">
      <c r="A6" s="6" t="s">
        <v>184</v>
      </c>
    </row>
    <row r="9" spans="1:37">
      <c r="AK9" s="265" t="s">
        <v>712</v>
      </c>
    </row>
    <row r="10" spans="1:37">
      <c r="B10" s="311" t="s">
        <v>7</v>
      </c>
      <c r="C10" s="311" t="s">
        <v>8</v>
      </c>
      <c r="D10" s="311" t="s">
        <v>9</v>
      </c>
      <c r="E10" s="311" t="s">
        <v>10</v>
      </c>
      <c r="F10" s="312" t="s">
        <v>11</v>
      </c>
      <c r="G10" s="265" t="s">
        <v>12</v>
      </c>
      <c r="H10" s="265" t="s">
        <v>13</v>
      </c>
      <c r="I10" s="265" t="s">
        <v>14</v>
      </c>
      <c r="J10" s="265" t="s">
        <v>15</v>
      </c>
      <c r="K10" s="265" t="s">
        <v>16</v>
      </c>
      <c r="L10" s="265" t="s">
        <v>17</v>
      </c>
      <c r="M10" s="265" t="s">
        <v>18</v>
      </c>
      <c r="N10" s="265" t="s">
        <v>19</v>
      </c>
      <c r="O10" s="265" t="s">
        <v>20</v>
      </c>
      <c r="P10" s="265" t="s">
        <v>21</v>
      </c>
      <c r="Q10" s="265" t="s">
        <v>22</v>
      </c>
      <c r="R10" s="265" t="s">
        <v>23</v>
      </c>
      <c r="S10" s="265" t="s">
        <v>24</v>
      </c>
      <c r="T10" s="265" t="s">
        <v>25</v>
      </c>
      <c r="U10" s="265" t="s">
        <v>26</v>
      </c>
      <c r="V10" s="265" t="s">
        <v>27</v>
      </c>
      <c r="W10" s="265" t="s">
        <v>28</v>
      </c>
      <c r="X10" s="265" t="s">
        <v>29</v>
      </c>
      <c r="Y10" s="265" t="s">
        <v>30</v>
      </c>
      <c r="Z10" s="265" t="s">
        <v>31</v>
      </c>
      <c r="AA10" s="265" t="s">
        <v>579</v>
      </c>
      <c r="AB10" s="265" t="s">
        <v>580</v>
      </c>
      <c r="AC10" s="265" t="s">
        <v>581</v>
      </c>
      <c r="AD10" s="265" t="s">
        <v>582</v>
      </c>
      <c r="AE10" s="265" t="s">
        <v>583</v>
      </c>
      <c r="AF10" s="265" t="s">
        <v>584</v>
      </c>
      <c r="AG10" s="265" t="s">
        <v>585</v>
      </c>
      <c r="AH10" s="265" t="s">
        <v>586</v>
      </c>
      <c r="AI10" s="265" t="s">
        <v>587</v>
      </c>
      <c r="AJ10" s="265" t="s">
        <v>588</v>
      </c>
      <c r="AK10" s="265">
        <v>2040</v>
      </c>
    </row>
    <row r="13" spans="1:37">
      <c r="A13" s="6" t="s">
        <v>183</v>
      </c>
    </row>
    <row r="14" spans="1:37">
      <c r="A14" s="6" t="s">
        <v>182</v>
      </c>
      <c r="B14" s="313">
        <v>5.1020002365112296</v>
      </c>
      <c r="C14" s="313">
        <v>5.0669999122619602</v>
      </c>
      <c r="D14" s="313">
        <v>4.9539995193481401</v>
      </c>
      <c r="E14" s="313">
        <v>5.3799490928649902</v>
      </c>
      <c r="F14" s="314">
        <v>5.6095256805419904</v>
      </c>
      <c r="G14" s="258">
        <v>5.6580000000000004</v>
      </c>
      <c r="H14" s="258">
        <v>6.4939989999999996</v>
      </c>
      <c r="I14" s="258">
        <v>7.7220000000000004</v>
      </c>
      <c r="J14" s="258">
        <v>8.5288000000000004</v>
      </c>
      <c r="K14" s="258">
        <v>9.0378019999999992</v>
      </c>
      <c r="L14" s="258">
        <v>9.5417810000000003</v>
      </c>
      <c r="M14" s="258">
        <v>9.5568039999999996</v>
      </c>
      <c r="N14" s="258">
        <v>9.5754859999999997</v>
      </c>
      <c r="O14" s="258">
        <v>9.6082459999999994</v>
      </c>
      <c r="P14" s="258">
        <v>9.5525409999999997</v>
      </c>
      <c r="Q14" s="258">
        <v>9.4165030000000005</v>
      </c>
      <c r="R14" s="258">
        <v>9.2888249999999992</v>
      </c>
      <c r="S14" s="258">
        <v>9.1907350000000001</v>
      </c>
      <c r="T14" s="258">
        <v>9.0728480000000005</v>
      </c>
      <c r="U14" s="258">
        <v>9.0041829999999994</v>
      </c>
      <c r="V14" s="258">
        <v>8.8329439999999995</v>
      </c>
      <c r="W14" s="258">
        <v>8.6696600000000004</v>
      </c>
      <c r="X14" s="258">
        <v>8.5159219999999998</v>
      </c>
      <c r="Y14" s="258">
        <v>8.3804160000000003</v>
      </c>
      <c r="Z14" s="258">
        <v>8.3047140000000006</v>
      </c>
      <c r="AA14" s="258">
        <v>8.1595440000000004</v>
      </c>
      <c r="AB14" s="258">
        <v>8.0727349999999998</v>
      </c>
      <c r="AC14" s="258">
        <v>8.0446790000000004</v>
      </c>
      <c r="AD14" s="258">
        <v>7.984591</v>
      </c>
      <c r="AE14" s="258">
        <v>7.8722690000000002</v>
      </c>
      <c r="AF14" s="258">
        <v>7.7546290000000004</v>
      </c>
      <c r="AG14" s="258">
        <v>7.6994870000000004</v>
      </c>
      <c r="AH14" s="258">
        <v>7.5588430000000004</v>
      </c>
      <c r="AI14" s="258">
        <v>7.5302829999999998</v>
      </c>
      <c r="AJ14" s="258">
        <v>7.4801669999999998</v>
      </c>
      <c r="AK14" s="259">
        <v>5.0000000000000001E-3</v>
      </c>
    </row>
    <row r="15" spans="1:37">
      <c r="A15" s="6" t="s">
        <v>181</v>
      </c>
      <c r="B15" s="313">
        <v>0.74099999666214</v>
      </c>
      <c r="C15" s="313">
        <v>0.71899998188018799</v>
      </c>
      <c r="D15" s="313">
        <v>0.68000000715255704</v>
      </c>
      <c r="E15" s="313">
        <v>0.73478877544403098</v>
      </c>
      <c r="F15" s="314">
        <v>0.68565064668655396</v>
      </c>
      <c r="G15" s="258">
        <v>0.57199999999999995</v>
      </c>
      <c r="H15" s="258">
        <v>0.53</v>
      </c>
      <c r="I15" s="258">
        <v>0.51</v>
      </c>
      <c r="J15" s="258">
        <v>0.4738</v>
      </c>
      <c r="K15" s="258">
        <v>0.462835</v>
      </c>
      <c r="L15" s="258">
        <v>0.46215800000000001</v>
      </c>
      <c r="M15" s="258">
        <v>0.46993800000000002</v>
      </c>
      <c r="N15" s="258">
        <v>0.47195500000000001</v>
      </c>
      <c r="O15" s="258">
        <v>0.45399899999999999</v>
      </c>
      <c r="P15" s="258">
        <v>0.43714199999999998</v>
      </c>
      <c r="Q15" s="258">
        <v>0.41283700000000001</v>
      </c>
      <c r="R15" s="258">
        <v>0.388714</v>
      </c>
      <c r="S15" s="258">
        <v>0.36631000000000002</v>
      </c>
      <c r="T15" s="258">
        <v>0.34568500000000002</v>
      </c>
      <c r="U15" s="258">
        <v>0.32666899999999999</v>
      </c>
      <c r="V15" s="258">
        <v>0.30766500000000002</v>
      </c>
      <c r="W15" s="258">
        <v>0.28877399999999998</v>
      </c>
      <c r="X15" s="258">
        <v>0.27134900000000001</v>
      </c>
      <c r="Y15" s="258">
        <v>0.25525500000000001</v>
      </c>
      <c r="Z15" s="258">
        <v>0.240371</v>
      </c>
      <c r="AA15" s="258">
        <v>0.22658700000000001</v>
      </c>
      <c r="AB15" s="258">
        <v>0.273065</v>
      </c>
      <c r="AC15" s="258">
        <v>0.34021099999999999</v>
      </c>
      <c r="AD15" s="258">
        <v>0.38843800000000001</v>
      </c>
      <c r="AE15" s="258">
        <v>0.378168</v>
      </c>
      <c r="AF15" s="258">
        <v>0.36859700000000001</v>
      </c>
      <c r="AG15" s="258">
        <v>0.35966500000000001</v>
      </c>
      <c r="AH15" s="258">
        <v>0.321691</v>
      </c>
      <c r="AI15" s="258">
        <v>0.28870200000000001</v>
      </c>
      <c r="AJ15" s="258">
        <v>0.25998700000000002</v>
      </c>
      <c r="AK15" s="259">
        <v>-2.5000000000000001E-2</v>
      </c>
    </row>
    <row r="16" spans="1:37">
      <c r="A16" s="6" t="s">
        <v>180</v>
      </c>
      <c r="B16" s="313">
        <v>4.3610000610351598</v>
      </c>
      <c r="C16" s="313">
        <v>4.34800004959106</v>
      </c>
      <c r="D16" s="313">
        <v>4.2739996910095197</v>
      </c>
      <c r="E16" s="313">
        <v>4.6451601982116699</v>
      </c>
      <c r="F16" s="314">
        <v>4.9238753318786603</v>
      </c>
      <c r="G16" s="258">
        <v>5.0860000000000003</v>
      </c>
      <c r="H16" s="258">
        <v>5.9640000000000004</v>
      </c>
      <c r="I16" s="258">
        <v>7.2119999999999997</v>
      </c>
      <c r="J16" s="258">
        <v>8.0549999999999997</v>
      </c>
      <c r="K16" s="258">
        <v>8.5749659999999999</v>
      </c>
      <c r="L16" s="258">
        <v>9.0796240000000008</v>
      </c>
      <c r="M16" s="258">
        <v>9.0868660000000006</v>
      </c>
      <c r="N16" s="258">
        <v>9.1035310000000003</v>
      </c>
      <c r="O16" s="258">
        <v>9.1542469999999998</v>
      </c>
      <c r="P16" s="258">
        <v>9.1153980000000008</v>
      </c>
      <c r="Q16" s="258">
        <v>9.0036670000000001</v>
      </c>
      <c r="R16" s="258">
        <v>8.9001110000000008</v>
      </c>
      <c r="S16" s="258">
        <v>8.8244249999999997</v>
      </c>
      <c r="T16" s="258">
        <v>8.7271629999999991</v>
      </c>
      <c r="U16" s="258">
        <v>8.6775140000000004</v>
      </c>
      <c r="V16" s="258">
        <v>8.5252789999999994</v>
      </c>
      <c r="W16" s="258">
        <v>8.3808860000000003</v>
      </c>
      <c r="X16" s="258">
        <v>8.2445730000000008</v>
      </c>
      <c r="Y16" s="258">
        <v>8.1251610000000003</v>
      </c>
      <c r="Z16" s="258">
        <v>8.0643429999999992</v>
      </c>
      <c r="AA16" s="258">
        <v>7.932957</v>
      </c>
      <c r="AB16" s="258">
        <v>7.7996699999999999</v>
      </c>
      <c r="AC16" s="258">
        <v>7.7044680000000003</v>
      </c>
      <c r="AD16" s="258">
        <v>7.5961540000000003</v>
      </c>
      <c r="AE16" s="258">
        <v>7.4941009999999997</v>
      </c>
      <c r="AF16" s="258">
        <v>7.3860330000000003</v>
      </c>
      <c r="AG16" s="258">
        <v>7.3398209999999997</v>
      </c>
      <c r="AH16" s="258">
        <v>7.2371509999999999</v>
      </c>
      <c r="AI16" s="258">
        <v>7.241581</v>
      </c>
      <c r="AJ16" s="258">
        <v>7.2201810000000002</v>
      </c>
      <c r="AK16" s="259">
        <v>7.0000000000000001E-3</v>
      </c>
    </row>
    <row r="17" spans="1:38">
      <c r="A17" s="6" t="s">
        <v>179</v>
      </c>
      <c r="B17" s="313">
        <v>10.093000411987299</v>
      </c>
      <c r="C17" s="313">
        <v>10.003999710083001</v>
      </c>
      <c r="D17" s="313">
        <v>9.7010002136230504</v>
      </c>
      <c r="E17" s="313">
        <v>8.9919996261596697</v>
      </c>
      <c r="F17" s="314">
        <v>8.3191394805908203</v>
      </c>
      <c r="G17" s="258">
        <v>8.8879999999999999</v>
      </c>
      <c r="H17" s="258">
        <v>8.4319989999999994</v>
      </c>
      <c r="I17" s="258">
        <v>7.3609999999999998</v>
      </c>
      <c r="J17" s="258">
        <v>6.452</v>
      </c>
      <c r="K17" s="258">
        <v>6.1656769999999996</v>
      </c>
      <c r="L17" s="258">
        <v>5.7677230000000002</v>
      </c>
      <c r="M17" s="258">
        <v>5.8143669999999998</v>
      </c>
      <c r="N17" s="258">
        <v>5.8087150000000003</v>
      </c>
      <c r="O17" s="258">
        <v>5.7589199999999998</v>
      </c>
      <c r="P17" s="258">
        <v>5.7870730000000004</v>
      </c>
      <c r="Q17" s="258">
        <v>5.8889449999999997</v>
      </c>
      <c r="R17" s="258">
        <v>5.9421790000000003</v>
      </c>
      <c r="S17" s="258">
        <v>5.9748789999999996</v>
      </c>
      <c r="T17" s="258">
        <v>6.0359290000000003</v>
      </c>
      <c r="U17" s="258">
        <v>6.0526869999999997</v>
      </c>
      <c r="V17" s="258">
        <v>6.1879960000000001</v>
      </c>
      <c r="W17" s="258">
        <v>6.3329610000000001</v>
      </c>
      <c r="X17" s="258">
        <v>6.455387</v>
      </c>
      <c r="Y17" s="258">
        <v>6.5668860000000002</v>
      </c>
      <c r="Z17" s="258">
        <v>6.635491</v>
      </c>
      <c r="AA17" s="258">
        <v>6.7795449999999997</v>
      </c>
      <c r="AB17" s="258">
        <v>6.8623289999999999</v>
      </c>
      <c r="AC17" s="258">
        <v>6.8977040000000001</v>
      </c>
      <c r="AD17" s="258">
        <v>6.9983430000000002</v>
      </c>
      <c r="AE17" s="258">
        <v>7.1493440000000001</v>
      </c>
      <c r="AF17" s="258">
        <v>7.303795</v>
      </c>
      <c r="AG17" s="258">
        <v>7.4063970000000001</v>
      </c>
      <c r="AH17" s="258">
        <v>7.6181229999999998</v>
      </c>
      <c r="AI17" s="258">
        <v>7.6624980000000003</v>
      </c>
      <c r="AJ17" s="258">
        <v>7.742801</v>
      </c>
      <c r="AK17" s="259">
        <v>-3.0000000000000001E-3</v>
      </c>
    </row>
    <row r="18" spans="1:38">
      <c r="A18" s="6" t="s">
        <v>178</v>
      </c>
      <c r="B18" s="313">
        <v>10.118000030517599</v>
      </c>
      <c r="C18" s="313">
        <v>10.0310001373291</v>
      </c>
      <c r="D18" s="313">
        <v>9.7280006408691406</v>
      </c>
      <c r="E18" s="313">
        <v>9.0190000534057599</v>
      </c>
      <c r="F18" s="314">
        <v>8.3490304946899396</v>
      </c>
      <c r="G18" s="258">
        <v>8.9350000000000005</v>
      </c>
      <c r="H18" s="258">
        <v>8.4920000000000009</v>
      </c>
      <c r="I18" s="258">
        <v>7.4809999999999999</v>
      </c>
      <c r="J18" s="258">
        <v>6.585</v>
      </c>
      <c r="K18" s="258">
        <v>6.3116139999999996</v>
      </c>
      <c r="L18" s="258">
        <v>5.9214209999999996</v>
      </c>
      <c r="M18" s="258">
        <v>5.9680070000000001</v>
      </c>
      <c r="N18" s="258">
        <v>5.9630130000000001</v>
      </c>
      <c r="O18" s="258">
        <v>5.9123679999999998</v>
      </c>
      <c r="P18" s="258">
        <v>5.9393659999999997</v>
      </c>
      <c r="Q18" s="258">
        <v>6.0361729999999998</v>
      </c>
      <c r="R18" s="258">
        <v>6.0801559999999997</v>
      </c>
      <c r="S18" s="258">
        <v>6.1090929999999997</v>
      </c>
      <c r="T18" s="258">
        <v>6.1684799999999997</v>
      </c>
      <c r="U18" s="258">
        <v>6.1836919999999997</v>
      </c>
      <c r="V18" s="258">
        <v>6.31792</v>
      </c>
      <c r="W18" s="258">
        <v>6.4623739999999996</v>
      </c>
      <c r="X18" s="258">
        <v>6.5838710000000003</v>
      </c>
      <c r="Y18" s="258">
        <v>6.6953279999999999</v>
      </c>
      <c r="Z18" s="258">
        <v>6.7654339999999999</v>
      </c>
      <c r="AA18" s="258">
        <v>6.9090009999999999</v>
      </c>
      <c r="AB18" s="258">
        <v>6.9898129999999998</v>
      </c>
      <c r="AC18" s="258">
        <v>7.0234620000000003</v>
      </c>
      <c r="AD18" s="258">
        <v>7.1230440000000002</v>
      </c>
      <c r="AE18" s="258">
        <v>7.2727890000000004</v>
      </c>
      <c r="AF18" s="258">
        <v>7.4277439999999997</v>
      </c>
      <c r="AG18" s="258">
        <v>7.5305350000000004</v>
      </c>
      <c r="AH18" s="258">
        <v>7.7422449999999996</v>
      </c>
      <c r="AI18" s="258">
        <v>7.7863189999999998</v>
      </c>
      <c r="AJ18" s="258">
        <v>7.866511</v>
      </c>
      <c r="AK18" s="259">
        <v>-3.0000000000000001E-3</v>
      </c>
    </row>
    <row r="19" spans="1:38">
      <c r="A19" s="6" t="s">
        <v>169</v>
      </c>
      <c r="B19" s="313">
        <v>2.5000000372528999E-2</v>
      </c>
      <c r="C19" s="313">
        <v>2.70000007003546E-2</v>
      </c>
      <c r="D19" s="313">
        <v>2.70000007003546E-2</v>
      </c>
      <c r="E19" s="313">
        <v>2.70000007003546E-2</v>
      </c>
      <c r="F19" s="314">
        <v>2.9890902340412102E-2</v>
      </c>
      <c r="G19" s="258">
        <v>4.7E-2</v>
      </c>
      <c r="H19" s="258">
        <v>0.06</v>
      </c>
      <c r="I19" s="258">
        <v>0.12</v>
      </c>
      <c r="J19" s="258">
        <v>0.13300000000000001</v>
      </c>
      <c r="K19" s="258">
        <v>0.14593700000000001</v>
      </c>
      <c r="L19" s="258">
        <v>0.153697</v>
      </c>
      <c r="M19" s="258">
        <v>0.15364</v>
      </c>
      <c r="N19" s="258">
        <v>0.15429799999999999</v>
      </c>
      <c r="O19" s="258">
        <v>0.153447</v>
      </c>
      <c r="P19" s="258">
        <v>0.15229300000000001</v>
      </c>
      <c r="Q19" s="258">
        <v>0.147228</v>
      </c>
      <c r="R19" s="258">
        <v>0.13797699999999999</v>
      </c>
      <c r="S19" s="258">
        <v>0.134215</v>
      </c>
      <c r="T19" s="258">
        <v>0.132551</v>
      </c>
      <c r="U19" s="258">
        <v>0.13100500000000001</v>
      </c>
      <c r="V19" s="258">
        <v>0.12992400000000001</v>
      </c>
      <c r="W19" s="258">
        <v>0.129414</v>
      </c>
      <c r="X19" s="258">
        <v>0.12848499999999999</v>
      </c>
      <c r="Y19" s="258">
        <v>0.128441</v>
      </c>
      <c r="Z19" s="258">
        <v>0.129943</v>
      </c>
      <c r="AA19" s="258">
        <v>0.12945599999999999</v>
      </c>
      <c r="AB19" s="258">
        <v>0.12748399999999999</v>
      </c>
      <c r="AC19" s="258">
        <v>0.12575900000000001</v>
      </c>
      <c r="AD19" s="258">
        <v>0.12470100000000001</v>
      </c>
      <c r="AE19" s="258">
        <v>0.123445</v>
      </c>
      <c r="AF19" s="258">
        <v>0.123949</v>
      </c>
      <c r="AG19" s="258">
        <v>0.124137</v>
      </c>
      <c r="AH19" s="258">
        <v>0.124122</v>
      </c>
      <c r="AI19" s="258">
        <v>0.123821</v>
      </c>
      <c r="AJ19" s="258">
        <v>0.12371</v>
      </c>
      <c r="AK19" s="259">
        <v>2.5999999999999999E-2</v>
      </c>
    </row>
    <row r="20" spans="1:38">
      <c r="A20" s="6" t="s">
        <v>177</v>
      </c>
      <c r="B20" s="313">
        <v>4.80000004172325E-2</v>
      </c>
      <c r="C20" s="313">
        <v>8.79999995231628E-2</v>
      </c>
      <c r="D20" s="313">
        <v>-2.9999997466802601E-2</v>
      </c>
      <c r="E20" s="313">
        <v>1.9999999552965199E-2</v>
      </c>
      <c r="F20" s="314">
        <v>0</v>
      </c>
      <c r="G20" s="258">
        <v>0.26600000000000001</v>
      </c>
      <c r="H20" s="258">
        <v>8.6999999999999994E-2</v>
      </c>
      <c r="I20" s="258">
        <v>0.23400000000000001</v>
      </c>
      <c r="J20" s="258">
        <v>0.161</v>
      </c>
      <c r="K20" s="258">
        <v>0</v>
      </c>
      <c r="L20" s="258">
        <v>0</v>
      </c>
      <c r="M20" s="258">
        <v>0</v>
      </c>
      <c r="N20" s="258">
        <v>0</v>
      </c>
      <c r="O20" s="258">
        <v>0</v>
      </c>
      <c r="P20" s="258">
        <v>0</v>
      </c>
      <c r="Q20" s="258">
        <v>0</v>
      </c>
      <c r="R20" s="258">
        <v>0</v>
      </c>
      <c r="S20" s="258">
        <v>0</v>
      </c>
      <c r="T20" s="258">
        <v>0</v>
      </c>
      <c r="U20" s="258">
        <v>0</v>
      </c>
      <c r="V20" s="258">
        <v>0</v>
      </c>
      <c r="W20" s="258">
        <v>0</v>
      </c>
      <c r="X20" s="258">
        <v>0</v>
      </c>
      <c r="Y20" s="258">
        <v>0</v>
      </c>
      <c r="Z20" s="258">
        <v>0</v>
      </c>
      <c r="AA20" s="258">
        <v>0</v>
      </c>
      <c r="AB20" s="258">
        <v>0</v>
      </c>
      <c r="AC20" s="258">
        <v>0</v>
      </c>
      <c r="AD20" s="258">
        <v>0</v>
      </c>
      <c r="AE20" s="258">
        <v>0</v>
      </c>
      <c r="AF20" s="258">
        <v>0</v>
      </c>
      <c r="AG20" s="258">
        <v>0</v>
      </c>
      <c r="AH20" s="258">
        <v>0</v>
      </c>
      <c r="AI20" s="258">
        <v>0</v>
      </c>
      <c r="AJ20" s="258">
        <v>0</v>
      </c>
      <c r="AK20" s="258" t="s">
        <v>41</v>
      </c>
    </row>
    <row r="21" spans="1:38">
      <c r="A21" s="6" t="s">
        <v>176</v>
      </c>
      <c r="B21" s="313">
        <v>15.2430009841919</v>
      </c>
      <c r="C21" s="313">
        <v>15.158999443054199</v>
      </c>
      <c r="D21" s="313">
        <v>14.625</v>
      </c>
      <c r="E21" s="313">
        <v>14.3919486999512</v>
      </c>
      <c r="F21" s="314">
        <v>13.9286651611328</v>
      </c>
      <c r="G21" s="213">
        <v>14.811999999999999</v>
      </c>
      <c r="H21" s="213">
        <v>15.012999000000001</v>
      </c>
      <c r="I21" s="213">
        <v>15.317</v>
      </c>
      <c r="J21" s="213">
        <v>15.141800999999999</v>
      </c>
      <c r="K21" s="213">
        <v>15.203478</v>
      </c>
      <c r="L21" s="213">
        <v>15.309505</v>
      </c>
      <c r="M21" s="213">
        <v>15.371171</v>
      </c>
      <c r="N21" s="213">
        <v>15.384200999999999</v>
      </c>
      <c r="O21" s="213">
        <v>15.367167</v>
      </c>
      <c r="P21" s="213">
        <v>15.339613999999999</v>
      </c>
      <c r="Q21" s="213">
        <v>15.305448999999999</v>
      </c>
      <c r="R21" s="213">
        <v>15.231005</v>
      </c>
      <c r="S21" s="213">
        <v>15.165613</v>
      </c>
      <c r="T21" s="213">
        <v>15.108777</v>
      </c>
      <c r="U21" s="213">
        <v>15.05687</v>
      </c>
      <c r="V21" s="213">
        <v>15.020941000000001</v>
      </c>
      <c r="W21" s="213">
        <v>15.002621</v>
      </c>
      <c r="X21" s="213">
        <v>14.971308000000001</v>
      </c>
      <c r="Y21" s="213">
        <v>14.947302000000001</v>
      </c>
      <c r="Z21" s="213">
        <v>14.940206</v>
      </c>
      <c r="AA21" s="213">
        <v>14.939088999999999</v>
      </c>
      <c r="AB21" s="213">
        <v>14.935063</v>
      </c>
      <c r="AC21" s="213">
        <v>14.942383</v>
      </c>
      <c r="AD21" s="213">
        <v>14.982934999999999</v>
      </c>
      <c r="AE21" s="213">
        <v>15.021611999999999</v>
      </c>
      <c r="AF21" s="213">
        <v>15.058424</v>
      </c>
      <c r="AG21" s="213">
        <v>15.105885000000001</v>
      </c>
      <c r="AH21" s="213">
        <v>15.176966</v>
      </c>
      <c r="AI21" s="213">
        <v>15.192781</v>
      </c>
      <c r="AJ21" s="213">
        <v>15.222968</v>
      </c>
      <c r="AK21" s="214">
        <v>0</v>
      </c>
    </row>
    <row r="23" spans="1:38">
      <c r="A23" s="6" t="s">
        <v>175</v>
      </c>
    </row>
    <row r="24" spans="1:38" s="216" customFormat="1">
      <c r="A24" s="215" t="s">
        <v>174</v>
      </c>
      <c r="B24" s="313">
        <v>1.7380001544952399</v>
      </c>
      <c r="C24" s="313">
        <v>1.7829999923706099</v>
      </c>
      <c r="D24" s="313">
        <v>1.82499992847443</v>
      </c>
      <c r="E24" s="313">
        <v>1.81299996376038</v>
      </c>
      <c r="F24" s="314">
        <v>1.86609554290771</v>
      </c>
      <c r="G24" s="260">
        <v>2.2160000000000002</v>
      </c>
      <c r="H24" s="260">
        <v>2.4</v>
      </c>
      <c r="I24" s="260">
        <v>2.4900000000000002</v>
      </c>
      <c r="J24" s="260">
        <v>2.5089999999999999</v>
      </c>
      <c r="K24" s="260">
        <v>2.5561180000000001</v>
      </c>
      <c r="L24" s="260">
        <v>2.6337290000000002</v>
      </c>
      <c r="M24" s="260">
        <v>2.6633930000000001</v>
      </c>
      <c r="N24" s="260">
        <v>2.6705079999999999</v>
      </c>
      <c r="O24" s="260">
        <v>2.669905</v>
      </c>
      <c r="P24" s="260">
        <v>2.6458759999999999</v>
      </c>
      <c r="Q24" s="260">
        <v>2.60798</v>
      </c>
      <c r="R24" s="260">
        <v>2.7045080000000001</v>
      </c>
      <c r="S24" s="260">
        <v>2.7930269999999999</v>
      </c>
      <c r="T24" s="260">
        <v>2.8390249999999999</v>
      </c>
      <c r="U24" s="260">
        <v>2.8728980000000002</v>
      </c>
      <c r="V24" s="260">
        <v>2.9033150000000001</v>
      </c>
      <c r="W24" s="260">
        <v>2.9228930000000002</v>
      </c>
      <c r="X24" s="260">
        <v>2.9406509999999999</v>
      </c>
      <c r="Y24" s="260">
        <v>2.9505080000000001</v>
      </c>
      <c r="Z24" s="260">
        <v>2.978853</v>
      </c>
      <c r="AA24" s="260">
        <v>3.0103460000000002</v>
      </c>
      <c r="AB24" s="260">
        <v>3.0288490000000001</v>
      </c>
      <c r="AC24" s="260">
        <v>3.0383969999999998</v>
      </c>
      <c r="AD24" s="260">
        <v>3.0546120000000001</v>
      </c>
      <c r="AE24" s="260">
        <v>3.0492400000000002</v>
      </c>
      <c r="AF24" s="260">
        <v>3.0289980000000001</v>
      </c>
      <c r="AG24" s="260">
        <v>3.058621</v>
      </c>
      <c r="AH24" s="260">
        <v>3.037477</v>
      </c>
      <c r="AI24" s="260">
        <v>3.013617</v>
      </c>
      <c r="AJ24" s="260">
        <v>2.983552</v>
      </c>
      <c r="AK24" s="261">
        <v>8.0000000000000002E-3</v>
      </c>
    </row>
    <row r="25" spans="1:38">
      <c r="A25" s="6" t="s">
        <v>173</v>
      </c>
      <c r="B25" s="313">
        <v>2.3140001296997101</v>
      </c>
      <c r="C25" s="313">
        <v>2.0869998931884801</v>
      </c>
      <c r="D25" s="313">
        <v>1.29999995231628</v>
      </c>
      <c r="E25" s="313">
        <v>1.3280000686645499</v>
      </c>
      <c r="F25" s="314">
        <v>1.6039888858795199</v>
      </c>
      <c r="G25" s="258">
        <v>-0.252</v>
      </c>
      <c r="H25" s="258">
        <v>-0.91600000000000004</v>
      </c>
      <c r="I25" s="258">
        <v>-0.98799999999999999</v>
      </c>
      <c r="J25" s="258">
        <v>-1.0289999999999999</v>
      </c>
      <c r="K25" s="258">
        <v>-0.96462499999999995</v>
      </c>
      <c r="L25" s="258">
        <v>-0.94448699999999997</v>
      </c>
      <c r="M25" s="258">
        <v>-0.93183700000000003</v>
      </c>
      <c r="N25" s="258">
        <v>-0.91123600000000005</v>
      </c>
      <c r="O25" s="258">
        <v>-0.88706300000000005</v>
      </c>
      <c r="P25" s="258">
        <v>-0.85573100000000002</v>
      </c>
      <c r="Q25" s="258">
        <v>-0.83163799999999999</v>
      </c>
      <c r="R25" s="258">
        <v>-0.89107099999999995</v>
      </c>
      <c r="S25" s="258">
        <v>-0.94251600000000002</v>
      </c>
      <c r="T25" s="258">
        <v>-0.97565599999999997</v>
      </c>
      <c r="U25" s="258">
        <v>-1.0068220000000001</v>
      </c>
      <c r="V25" s="258">
        <v>-1.068271</v>
      </c>
      <c r="W25" s="258">
        <v>-1.122708</v>
      </c>
      <c r="X25" s="258">
        <v>-1.1588719999999999</v>
      </c>
      <c r="Y25" s="258">
        <v>-1.2142729999999999</v>
      </c>
      <c r="Z25" s="258">
        <v>-1.293569</v>
      </c>
      <c r="AA25" s="258">
        <v>-1.3683129999999999</v>
      </c>
      <c r="AB25" s="258">
        <v>-1.4270320000000001</v>
      </c>
      <c r="AC25" s="258">
        <v>-1.482378</v>
      </c>
      <c r="AD25" s="258">
        <v>-1.563064</v>
      </c>
      <c r="AE25" s="258">
        <v>-1.613156</v>
      </c>
      <c r="AF25" s="258">
        <v>-1.650264</v>
      </c>
      <c r="AG25" s="258">
        <v>-1.716191</v>
      </c>
      <c r="AH25" s="258">
        <v>-1.7615620000000001</v>
      </c>
      <c r="AI25" s="258">
        <v>-1.7771790000000001</v>
      </c>
      <c r="AJ25" s="258">
        <v>-1.816797</v>
      </c>
      <c r="AK25" s="259">
        <v>2.5000000000000001E-2</v>
      </c>
    </row>
    <row r="26" spans="1:38">
      <c r="A26" s="6" t="s">
        <v>172</v>
      </c>
      <c r="B26" s="313">
        <v>2.1710000038146999</v>
      </c>
      <c r="C26" s="313">
        <v>1.93800008296967</v>
      </c>
      <c r="D26" s="313">
        <v>1.0240000486373899</v>
      </c>
      <c r="E26" s="313">
        <v>1.06200003623962</v>
      </c>
      <c r="F26" s="314">
        <v>1.54514491558075</v>
      </c>
      <c r="G26" s="258">
        <v>1.151</v>
      </c>
      <c r="H26" s="258">
        <v>0.84799999999999998</v>
      </c>
      <c r="I26" s="258">
        <v>0.70899999999999996</v>
      </c>
      <c r="J26" s="258">
        <v>0.72</v>
      </c>
      <c r="K26" s="258">
        <v>0.81863200000000003</v>
      </c>
      <c r="L26" s="258">
        <v>0.88173000000000001</v>
      </c>
      <c r="M26" s="258">
        <v>0.906914</v>
      </c>
      <c r="N26" s="258">
        <v>0.93180099999999999</v>
      </c>
      <c r="O26" s="258">
        <v>0.95816500000000004</v>
      </c>
      <c r="P26" s="258">
        <v>0.97589599999999999</v>
      </c>
      <c r="Q26" s="258">
        <v>0.98990599999999995</v>
      </c>
      <c r="R26" s="258">
        <v>1.006778</v>
      </c>
      <c r="S26" s="258">
        <v>1.0199199999999999</v>
      </c>
      <c r="T26" s="258">
        <v>1.03091</v>
      </c>
      <c r="U26" s="258">
        <v>1.05515</v>
      </c>
      <c r="V26" s="258">
        <v>1.0587679999999999</v>
      </c>
      <c r="W26" s="258">
        <v>1.0657570000000001</v>
      </c>
      <c r="X26" s="258">
        <v>1.0659179999999999</v>
      </c>
      <c r="Y26" s="258">
        <v>1.061431</v>
      </c>
      <c r="Z26" s="258">
        <v>1.0560160000000001</v>
      </c>
      <c r="AA26" s="258">
        <v>1.05697</v>
      </c>
      <c r="AB26" s="258">
        <v>1.0702149999999999</v>
      </c>
      <c r="AC26" s="258">
        <v>1.072165</v>
      </c>
      <c r="AD26" s="258">
        <v>1.0766100000000001</v>
      </c>
      <c r="AE26" s="258">
        <v>1.0822270000000001</v>
      </c>
      <c r="AF26" s="258">
        <v>1.093154</v>
      </c>
      <c r="AG26" s="258">
        <v>1.095712</v>
      </c>
      <c r="AH26" s="258">
        <v>1.0972550000000001</v>
      </c>
      <c r="AI26" s="258">
        <v>1.1087450000000001</v>
      </c>
      <c r="AJ26" s="258">
        <v>1.0974060000000001</v>
      </c>
      <c r="AK26" s="259">
        <v>8.9999999999999993E-3</v>
      </c>
    </row>
    <row r="27" spans="1:38">
      <c r="A27" s="6" t="s">
        <v>171</v>
      </c>
      <c r="B27" s="313">
        <v>0.68900001049041704</v>
      </c>
      <c r="C27" s="313">
        <v>0.71700000762939498</v>
      </c>
      <c r="D27" s="313">
        <v>0.60663330554962203</v>
      </c>
      <c r="E27" s="313">
        <v>0.60996818542480502</v>
      </c>
      <c r="F27" s="314">
        <v>0.60277581214904796</v>
      </c>
      <c r="G27" s="258">
        <v>0.68700000000000006</v>
      </c>
      <c r="H27" s="258">
        <v>0.60299999999999998</v>
      </c>
      <c r="I27" s="258">
        <v>0.58599999999999997</v>
      </c>
      <c r="J27" s="258">
        <v>0.54400000000000004</v>
      </c>
      <c r="K27" s="258">
        <v>0.540385</v>
      </c>
      <c r="L27" s="258">
        <v>0.53676900000000005</v>
      </c>
      <c r="M27" s="258">
        <v>0.53315299999999999</v>
      </c>
      <c r="N27" s="258">
        <v>0.52953899999999998</v>
      </c>
      <c r="O27" s="258">
        <v>0.52592300000000003</v>
      </c>
      <c r="P27" s="258">
        <v>0.52230699999999997</v>
      </c>
      <c r="Q27" s="258">
        <v>0.51869299999999996</v>
      </c>
      <c r="R27" s="258">
        <v>0.51507700000000001</v>
      </c>
      <c r="S27" s="258">
        <v>0.51146100000000005</v>
      </c>
      <c r="T27" s="258">
        <v>0.50784600000000002</v>
      </c>
      <c r="U27" s="258">
        <v>0.50423099999999998</v>
      </c>
      <c r="V27" s="258">
        <v>0.50061500000000003</v>
      </c>
      <c r="W27" s="258">
        <v>0.497</v>
      </c>
      <c r="X27" s="258">
        <v>0.49338500000000002</v>
      </c>
      <c r="Y27" s="258">
        <v>0.48976900000000001</v>
      </c>
      <c r="Z27" s="258">
        <v>0.48615399999999998</v>
      </c>
      <c r="AA27" s="258">
        <v>0.48253800000000002</v>
      </c>
      <c r="AB27" s="258">
        <v>0.47892299999999999</v>
      </c>
      <c r="AC27" s="258">
        <v>0.47530800000000001</v>
      </c>
      <c r="AD27" s="258">
        <v>0.471692</v>
      </c>
      <c r="AE27" s="258">
        <v>0.46807700000000002</v>
      </c>
      <c r="AF27" s="258">
        <v>0.46446199999999999</v>
      </c>
      <c r="AG27" s="258">
        <v>0.46084599999999998</v>
      </c>
      <c r="AH27" s="258">
        <v>0.45723000000000003</v>
      </c>
      <c r="AI27" s="258">
        <v>0.45361600000000002</v>
      </c>
      <c r="AJ27" s="258">
        <v>0.45</v>
      </c>
      <c r="AK27" s="259">
        <v>-0.01</v>
      </c>
    </row>
    <row r="28" spans="1:38">
      <c r="A28" s="6" t="s">
        <v>170</v>
      </c>
      <c r="B28" s="313">
        <v>0.67700004577636697</v>
      </c>
      <c r="C28" s="313">
        <v>0.75300002098083496</v>
      </c>
      <c r="D28" s="313">
        <v>0.73199999332428001</v>
      </c>
      <c r="E28" s="313">
        <v>0.71799999475479104</v>
      </c>
      <c r="F28" s="314">
        <v>0.62520116567611705</v>
      </c>
      <c r="G28" s="258">
        <v>0.71799999999999997</v>
      </c>
      <c r="H28" s="258">
        <v>0.61599999999999999</v>
      </c>
      <c r="I28" s="258">
        <v>0.61</v>
      </c>
      <c r="J28" s="258">
        <v>0.6</v>
      </c>
      <c r="K28" s="258">
        <v>0.67105999999999999</v>
      </c>
      <c r="L28" s="258">
        <v>0.66229499999999997</v>
      </c>
      <c r="M28" s="258">
        <v>0.65169100000000002</v>
      </c>
      <c r="N28" s="258">
        <v>0.64020900000000003</v>
      </c>
      <c r="O28" s="258">
        <v>0.62541100000000005</v>
      </c>
      <c r="P28" s="258">
        <v>0.61513700000000004</v>
      </c>
      <c r="Q28" s="258">
        <v>0.606742</v>
      </c>
      <c r="R28" s="258">
        <v>0.595522</v>
      </c>
      <c r="S28" s="258">
        <v>0.58620099999999997</v>
      </c>
      <c r="T28" s="258">
        <v>0.57591400000000004</v>
      </c>
      <c r="U28" s="258">
        <v>0.55055799999999999</v>
      </c>
      <c r="V28" s="258">
        <v>0.53803599999999996</v>
      </c>
      <c r="W28" s="258">
        <v>0.524864</v>
      </c>
      <c r="X28" s="258">
        <v>0.51505000000000001</v>
      </c>
      <c r="Y28" s="258">
        <v>0.50508799999999998</v>
      </c>
      <c r="Z28" s="258">
        <v>0.49612200000000001</v>
      </c>
      <c r="AA28" s="258">
        <v>0.48664200000000002</v>
      </c>
      <c r="AB28" s="258">
        <v>0.47747699999999998</v>
      </c>
      <c r="AC28" s="258">
        <v>0.46830300000000002</v>
      </c>
      <c r="AD28" s="258">
        <v>0.45679599999999998</v>
      </c>
      <c r="AE28" s="258">
        <v>0.44836500000000001</v>
      </c>
      <c r="AF28" s="258">
        <v>0.43787900000000002</v>
      </c>
      <c r="AG28" s="258">
        <v>0.42837799999999998</v>
      </c>
      <c r="AH28" s="258">
        <v>0.41841600000000001</v>
      </c>
      <c r="AI28" s="258">
        <v>0.40845399999999998</v>
      </c>
      <c r="AJ28" s="258">
        <v>0.39849099999999998</v>
      </c>
      <c r="AK28" s="259">
        <v>-1.4999999999999999E-2</v>
      </c>
    </row>
    <row r="29" spans="1:38">
      <c r="A29" s="6" t="s">
        <v>169</v>
      </c>
      <c r="B29" s="313">
        <v>1.2150000333786</v>
      </c>
      <c r="C29" s="313">
        <v>1.32100009918213</v>
      </c>
      <c r="D29" s="313">
        <v>1.2150000333786</v>
      </c>
      <c r="E29" s="313">
        <v>1.2150000333786</v>
      </c>
      <c r="F29" s="314">
        <v>1.16913342475891</v>
      </c>
      <c r="G29" s="258">
        <v>2.8079999999999998</v>
      </c>
      <c r="H29" s="258">
        <v>2.9830000000000001</v>
      </c>
      <c r="I29" s="258">
        <v>2.8929999999999998</v>
      </c>
      <c r="J29" s="258">
        <v>2.8929999999999998</v>
      </c>
      <c r="K29" s="258">
        <v>2.9947010000000001</v>
      </c>
      <c r="L29" s="258">
        <v>3.0252810000000001</v>
      </c>
      <c r="M29" s="258">
        <v>3.023596</v>
      </c>
      <c r="N29" s="258">
        <v>3.0127839999999999</v>
      </c>
      <c r="O29" s="258">
        <v>2.9965619999999999</v>
      </c>
      <c r="P29" s="258">
        <v>2.9690720000000002</v>
      </c>
      <c r="Q29" s="258">
        <v>2.9469789999999998</v>
      </c>
      <c r="R29" s="258">
        <v>3.0084490000000002</v>
      </c>
      <c r="S29" s="258">
        <v>3.0600990000000001</v>
      </c>
      <c r="T29" s="258">
        <v>3.090325</v>
      </c>
      <c r="U29" s="258">
        <v>3.1167609999999999</v>
      </c>
      <c r="V29" s="258">
        <v>3.1656900000000001</v>
      </c>
      <c r="W29" s="258">
        <v>3.2103290000000002</v>
      </c>
      <c r="X29" s="258">
        <v>3.2332260000000002</v>
      </c>
      <c r="Y29" s="258">
        <v>3.2705609999999998</v>
      </c>
      <c r="Z29" s="258">
        <v>3.331861</v>
      </c>
      <c r="AA29" s="258">
        <v>3.3944640000000001</v>
      </c>
      <c r="AB29" s="258">
        <v>3.4536470000000001</v>
      </c>
      <c r="AC29" s="258">
        <v>3.498154</v>
      </c>
      <c r="AD29" s="258">
        <v>3.5681620000000001</v>
      </c>
      <c r="AE29" s="258">
        <v>3.6118250000000001</v>
      </c>
      <c r="AF29" s="258">
        <v>3.6457579999999998</v>
      </c>
      <c r="AG29" s="258">
        <v>3.7011270000000001</v>
      </c>
      <c r="AH29" s="258">
        <v>3.7344629999999999</v>
      </c>
      <c r="AI29" s="258">
        <v>3.7479930000000001</v>
      </c>
      <c r="AJ29" s="258">
        <v>3.7626949999999999</v>
      </c>
      <c r="AK29" s="259">
        <v>8.0000000000000002E-3</v>
      </c>
    </row>
    <row r="30" spans="1:38">
      <c r="A30" s="6" t="s">
        <v>168</v>
      </c>
      <c r="B30" s="313">
        <v>0.99400001764297496</v>
      </c>
      <c r="C30" s="313">
        <v>0.99599999189376798</v>
      </c>
      <c r="D30" s="313">
        <v>0.99699997901916504</v>
      </c>
      <c r="E30" s="313">
        <v>0.97899997234344505</v>
      </c>
      <c r="F30" s="314">
        <v>0.97222220897674605</v>
      </c>
      <c r="G30" s="258">
        <v>1.0760000000000001</v>
      </c>
      <c r="H30" s="258">
        <v>1.077</v>
      </c>
      <c r="I30" s="258">
        <v>1.0620000000000001</v>
      </c>
      <c r="J30" s="258">
        <v>1.0549999999999999</v>
      </c>
      <c r="K30" s="258">
        <v>1.1173770000000001</v>
      </c>
      <c r="L30" s="258">
        <v>1.107977</v>
      </c>
      <c r="M30" s="258">
        <v>1.1068800000000001</v>
      </c>
      <c r="N30" s="258">
        <v>1.1013949999999999</v>
      </c>
      <c r="O30" s="258">
        <v>1.0899559999999999</v>
      </c>
      <c r="P30" s="258">
        <v>1.0810919999999999</v>
      </c>
      <c r="Q30" s="258">
        <v>1.070587</v>
      </c>
      <c r="R30" s="258">
        <v>1.0513539999999999</v>
      </c>
      <c r="S30" s="258">
        <v>1.032008</v>
      </c>
      <c r="T30" s="258">
        <v>1.0139609999999999</v>
      </c>
      <c r="U30" s="258">
        <v>0.99733000000000005</v>
      </c>
      <c r="V30" s="258">
        <v>0.98163100000000003</v>
      </c>
      <c r="W30" s="258">
        <v>0.97328499999999996</v>
      </c>
      <c r="X30" s="258">
        <v>0.96382100000000004</v>
      </c>
      <c r="Y30" s="258">
        <v>0.95674199999999998</v>
      </c>
      <c r="Z30" s="258">
        <v>0.95704199999999995</v>
      </c>
      <c r="AA30" s="258">
        <v>0.95328999999999997</v>
      </c>
      <c r="AB30" s="258">
        <v>0.95369499999999996</v>
      </c>
      <c r="AC30" s="258">
        <v>0.949291</v>
      </c>
      <c r="AD30" s="258">
        <v>0.94474999999999998</v>
      </c>
      <c r="AE30" s="258">
        <v>0.94433999999999996</v>
      </c>
      <c r="AF30" s="258">
        <v>0.94618999999999998</v>
      </c>
      <c r="AG30" s="258">
        <v>0.94669300000000001</v>
      </c>
      <c r="AH30" s="258">
        <v>0.95018899999999995</v>
      </c>
      <c r="AI30" s="258">
        <v>0.95436399999999999</v>
      </c>
      <c r="AJ30" s="258">
        <v>0.95464199999999999</v>
      </c>
      <c r="AK30" s="259">
        <v>-4.0000000000000001E-3</v>
      </c>
    </row>
    <row r="31" spans="1:38">
      <c r="A31" s="6" t="s">
        <v>688</v>
      </c>
      <c r="B31" s="313">
        <v>0.40835106372833302</v>
      </c>
      <c r="C31" s="313">
        <v>0.74303030967712402</v>
      </c>
      <c r="D31" s="313">
        <v>0.90019965171813998</v>
      </c>
      <c r="E31" s="313">
        <v>0.90936332941055298</v>
      </c>
      <c r="F31" s="314">
        <v>1.2169610261917101</v>
      </c>
      <c r="G31" s="258">
        <v>0.87458199999999997</v>
      </c>
      <c r="H31" s="258">
        <v>0.88629000000000002</v>
      </c>
      <c r="I31" s="258">
        <v>0.91131799999999996</v>
      </c>
      <c r="J31" s="258">
        <v>0.94543999999999995</v>
      </c>
      <c r="K31" s="258">
        <v>0.95931299999999997</v>
      </c>
      <c r="L31" s="258">
        <v>0.96406000000000003</v>
      </c>
      <c r="M31" s="258">
        <v>0.97751200000000005</v>
      </c>
      <c r="N31" s="258">
        <v>0.98974300000000004</v>
      </c>
      <c r="O31" s="258">
        <v>1.0016430000000001</v>
      </c>
      <c r="P31" s="258">
        <v>1.014486</v>
      </c>
      <c r="Q31" s="258">
        <v>1.026421</v>
      </c>
      <c r="R31" s="258">
        <v>1.04257</v>
      </c>
      <c r="S31" s="258">
        <v>1.0409060000000001</v>
      </c>
      <c r="T31" s="258">
        <v>1.042815</v>
      </c>
      <c r="U31" s="258">
        <v>1.0410189999999999</v>
      </c>
      <c r="V31" s="258">
        <v>1.0405869999999999</v>
      </c>
      <c r="W31" s="258">
        <v>1.0406690000000001</v>
      </c>
      <c r="X31" s="258">
        <v>1.0407820000000001</v>
      </c>
      <c r="Y31" s="258">
        <v>1.0402199999999999</v>
      </c>
      <c r="Z31" s="258">
        <v>1.0406690000000001</v>
      </c>
      <c r="AA31" s="258">
        <v>1.0418559999999999</v>
      </c>
      <c r="AB31" s="258">
        <v>1.0410980000000001</v>
      </c>
      <c r="AC31" s="258">
        <v>1.041115</v>
      </c>
      <c r="AD31" s="258">
        <v>1.0421020000000001</v>
      </c>
      <c r="AE31" s="258">
        <v>1.0415099999999999</v>
      </c>
      <c r="AF31" s="258">
        <v>1.039404</v>
      </c>
      <c r="AG31" s="258">
        <v>1.038624</v>
      </c>
      <c r="AH31" s="258">
        <v>1.041671</v>
      </c>
      <c r="AI31" s="258">
        <v>1.0532999999999999</v>
      </c>
      <c r="AJ31" s="258">
        <v>1.0676890000000001</v>
      </c>
      <c r="AK31" s="259">
        <v>7.0000000000000001E-3</v>
      </c>
    </row>
    <row r="32" spans="1:38" s="18" customFormat="1">
      <c r="A32" s="17" t="s">
        <v>167</v>
      </c>
      <c r="B32" s="315">
        <v>0.31900000572204601</v>
      </c>
      <c r="C32" s="315">
        <v>0.42500001192092901</v>
      </c>
      <c r="D32" s="315">
        <v>0.60299998521804798</v>
      </c>
      <c r="E32" s="315">
        <v>0.68500006198883101</v>
      </c>
      <c r="F32" s="316">
        <v>0.84147453308105502</v>
      </c>
      <c r="G32" s="258">
        <v>0.81834200000000001</v>
      </c>
      <c r="H32" s="258">
        <v>0.82725800000000005</v>
      </c>
      <c r="I32" s="258">
        <v>0.825187</v>
      </c>
      <c r="J32" s="258">
        <v>0.85004199999999996</v>
      </c>
      <c r="K32" s="258">
        <v>0.865282</v>
      </c>
      <c r="L32" s="258">
        <v>0.869251</v>
      </c>
      <c r="M32" s="258">
        <v>0.88145200000000001</v>
      </c>
      <c r="N32" s="258">
        <v>0.88586200000000004</v>
      </c>
      <c r="O32" s="258">
        <v>0.88890000000000002</v>
      </c>
      <c r="P32" s="258">
        <v>0.89585899999999996</v>
      </c>
      <c r="Q32" s="258">
        <v>0.89987200000000001</v>
      </c>
      <c r="R32" s="258">
        <v>0.91550900000000002</v>
      </c>
      <c r="S32" s="258">
        <v>0.91492399999999996</v>
      </c>
      <c r="T32" s="258">
        <v>0.91555299999999995</v>
      </c>
      <c r="U32" s="258">
        <v>0.91523600000000005</v>
      </c>
      <c r="V32" s="258">
        <v>0.91508800000000001</v>
      </c>
      <c r="W32" s="258">
        <v>0.91518600000000006</v>
      </c>
      <c r="X32" s="258">
        <v>0.91533399999999998</v>
      </c>
      <c r="Y32" s="258">
        <v>0.91476000000000002</v>
      </c>
      <c r="Z32" s="258">
        <v>0.91483099999999995</v>
      </c>
      <c r="AA32" s="258">
        <v>0.91463499999999998</v>
      </c>
      <c r="AB32" s="258">
        <v>0.91389500000000001</v>
      </c>
      <c r="AC32" s="258">
        <v>0.91388999999999998</v>
      </c>
      <c r="AD32" s="258">
        <v>0.91484699999999997</v>
      </c>
      <c r="AE32" s="258">
        <v>0.91425800000000002</v>
      </c>
      <c r="AF32" s="258">
        <v>0.91217999999999999</v>
      </c>
      <c r="AG32" s="258">
        <v>0.91165499999999999</v>
      </c>
      <c r="AH32" s="258">
        <v>0.91445399999999999</v>
      </c>
      <c r="AI32" s="258">
        <v>0.92887299999999995</v>
      </c>
      <c r="AJ32" s="258">
        <v>0.94600499999999998</v>
      </c>
      <c r="AK32" s="259">
        <v>5.0000000000000001E-3</v>
      </c>
      <c r="AL32" s="51">
        <f>C32*(1+AK32)^23</f>
        <v>0.4766596202229666</v>
      </c>
    </row>
    <row r="33" spans="1:38" s="18" customFormat="1">
      <c r="A33" s="17" t="s">
        <v>165</v>
      </c>
      <c r="B33" s="315">
        <v>0.273288995027542</v>
      </c>
      <c r="C33" s="315">
        <v>0.40336400270461997</v>
      </c>
      <c r="D33" s="315">
        <v>0.58252400159835804</v>
      </c>
      <c r="E33" s="315">
        <v>0.68972003459930398</v>
      </c>
      <c r="F33" s="316">
        <v>0.84179353713989302</v>
      </c>
      <c r="G33" s="258">
        <v>0.88597599999999999</v>
      </c>
      <c r="H33" s="258">
        <v>0.84365599999999996</v>
      </c>
      <c r="I33" s="258">
        <v>0.83595299999999995</v>
      </c>
      <c r="J33" s="258">
        <v>0.86998399999999998</v>
      </c>
      <c r="K33" s="258">
        <v>0.82013999999999998</v>
      </c>
      <c r="L33" s="258">
        <v>0.82233599999999996</v>
      </c>
      <c r="M33" s="258">
        <v>0.83316999999999997</v>
      </c>
      <c r="N33" s="258">
        <v>0.834866</v>
      </c>
      <c r="O33" s="258">
        <v>0.83494199999999996</v>
      </c>
      <c r="P33" s="258">
        <v>0.84040599999999999</v>
      </c>
      <c r="Q33" s="258">
        <v>0.83868500000000001</v>
      </c>
      <c r="R33" s="258">
        <v>0.84875</v>
      </c>
      <c r="S33" s="258">
        <v>0.85439200000000004</v>
      </c>
      <c r="T33" s="258">
        <v>0.85437700000000005</v>
      </c>
      <c r="U33" s="258">
        <v>0.85438800000000004</v>
      </c>
      <c r="V33" s="258">
        <v>0.85439200000000004</v>
      </c>
      <c r="W33" s="258">
        <v>0.85523000000000005</v>
      </c>
      <c r="X33" s="258">
        <v>0.85584700000000002</v>
      </c>
      <c r="Y33" s="258">
        <v>0.85583500000000001</v>
      </c>
      <c r="Z33" s="258">
        <v>0.85584700000000002</v>
      </c>
      <c r="AA33" s="258">
        <v>0.85584700000000002</v>
      </c>
      <c r="AB33" s="258">
        <v>0.85583500000000001</v>
      </c>
      <c r="AC33" s="258">
        <v>0.85583500000000001</v>
      </c>
      <c r="AD33" s="258">
        <v>0.85583500000000001</v>
      </c>
      <c r="AE33" s="258">
        <v>0.85358400000000001</v>
      </c>
      <c r="AF33" s="258">
        <v>0.84983299999999995</v>
      </c>
      <c r="AG33" s="258">
        <v>0.84757499999999997</v>
      </c>
      <c r="AH33" s="258">
        <v>0.84855400000000003</v>
      </c>
      <c r="AI33" s="258">
        <v>0.85902400000000001</v>
      </c>
      <c r="AJ33" s="258">
        <v>0.86278500000000002</v>
      </c>
      <c r="AK33" s="259">
        <v>1E-3</v>
      </c>
      <c r="AL33" s="51" t="s">
        <v>0</v>
      </c>
    </row>
    <row r="34" spans="1:38">
      <c r="A34" s="6" t="s">
        <v>164</v>
      </c>
      <c r="B34" s="313">
        <v>4.5710995793342597E-2</v>
      </c>
      <c r="C34" s="313">
        <v>2.1635998040437698E-2</v>
      </c>
      <c r="D34" s="313">
        <v>2.0475998520851101E-2</v>
      </c>
      <c r="E34" s="313">
        <v>-4.7199996188283001E-3</v>
      </c>
      <c r="F34" s="314">
        <v>-3.1897879671305402E-4</v>
      </c>
      <c r="G34" s="258">
        <v>-6.6753999999999994E-2</v>
      </c>
      <c r="H34" s="258">
        <v>-1.6397999999999999E-2</v>
      </c>
      <c r="I34" s="258">
        <v>-1.0766E-2</v>
      </c>
      <c r="J34" s="258">
        <v>-1.9942000000000001E-2</v>
      </c>
      <c r="K34" s="258">
        <v>4.5142000000000002E-2</v>
      </c>
      <c r="L34" s="258">
        <v>4.6915999999999999E-2</v>
      </c>
      <c r="M34" s="258">
        <v>4.8281999999999999E-2</v>
      </c>
      <c r="N34" s="258">
        <v>5.0996E-2</v>
      </c>
      <c r="O34" s="258">
        <v>5.3957999999999999E-2</v>
      </c>
      <c r="P34" s="258">
        <v>5.5452000000000001E-2</v>
      </c>
      <c r="Q34" s="258">
        <v>6.1186999999999998E-2</v>
      </c>
      <c r="R34" s="258">
        <v>6.6758999999999999E-2</v>
      </c>
      <c r="S34" s="258">
        <v>6.0532000000000002E-2</v>
      </c>
      <c r="T34" s="258">
        <v>6.1176000000000001E-2</v>
      </c>
      <c r="U34" s="258">
        <v>6.0847999999999999E-2</v>
      </c>
      <c r="V34" s="258">
        <v>6.0696E-2</v>
      </c>
      <c r="W34" s="258">
        <v>5.9957000000000003E-2</v>
      </c>
      <c r="X34" s="258">
        <v>5.9486999999999998E-2</v>
      </c>
      <c r="Y34" s="258">
        <v>5.8924999999999998E-2</v>
      </c>
      <c r="Z34" s="258">
        <v>5.8984000000000002E-2</v>
      </c>
      <c r="AA34" s="258">
        <v>5.8788E-2</v>
      </c>
      <c r="AB34" s="258">
        <v>5.806E-2</v>
      </c>
      <c r="AC34" s="258">
        <v>5.8056000000000003E-2</v>
      </c>
      <c r="AD34" s="258">
        <v>5.9012000000000002E-2</v>
      </c>
      <c r="AE34" s="258">
        <v>6.0673999999999999E-2</v>
      </c>
      <c r="AF34" s="258">
        <v>6.2348000000000001E-2</v>
      </c>
      <c r="AG34" s="258">
        <v>6.4079999999999998E-2</v>
      </c>
      <c r="AH34" s="258">
        <v>6.59E-2</v>
      </c>
      <c r="AI34" s="258">
        <v>6.9848999999999994E-2</v>
      </c>
      <c r="AJ34" s="258">
        <v>8.3220000000000002E-2</v>
      </c>
      <c r="AK34" s="258" t="s">
        <v>41</v>
      </c>
    </row>
    <row r="35" spans="1:38" s="18" customFormat="1">
      <c r="A35" s="17" t="s">
        <v>166</v>
      </c>
      <c r="B35" s="315">
        <v>1.6338998451829002E-2</v>
      </c>
      <c r="C35" s="315">
        <v>3.2029997557401699E-2</v>
      </c>
      <c r="D35" s="315">
        <v>5.1199223846197101E-2</v>
      </c>
      <c r="E35" s="315">
        <v>6.0358572751283597E-2</v>
      </c>
      <c r="F35" s="316">
        <v>6.3932694494724301E-2</v>
      </c>
      <c r="G35" s="258">
        <v>5.6239999999999998E-2</v>
      </c>
      <c r="H35" s="258">
        <v>5.9032000000000001E-2</v>
      </c>
      <c r="I35" s="258">
        <v>8.6099999999999996E-2</v>
      </c>
      <c r="J35" s="258">
        <v>9.0199000000000001E-2</v>
      </c>
      <c r="K35" s="258">
        <v>9.0070999999999998E-2</v>
      </c>
      <c r="L35" s="258">
        <v>8.6830000000000004E-2</v>
      </c>
      <c r="M35" s="258">
        <v>8.6858000000000005E-2</v>
      </c>
      <c r="N35" s="258">
        <v>8.5750999999999994E-2</v>
      </c>
      <c r="O35" s="258">
        <v>8.7317000000000006E-2</v>
      </c>
      <c r="P35" s="258">
        <v>8.8449E-2</v>
      </c>
      <c r="Q35" s="258">
        <v>8.8486999999999996E-2</v>
      </c>
      <c r="R35" s="258">
        <v>8.8999999999999996E-2</v>
      </c>
      <c r="S35" s="258">
        <v>8.8025000000000006E-2</v>
      </c>
      <c r="T35" s="258">
        <v>8.9304999999999995E-2</v>
      </c>
      <c r="U35" s="258">
        <v>8.7721999999999994E-2</v>
      </c>
      <c r="V35" s="258">
        <v>8.7541999999999995E-2</v>
      </c>
      <c r="W35" s="258">
        <v>8.7525000000000006E-2</v>
      </c>
      <c r="X35" s="258">
        <v>8.7489999999999998E-2</v>
      </c>
      <c r="Y35" s="258">
        <v>8.7501999999999996E-2</v>
      </c>
      <c r="Z35" s="258">
        <v>8.788E-2</v>
      </c>
      <c r="AA35" s="258">
        <v>8.9262999999999995E-2</v>
      </c>
      <c r="AB35" s="258">
        <v>8.9245000000000005E-2</v>
      </c>
      <c r="AC35" s="258">
        <v>8.9370000000000005E-2</v>
      </c>
      <c r="AD35" s="258">
        <v>8.9401999999999995E-2</v>
      </c>
      <c r="AE35" s="258">
        <v>8.9397000000000004E-2</v>
      </c>
      <c r="AF35" s="258">
        <v>8.9370000000000005E-2</v>
      </c>
      <c r="AG35" s="258">
        <v>8.9115E-2</v>
      </c>
      <c r="AH35" s="258">
        <v>8.9362999999999998E-2</v>
      </c>
      <c r="AI35" s="258">
        <v>8.9108000000000007E-2</v>
      </c>
      <c r="AJ35" s="258">
        <v>8.9448E-2</v>
      </c>
      <c r="AK35" s="258" t="s">
        <v>41</v>
      </c>
    </row>
    <row r="36" spans="1:38" s="18" customFormat="1">
      <c r="A36" s="17" t="s">
        <v>165</v>
      </c>
      <c r="B36" s="315">
        <v>1.6338998451829002E-2</v>
      </c>
      <c r="C36" s="315">
        <v>3.2029997557401699E-2</v>
      </c>
      <c r="D36" s="315">
        <v>5.1199223846197101E-2</v>
      </c>
      <c r="E36" s="315">
        <v>6.0358572751283597E-2</v>
      </c>
      <c r="F36" s="316">
        <v>6.3932694494724301E-2</v>
      </c>
      <c r="G36" s="258">
        <v>6.3100000000000003E-2</v>
      </c>
      <c r="H36" s="258">
        <v>6.3100000000000003E-2</v>
      </c>
      <c r="I36" s="258">
        <v>8.1100000000000005E-2</v>
      </c>
      <c r="J36" s="258">
        <v>8.7099999999999997E-2</v>
      </c>
      <c r="K36" s="258">
        <v>7.9580999999999999E-2</v>
      </c>
      <c r="L36" s="258">
        <v>7.6044E-2</v>
      </c>
      <c r="M36" s="258">
        <v>7.5939000000000006E-2</v>
      </c>
      <c r="N36" s="258">
        <v>7.4647000000000005E-2</v>
      </c>
      <c r="O36" s="258">
        <v>7.6071E-2</v>
      </c>
      <c r="P36" s="258">
        <v>7.6998999999999998E-2</v>
      </c>
      <c r="Q36" s="258">
        <v>7.6729000000000006E-2</v>
      </c>
      <c r="R36" s="258">
        <v>7.7030000000000001E-2</v>
      </c>
      <c r="S36" s="258">
        <v>7.5851000000000002E-2</v>
      </c>
      <c r="T36" s="258">
        <v>7.7146000000000006E-2</v>
      </c>
      <c r="U36" s="258">
        <v>7.5544E-2</v>
      </c>
      <c r="V36" s="258">
        <v>7.5385999999999995E-2</v>
      </c>
      <c r="W36" s="258">
        <v>7.5385999999999995E-2</v>
      </c>
      <c r="X36" s="258">
        <v>7.5385999999999995E-2</v>
      </c>
      <c r="Y36" s="258">
        <v>7.5385999999999995E-2</v>
      </c>
      <c r="Z36" s="258">
        <v>7.5749999999999998E-2</v>
      </c>
      <c r="AA36" s="258">
        <v>7.7146000000000006E-2</v>
      </c>
      <c r="AB36" s="258">
        <v>7.7146000000000006E-2</v>
      </c>
      <c r="AC36" s="258">
        <v>7.7260999999999996E-2</v>
      </c>
      <c r="AD36" s="258">
        <v>7.7260999999999996E-2</v>
      </c>
      <c r="AE36" s="258">
        <v>7.7260999999999996E-2</v>
      </c>
      <c r="AF36" s="258">
        <v>7.7260999999999996E-2</v>
      </c>
      <c r="AG36" s="258">
        <v>7.7010999999999996E-2</v>
      </c>
      <c r="AH36" s="258">
        <v>7.7260999999999996E-2</v>
      </c>
      <c r="AI36" s="258">
        <v>7.7010999999999996E-2</v>
      </c>
      <c r="AJ36" s="258">
        <v>7.7376E-2</v>
      </c>
      <c r="AK36" s="259">
        <v>7.0000000000000001E-3</v>
      </c>
    </row>
    <row r="37" spans="1:38">
      <c r="A37" s="6" t="s">
        <v>164</v>
      </c>
      <c r="B37" s="313">
        <v>0</v>
      </c>
      <c r="C37" s="313">
        <v>0</v>
      </c>
      <c r="D37" s="313">
        <v>0</v>
      </c>
      <c r="E37" s="313">
        <v>0</v>
      </c>
      <c r="F37" s="314">
        <v>0</v>
      </c>
      <c r="G37" s="258">
        <v>-3.4629999999999999E-3</v>
      </c>
      <c r="H37" s="258">
        <v>-4.0679999999999996E-3</v>
      </c>
      <c r="I37" s="258">
        <v>5.0000000000000001E-3</v>
      </c>
      <c r="J37" s="258">
        <v>3.0990000000000002E-3</v>
      </c>
      <c r="K37" s="258">
        <v>1.0489999999999999E-2</v>
      </c>
      <c r="L37" s="258">
        <v>1.0786E-2</v>
      </c>
      <c r="M37" s="258">
        <v>1.0919E-2</v>
      </c>
      <c r="N37" s="258">
        <v>1.1103999999999999E-2</v>
      </c>
      <c r="O37" s="258">
        <v>1.1247E-2</v>
      </c>
      <c r="P37" s="258">
        <v>1.145E-2</v>
      </c>
      <c r="Q37" s="258">
        <v>1.1757999999999999E-2</v>
      </c>
      <c r="R37" s="258">
        <v>1.197E-2</v>
      </c>
      <c r="S37" s="258">
        <v>1.2174000000000001E-2</v>
      </c>
      <c r="T37" s="258">
        <v>1.2159E-2</v>
      </c>
      <c r="U37" s="258">
        <v>1.2178E-2</v>
      </c>
      <c r="V37" s="258">
        <v>1.2154999999999999E-2</v>
      </c>
      <c r="W37" s="258">
        <v>1.2139E-2</v>
      </c>
      <c r="X37" s="258">
        <v>1.2104E-2</v>
      </c>
      <c r="Y37" s="258">
        <v>1.2116E-2</v>
      </c>
      <c r="Z37" s="258">
        <v>1.2130999999999999E-2</v>
      </c>
      <c r="AA37" s="258">
        <v>1.2118E-2</v>
      </c>
      <c r="AB37" s="258">
        <v>1.21E-2</v>
      </c>
      <c r="AC37" s="258">
        <v>1.2109999999999999E-2</v>
      </c>
      <c r="AD37" s="258">
        <v>1.2141000000000001E-2</v>
      </c>
      <c r="AE37" s="258">
        <v>1.2137E-2</v>
      </c>
      <c r="AF37" s="258">
        <v>1.2109E-2</v>
      </c>
      <c r="AG37" s="258">
        <v>1.2102999999999999E-2</v>
      </c>
      <c r="AH37" s="258">
        <v>1.2102E-2</v>
      </c>
      <c r="AI37" s="258">
        <v>1.2096000000000001E-2</v>
      </c>
      <c r="AJ37" s="258">
        <v>1.2071999999999999E-2</v>
      </c>
      <c r="AK37" s="258" t="s">
        <v>41</v>
      </c>
    </row>
    <row r="38" spans="1:38">
      <c r="A38" s="6" t="s">
        <v>163</v>
      </c>
      <c r="B38" s="313">
        <v>0</v>
      </c>
      <c r="C38" s="313">
        <v>0</v>
      </c>
      <c r="D38" s="313">
        <v>0</v>
      </c>
      <c r="E38" s="313">
        <v>0</v>
      </c>
      <c r="F38" s="314">
        <v>0</v>
      </c>
      <c r="G38" s="258">
        <v>2.2160000000000002</v>
      </c>
      <c r="H38" s="258">
        <v>2.4</v>
      </c>
      <c r="I38" s="258">
        <v>2.4900000000000002</v>
      </c>
      <c r="J38" s="258">
        <v>2.5089999999999999</v>
      </c>
      <c r="K38" s="258">
        <v>2.5561180000000001</v>
      </c>
      <c r="L38" s="258">
        <v>2.6337290000000002</v>
      </c>
      <c r="M38" s="258">
        <v>2.6633930000000001</v>
      </c>
      <c r="N38" s="258">
        <v>2.6705079999999999</v>
      </c>
      <c r="O38" s="258">
        <v>2.669905</v>
      </c>
      <c r="P38" s="258">
        <v>2.6458759999999999</v>
      </c>
      <c r="Q38" s="258">
        <v>2.60798</v>
      </c>
      <c r="R38" s="258">
        <v>2.7045080000000001</v>
      </c>
      <c r="S38" s="258">
        <v>2.7930269999999999</v>
      </c>
      <c r="T38" s="258">
        <v>2.8390249999999999</v>
      </c>
      <c r="U38" s="258">
        <v>2.8728980000000002</v>
      </c>
      <c r="V38" s="258">
        <v>2.9033150000000001</v>
      </c>
      <c r="W38" s="258">
        <v>2.9228930000000002</v>
      </c>
      <c r="X38" s="258">
        <v>2.9406509999999999</v>
      </c>
      <c r="Y38" s="258">
        <v>2.9505080000000001</v>
      </c>
      <c r="Z38" s="258">
        <v>2.978853</v>
      </c>
      <c r="AA38" s="258">
        <v>3.0103460000000002</v>
      </c>
      <c r="AB38" s="258">
        <v>3.0288490000000001</v>
      </c>
      <c r="AC38" s="258">
        <v>3.0383969999999998</v>
      </c>
      <c r="AD38" s="258">
        <v>3.0546120000000001</v>
      </c>
      <c r="AE38" s="258">
        <v>3.0492400000000002</v>
      </c>
      <c r="AF38" s="258">
        <v>3.0289980000000001</v>
      </c>
      <c r="AG38" s="258">
        <v>3.058621</v>
      </c>
      <c r="AH38" s="258">
        <v>3.037477</v>
      </c>
      <c r="AI38" s="258">
        <v>3.013617</v>
      </c>
      <c r="AJ38" s="258">
        <v>2.983552</v>
      </c>
      <c r="AK38" s="259">
        <v>8.0000000000000002E-3</v>
      </c>
    </row>
    <row r="39" spans="1:38">
      <c r="A39" s="6" t="s">
        <v>162</v>
      </c>
      <c r="B39" s="313">
        <v>0</v>
      </c>
      <c r="C39" s="313">
        <v>0</v>
      </c>
      <c r="D39" s="313">
        <v>0</v>
      </c>
      <c r="E39" s="313">
        <v>0</v>
      </c>
      <c r="F39" s="314">
        <v>0</v>
      </c>
      <c r="G39" s="258">
        <v>0</v>
      </c>
      <c r="H39" s="258">
        <v>0</v>
      </c>
      <c r="I39" s="258">
        <v>0</v>
      </c>
      <c r="J39" s="258">
        <v>0</v>
      </c>
      <c r="K39" s="258">
        <v>0</v>
      </c>
      <c r="L39" s="258">
        <v>0</v>
      </c>
      <c r="M39" s="258">
        <v>0</v>
      </c>
      <c r="N39" s="258">
        <v>0</v>
      </c>
      <c r="O39" s="258">
        <v>0</v>
      </c>
      <c r="P39" s="258">
        <v>0</v>
      </c>
      <c r="Q39" s="258">
        <v>0</v>
      </c>
      <c r="R39" s="258">
        <v>0</v>
      </c>
      <c r="S39" s="258">
        <v>0</v>
      </c>
      <c r="T39" s="258">
        <v>0</v>
      </c>
      <c r="U39" s="258">
        <v>0</v>
      </c>
      <c r="V39" s="258">
        <v>0</v>
      </c>
      <c r="W39" s="258">
        <v>0</v>
      </c>
      <c r="X39" s="258">
        <v>0</v>
      </c>
      <c r="Y39" s="258">
        <v>0</v>
      </c>
      <c r="Z39" s="258">
        <v>0</v>
      </c>
      <c r="AA39" s="258">
        <v>0</v>
      </c>
      <c r="AB39" s="258">
        <v>0</v>
      </c>
      <c r="AC39" s="258">
        <v>0</v>
      </c>
      <c r="AD39" s="258">
        <v>0</v>
      </c>
      <c r="AE39" s="258">
        <v>0</v>
      </c>
      <c r="AF39" s="258">
        <v>0</v>
      </c>
      <c r="AG39" s="258">
        <v>0</v>
      </c>
      <c r="AH39" s="258">
        <v>0</v>
      </c>
      <c r="AI39" s="258">
        <v>0</v>
      </c>
      <c r="AJ39" s="258">
        <v>0</v>
      </c>
      <c r="AK39" s="258" t="s">
        <v>41</v>
      </c>
    </row>
    <row r="40" spans="1:38" s="235" customFormat="1">
      <c r="A40" s="234" t="s">
        <v>161</v>
      </c>
      <c r="B40" s="315">
        <v>0</v>
      </c>
      <c r="C40" s="315">
        <v>0</v>
      </c>
      <c r="D40" s="315">
        <v>0</v>
      </c>
      <c r="E40" s="315">
        <v>0</v>
      </c>
      <c r="F40" s="316">
        <v>0</v>
      </c>
      <c r="G40" s="266">
        <v>0</v>
      </c>
      <c r="H40" s="266">
        <v>3.4809526987373799E-3</v>
      </c>
      <c r="I40" s="266">
        <v>5.2319555543363103E-3</v>
      </c>
      <c r="J40" s="266">
        <v>7.8436248004436493E-3</v>
      </c>
      <c r="K40" s="266">
        <v>1.17142805829644E-2</v>
      </c>
      <c r="L40" s="266">
        <v>1.7396988347172699E-2</v>
      </c>
      <c r="M40" s="266">
        <v>2.5625614449381801E-2</v>
      </c>
      <c r="N40" s="266">
        <v>3.7305567413568497E-2</v>
      </c>
      <c r="O40" s="266">
        <v>5.34236840903759E-2</v>
      </c>
      <c r="P40" s="266">
        <v>7.4822284281253801E-2</v>
      </c>
      <c r="Q40" s="266">
        <v>0.10181753337383299</v>
      </c>
      <c r="R40" s="266">
        <v>0.133762747049332</v>
      </c>
      <c r="S40" s="266">
        <v>0.16882437467575101</v>
      </c>
      <c r="T40" s="266">
        <v>0.204265296459198</v>
      </c>
      <c r="U40" s="266">
        <v>0.237230360507965</v>
      </c>
      <c r="V40" s="266">
        <v>0.26560345292091397</v>
      </c>
      <c r="W40" s="266">
        <v>0.28843852877616899</v>
      </c>
      <c r="X40" s="266">
        <v>0.30584391951561002</v>
      </c>
      <c r="Y40" s="266">
        <v>0.31856861710548401</v>
      </c>
      <c r="Z40" s="266">
        <v>0.32759037613868702</v>
      </c>
      <c r="AA40" s="266"/>
      <c r="AB40" s="266"/>
      <c r="AC40" s="266"/>
      <c r="AD40" s="266"/>
      <c r="AE40" s="266"/>
      <c r="AF40" s="266"/>
      <c r="AG40" s="266"/>
      <c r="AH40" s="266"/>
      <c r="AI40" s="266"/>
      <c r="AJ40" s="266"/>
      <c r="AK40" s="267" t="s">
        <v>41</v>
      </c>
    </row>
    <row r="41" spans="1:38">
      <c r="A41" s="6" t="s">
        <v>689</v>
      </c>
      <c r="B41" s="313">
        <v>7.3012053966522203E-2</v>
      </c>
      <c r="C41" s="313">
        <v>0.28600034117698703</v>
      </c>
      <c r="D41" s="313">
        <v>0.24600045382976499</v>
      </c>
      <c r="E41" s="313">
        <v>0.16400466859340701</v>
      </c>
      <c r="F41" s="314">
        <v>0.31155380606651301</v>
      </c>
      <c r="G41" s="258">
        <v>0.182</v>
      </c>
      <c r="H41" s="258">
        <v>0.191</v>
      </c>
      <c r="I41" s="258">
        <v>0.193</v>
      </c>
      <c r="J41" s="258">
        <v>0.193</v>
      </c>
      <c r="K41" s="258">
        <v>0.28578500000000001</v>
      </c>
      <c r="L41" s="258">
        <v>0.28816599999999998</v>
      </c>
      <c r="M41" s="258">
        <v>0.290412</v>
      </c>
      <c r="N41" s="258">
        <v>0.29299799999999998</v>
      </c>
      <c r="O41" s="258">
        <v>0.293852</v>
      </c>
      <c r="P41" s="258">
        <v>0.29503000000000001</v>
      </c>
      <c r="Q41" s="258">
        <v>0.298292</v>
      </c>
      <c r="R41" s="258">
        <v>0.29944399999999999</v>
      </c>
      <c r="S41" s="258">
        <v>0.29972700000000002</v>
      </c>
      <c r="T41" s="258">
        <v>0.301095</v>
      </c>
      <c r="U41" s="258">
        <v>0.30102299999999999</v>
      </c>
      <c r="V41" s="258">
        <v>0.30064000000000002</v>
      </c>
      <c r="W41" s="258">
        <v>0.30251600000000001</v>
      </c>
      <c r="X41" s="258">
        <v>0.30219699999999999</v>
      </c>
      <c r="Y41" s="258">
        <v>0.30013899999999999</v>
      </c>
      <c r="Z41" s="258">
        <v>0.30297200000000002</v>
      </c>
      <c r="AA41" s="258">
        <v>0.30451</v>
      </c>
      <c r="AB41" s="258">
        <v>0.306419</v>
      </c>
      <c r="AC41" s="258">
        <v>0.30664000000000002</v>
      </c>
      <c r="AD41" s="258">
        <v>0.30698399999999998</v>
      </c>
      <c r="AE41" s="258">
        <v>0.308342</v>
      </c>
      <c r="AF41" s="258">
        <v>0.30915900000000002</v>
      </c>
      <c r="AG41" s="258">
        <v>0.30972699999999997</v>
      </c>
      <c r="AH41" s="258">
        <v>0.31073899999999999</v>
      </c>
      <c r="AI41" s="258">
        <v>0.31163999999999997</v>
      </c>
      <c r="AJ41" s="258">
        <v>0.31290899999999999</v>
      </c>
      <c r="AK41" s="259">
        <v>1.7999999999999999E-2</v>
      </c>
    </row>
    <row r="42" spans="1:38">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row>
    <row r="43" spans="1:38" s="18" customFormat="1">
      <c r="A43" s="17" t="s">
        <v>690</v>
      </c>
      <c r="B43" s="315">
        <v>20.697353363037099</v>
      </c>
      <c r="C43" s="315">
        <v>20.768030166626001</v>
      </c>
      <c r="D43" s="315">
        <v>19.647199630737301</v>
      </c>
      <c r="E43" s="315">
        <v>19.421310424804702</v>
      </c>
      <c r="F43" s="316">
        <v>19.587932586669901</v>
      </c>
      <c r="G43" s="213">
        <v>18.938583000000001</v>
      </c>
      <c r="H43" s="213">
        <v>18.592289000000001</v>
      </c>
      <c r="I43" s="213">
        <v>18.985319</v>
      </c>
      <c r="J43" s="213">
        <v>18.815241</v>
      </c>
      <c r="K43" s="213">
        <v>19.157446</v>
      </c>
      <c r="L43" s="213">
        <v>19.35895</v>
      </c>
      <c r="M43" s="213">
        <v>19.477530000000002</v>
      </c>
      <c r="N43" s="213">
        <v>19.527609000000002</v>
      </c>
      <c r="O43" s="213">
        <v>19.535461000000002</v>
      </c>
      <c r="P43" s="213">
        <v>19.520367</v>
      </c>
      <c r="Q43" s="213">
        <v>19.477088999999999</v>
      </c>
      <c r="R43" s="213">
        <v>19.437809000000001</v>
      </c>
      <c r="S43" s="213">
        <v>19.388767000000001</v>
      </c>
      <c r="T43" s="213">
        <v>19.330017000000002</v>
      </c>
      <c r="U43" s="213">
        <v>19.262318</v>
      </c>
      <c r="V43" s="213">
        <v>19.178843000000001</v>
      </c>
      <c r="W43" s="213">
        <v>19.119274000000001</v>
      </c>
      <c r="X43" s="213">
        <v>19.059887</v>
      </c>
      <c r="Y43" s="213">
        <v>18.980637000000002</v>
      </c>
      <c r="Z43" s="213">
        <v>18.926172000000001</v>
      </c>
      <c r="AA43" s="213">
        <v>18.880776999999998</v>
      </c>
      <c r="AB43" s="213">
        <v>18.838093000000001</v>
      </c>
      <c r="AC43" s="213">
        <v>18.795445999999998</v>
      </c>
      <c r="AD43" s="213">
        <v>18.768318000000001</v>
      </c>
      <c r="AE43" s="213">
        <v>18.751888000000001</v>
      </c>
      <c r="AF43" s="213">
        <v>18.731911</v>
      </c>
      <c r="AG43" s="213">
        <v>18.743359000000002</v>
      </c>
      <c r="AH43" s="213">
        <v>18.755479999999999</v>
      </c>
      <c r="AI43" s="213">
        <v>18.748524</v>
      </c>
      <c r="AJ43" s="213">
        <v>18.724962000000001</v>
      </c>
      <c r="AK43" s="214">
        <v>0</v>
      </c>
    </row>
    <row r="44" spans="1:38" s="224" customFormat="1">
      <c r="A44" s="223" t="s">
        <v>196</v>
      </c>
      <c r="B44" s="317">
        <f t="shared" ref="B44:H44" si="0">B43*365</f>
        <v>7554.5339775085413</v>
      </c>
      <c r="C44" s="317">
        <f t="shared" si="0"/>
        <v>7580.3310108184905</v>
      </c>
      <c r="D44" s="317">
        <f t="shared" si="0"/>
        <v>7171.2278652191153</v>
      </c>
      <c r="E44" s="317">
        <f t="shared" si="0"/>
        <v>7088.7783050537164</v>
      </c>
      <c r="F44" s="318">
        <f t="shared" si="0"/>
        <v>7149.5953941345133</v>
      </c>
      <c r="G44" s="268">
        <f t="shared" si="0"/>
        <v>6912.5827950000003</v>
      </c>
      <c r="H44" s="268">
        <f t="shared" si="0"/>
        <v>6786.185485</v>
      </c>
      <c r="I44" s="268">
        <f t="shared" ref="I44:AJ44" si="1">I43*365</f>
        <v>6929.6414350000005</v>
      </c>
      <c r="J44" s="268">
        <f t="shared" si="1"/>
        <v>6867.5629650000001</v>
      </c>
      <c r="K44" s="268">
        <f t="shared" si="1"/>
        <v>6992.4677899999997</v>
      </c>
      <c r="L44" s="268">
        <f t="shared" si="1"/>
        <v>7066.0167499999998</v>
      </c>
      <c r="M44" s="268">
        <f t="shared" si="1"/>
        <v>7109.2984500000002</v>
      </c>
      <c r="N44" s="268">
        <f t="shared" si="1"/>
        <v>7127.5772850000003</v>
      </c>
      <c r="O44" s="268">
        <f t="shared" si="1"/>
        <v>7130.4432650000008</v>
      </c>
      <c r="P44" s="268">
        <f t="shared" si="1"/>
        <v>7124.9339550000004</v>
      </c>
      <c r="Q44" s="268">
        <f t="shared" si="1"/>
        <v>7109.1374850000002</v>
      </c>
      <c r="R44" s="268">
        <f t="shared" si="1"/>
        <v>7094.8002850000003</v>
      </c>
      <c r="S44" s="268">
        <f t="shared" si="1"/>
        <v>7076.8999550000008</v>
      </c>
      <c r="T44" s="268">
        <f t="shared" si="1"/>
        <v>7055.4562050000004</v>
      </c>
      <c r="U44" s="268">
        <f t="shared" si="1"/>
        <v>7030.7460700000001</v>
      </c>
      <c r="V44" s="268">
        <f t="shared" si="1"/>
        <v>7000.2776949999998</v>
      </c>
      <c r="W44" s="268">
        <f t="shared" si="1"/>
        <v>6978.5350100000005</v>
      </c>
      <c r="X44" s="268">
        <f t="shared" si="1"/>
        <v>6956.8587550000002</v>
      </c>
      <c r="Y44" s="268">
        <f t="shared" si="1"/>
        <v>6927.9325050000007</v>
      </c>
      <c r="Z44" s="268">
        <f t="shared" si="1"/>
        <v>6908.05278</v>
      </c>
      <c r="AA44" s="268">
        <f t="shared" si="1"/>
        <v>6891.4836049999994</v>
      </c>
      <c r="AB44" s="268">
        <f t="shared" si="1"/>
        <v>6875.903945</v>
      </c>
      <c r="AC44" s="268">
        <f t="shared" si="1"/>
        <v>6860.3377899999996</v>
      </c>
      <c r="AD44" s="268">
        <f t="shared" si="1"/>
        <v>6850.4360700000007</v>
      </c>
      <c r="AE44" s="268">
        <f t="shared" si="1"/>
        <v>6844.43912</v>
      </c>
      <c r="AF44" s="268">
        <f t="shared" si="1"/>
        <v>6837.1475149999997</v>
      </c>
      <c r="AG44" s="268">
        <f t="shared" si="1"/>
        <v>6841.326035000001</v>
      </c>
      <c r="AH44" s="268">
        <f t="shared" si="1"/>
        <v>6845.7501999999995</v>
      </c>
      <c r="AI44" s="268">
        <f t="shared" si="1"/>
        <v>6843.21126</v>
      </c>
      <c r="AJ44" s="268">
        <f t="shared" si="1"/>
        <v>6834.6111300000002</v>
      </c>
      <c r="AK44" s="269"/>
    </row>
    <row r="45" spans="1:38" s="228" customFormat="1">
      <c r="A45" s="227" t="s">
        <v>187</v>
      </c>
      <c r="B45" s="319">
        <f>SUM(B33,B36,B40)</f>
        <v>0.28962799347937102</v>
      </c>
      <c r="C45" s="319">
        <f t="shared" ref="C45:AJ45" si="2">SUM(C33,C36,C40)</f>
        <v>0.43539400026202169</v>
      </c>
      <c r="D45" s="319">
        <f t="shared" si="2"/>
        <v>0.63372322544455517</v>
      </c>
      <c r="E45" s="319">
        <f t="shared" si="2"/>
        <v>0.75007860735058762</v>
      </c>
      <c r="F45" s="320">
        <f t="shared" si="2"/>
        <v>0.9057262316346173</v>
      </c>
      <c r="G45" s="270">
        <f t="shared" si="2"/>
        <v>0.94907600000000003</v>
      </c>
      <c r="H45" s="270">
        <f t="shared" si="2"/>
        <v>0.91023695269873739</v>
      </c>
      <c r="I45" s="270">
        <f t="shared" si="2"/>
        <v>0.92228495555433621</v>
      </c>
      <c r="J45" s="270">
        <f t="shared" si="2"/>
        <v>0.96492762480044358</v>
      </c>
      <c r="K45" s="270">
        <f t="shared" si="2"/>
        <v>0.91143528058296441</v>
      </c>
      <c r="L45" s="270">
        <f t="shared" si="2"/>
        <v>0.91577698834717269</v>
      </c>
      <c r="M45" s="270">
        <f t="shared" si="2"/>
        <v>0.93473461444938177</v>
      </c>
      <c r="N45" s="270">
        <f t="shared" si="2"/>
        <v>0.94681856741356851</v>
      </c>
      <c r="O45" s="270">
        <f t="shared" si="2"/>
        <v>0.96443668409037586</v>
      </c>
      <c r="P45" s="270">
        <f t="shared" si="2"/>
        <v>0.99222728428125384</v>
      </c>
      <c r="Q45" s="270">
        <f t="shared" si="2"/>
        <v>1.0172315333738331</v>
      </c>
      <c r="R45" s="270">
        <f t="shared" si="2"/>
        <v>1.0595427470493322</v>
      </c>
      <c r="S45" s="270">
        <f t="shared" si="2"/>
        <v>1.0990673746757511</v>
      </c>
      <c r="T45" s="270">
        <f t="shared" si="2"/>
        <v>1.1357882964591981</v>
      </c>
      <c r="U45" s="270">
        <f t="shared" si="2"/>
        <v>1.1671623605079651</v>
      </c>
      <c r="V45" s="270">
        <f t="shared" si="2"/>
        <v>1.1953814529209139</v>
      </c>
      <c r="W45" s="270">
        <f t="shared" si="2"/>
        <v>1.2190545287761689</v>
      </c>
      <c r="X45" s="270">
        <f t="shared" si="2"/>
        <v>1.2370769195156099</v>
      </c>
      <c r="Y45" s="270">
        <f t="shared" si="2"/>
        <v>1.2497896171054839</v>
      </c>
      <c r="Z45" s="270">
        <f t="shared" si="2"/>
        <v>1.2591873761386871</v>
      </c>
      <c r="AA45" s="270">
        <f t="shared" si="2"/>
        <v>0.93299300000000007</v>
      </c>
      <c r="AB45" s="270">
        <f t="shared" si="2"/>
        <v>0.93298100000000006</v>
      </c>
      <c r="AC45" s="270">
        <f t="shared" si="2"/>
        <v>0.93309600000000004</v>
      </c>
      <c r="AD45" s="270">
        <f t="shared" si="2"/>
        <v>0.93309600000000004</v>
      </c>
      <c r="AE45" s="270">
        <f t="shared" si="2"/>
        <v>0.93084500000000003</v>
      </c>
      <c r="AF45" s="270">
        <f t="shared" si="2"/>
        <v>0.92709399999999997</v>
      </c>
      <c r="AG45" s="270">
        <f t="shared" si="2"/>
        <v>0.92458599999999991</v>
      </c>
      <c r="AH45" s="270">
        <f t="shared" si="2"/>
        <v>0.92581500000000005</v>
      </c>
      <c r="AI45" s="270">
        <f t="shared" si="2"/>
        <v>0.93603499999999995</v>
      </c>
      <c r="AJ45" s="270">
        <f t="shared" si="2"/>
        <v>0.94016100000000002</v>
      </c>
      <c r="AK45" s="271"/>
    </row>
    <row r="46" spans="1:38" s="224" customFormat="1">
      <c r="A46" s="229" t="s">
        <v>193</v>
      </c>
      <c r="B46" s="315">
        <f>B45*365</f>
        <v>105.71421761997043</v>
      </c>
      <c r="C46" s="315">
        <f t="shared" ref="C46:AJ46" si="3">C45*365</f>
        <v>158.91881009563792</v>
      </c>
      <c r="D46" s="315">
        <f t="shared" si="3"/>
        <v>231.30897728726265</v>
      </c>
      <c r="E46" s="315">
        <f t="shared" si="3"/>
        <v>273.77869168296451</v>
      </c>
      <c r="F46" s="316">
        <f t="shared" si="3"/>
        <v>330.59007454663532</v>
      </c>
      <c r="G46" s="272">
        <f t="shared" si="3"/>
        <v>346.41273999999999</v>
      </c>
      <c r="H46" s="272">
        <f t="shared" si="3"/>
        <v>332.23648773503913</v>
      </c>
      <c r="I46" s="272">
        <f t="shared" si="3"/>
        <v>336.63400877733272</v>
      </c>
      <c r="J46" s="272">
        <f t="shared" si="3"/>
        <v>352.19858305216189</v>
      </c>
      <c r="K46" s="272">
        <f t="shared" si="3"/>
        <v>332.67387741278202</v>
      </c>
      <c r="L46" s="272">
        <f t="shared" si="3"/>
        <v>334.25860074671806</v>
      </c>
      <c r="M46" s="272">
        <f t="shared" si="3"/>
        <v>341.17813427402433</v>
      </c>
      <c r="N46" s="272">
        <f t="shared" si="3"/>
        <v>345.58877710595249</v>
      </c>
      <c r="O46" s="272">
        <f t="shared" si="3"/>
        <v>352.0193896929872</v>
      </c>
      <c r="P46" s="272">
        <f t="shared" si="3"/>
        <v>362.16295876265764</v>
      </c>
      <c r="Q46" s="272">
        <f t="shared" si="3"/>
        <v>371.28950968144909</v>
      </c>
      <c r="R46" s="272">
        <f t="shared" si="3"/>
        <v>386.73310267300621</v>
      </c>
      <c r="S46" s="272">
        <f t="shared" si="3"/>
        <v>401.15959175664915</v>
      </c>
      <c r="T46" s="272">
        <f t="shared" si="3"/>
        <v>414.56272820760728</v>
      </c>
      <c r="U46" s="272">
        <f t="shared" si="3"/>
        <v>426.01426158540727</v>
      </c>
      <c r="V46" s="272">
        <f t="shared" si="3"/>
        <v>436.3142303161336</v>
      </c>
      <c r="W46" s="272">
        <f t="shared" si="3"/>
        <v>444.95490300330164</v>
      </c>
      <c r="X46" s="272">
        <f t="shared" si="3"/>
        <v>451.53307562319765</v>
      </c>
      <c r="Y46" s="272">
        <f t="shared" si="3"/>
        <v>456.17321024350161</v>
      </c>
      <c r="Z46" s="272">
        <f t="shared" si="3"/>
        <v>459.60339229062083</v>
      </c>
      <c r="AA46" s="272">
        <f t="shared" si="3"/>
        <v>340.54244500000004</v>
      </c>
      <c r="AB46" s="272">
        <f t="shared" si="3"/>
        <v>340.53806500000002</v>
      </c>
      <c r="AC46" s="272">
        <f t="shared" si="3"/>
        <v>340.58004</v>
      </c>
      <c r="AD46" s="272">
        <f t="shared" si="3"/>
        <v>340.58004</v>
      </c>
      <c r="AE46" s="272">
        <f t="shared" si="3"/>
        <v>339.75842499999999</v>
      </c>
      <c r="AF46" s="272">
        <f t="shared" si="3"/>
        <v>338.38930999999997</v>
      </c>
      <c r="AG46" s="272">
        <f t="shared" si="3"/>
        <v>337.47388999999998</v>
      </c>
      <c r="AH46" s="272">
        <f t="shared" si="3"/>
        <v>337.92247500000002</v>
      </c>
      <c r="AI46" s="272">
        <f t="shared" si="3"/>
        <v>341.65277499999996</v>
      </c>
      <c r="AJ46" s="272">
        <f t="shared" si="3"/>
        <v>343.15876500000002</v>
      </c>
      <c r="AK46" s="269"/>
    </row>
    <row r="47" spans="1:38" s="224" customFormat="1">
      <c r="A47" s="229" t="s">
        <v>192</v>
      </c>
      <c r="B47" s="315"/>
      <c r="C47" s="321">
        <f>C46/B46-1</f>
        <v>0.50328700976562524</v>
      </c>
      <c r="D47" s="321">
        <f t="shared" ref="D47:Z47" si="4">D46/C46-1</f>
        <v>0.45551667010381003</v>
      </c>
      <c r="E47" s="321">
        <f t="shared" si="4"/>
        <v>0.1836059927019551</v>
      </c>
      <c r="F47" s="322">
        <f t="shared" si="4"/>
        <v>0.20750841679621423</v>
      </c>
      <c r="G47" s="273"/>
      <c r="H47" s="273">
        <f t="shared" si="4"/>
        <v>-4.0923010698050155E-2</v>
      </c>
      <c r="I47" s="273">
        <f t="shared" si="4"/>
        <v>1.32361170570785E-2</v>
      </c>
      <c r="J47" s="273">
        <f t="shared" si="4"/>
        <v>4.6235893786727766E-2</v>
      </c>
      <c r="K47" s="273">
        <f t="shared" si="4"/>
        <v>-5.5436638813757488E-2</v>
      </c>
      <c r="L47" s="273">
        <f t="shared" si="4"/>
        <v>4.7635941428900708E-3</v>
      </c>
      <c r="M47" s="273">
        <f t="shared" si="4"/>
        <v>2.0701138315807999E-2</v>
      </c>
      <c r="N47" s="273">
        <f t="shared" si="4"/>
        <v>1.2927683191988004E-2</v>
      </c>
      <c r="O47" s="273">
        <f t="shared" si="4"/>
        <v>1.8607700866001275E-2</v>
      </c>
      <c r="P47" s="273">
        <f t="shared" si="4"/>
        <v>2.8815370308201249E-2</v>
      </c>
      <c r="Q47" s="273">
        <f t="shared" si="4"/>
        <v>2.5200122480699472E-2</v>
      </c>
      <c r="R47" s="273">
        <f t="shared" si="4"/>
        <v>4.1594477055942436E-2</v>
      </c>
      <c r="S47" s="273">
        <f t="shared" si="4"/>
        <v>3.730347618016272E-2</v>
      </c>
      <c r="T47" s="273">
        <f t="shared" si="4"/>
        <v>3.3410983375137038E-2</v>
      </c>
      <c r="U47" s="273">
        <f t="shared" si="4"/>
        <v>2.762316194538661E-2</v>
      </c>
      <c r="V47" s="273">
        <f t="shared" si="4"/>
        <v>2.4177520941188968E-2</v>
      </c>
      <c r="W47" s="273">
        <f t="shared" si="4"/>
        <v>1.9803783802575969E-2</v>
      </c>
      <c r="X47" s="273">
        <f t="shared" si="4"/>
        <v>1.4783908606232909E-2</v>
      </c>
      <c r="Y47" s="273">
        <f t="shared" si="4"/>
        <v>1.0276400270123665E-2</v>
      </c>
      <c r="Z47" s="273">
        <f t="shared" si="4"/>
        <v>7.5194728013252554E-3</v>
      </c>
      <c r="AA47" s="273">
        <f t="shared" ref="AA47:AJ47" si="5">AA46/Z46-1</f>
        <v>-0.25905149806930716</v>
      </c>
      <c r="AB47" s="273">
        <f t="shared" si="5"/>
        <v>-1.2861832832666842E-5</v>
      </c>
      <c r="AC47" s="273">
        <f t="shared" si="5"/>
        <v>1.2326081667257682E-4</v>
      </c>
      <c r="AD47" s="273">
        <f t="shared" si="5"/>
        <v>0</v>
      </c>
      <c r="AE47" s="273">
        <f t="shared" si="5"/>
        <v>-2.412399152927458E-3</v>
      </c>
      <c r="AF47" s="273">
        <f t="shared" si="5"/>
        <v>-4.0296719647202606E-3</v>
      </c>
      <c r="AG47" s="273">
        <f t="shared" si="5"/>
        <v>-2.7052273016543449E-3</v>
      </c>
      <c r="AH47" s="273">
        <f t="shared" si="5"/>
        <v>1.3292435749623355E-3</v>
      </c>
      <c r="AI47" s="273">
        <f t="shared" si="5"/>
        <v>1.1038922462910827E-2</v>
      </c>
      <c r="AJ47" s="273">
        <f t="shared" si="5"/>
        <v>4.4079548307489613E-3</v>
      </c>
      <c r="AK47" s="269"/>
    </row>
    <row r="48" spans="1:38" s="230" customFormat="1">
      <c r="A48" s="227" t="s">
        <v>195</v>
      </c>
      <c r="B48" s="323">
        <f>SUM(B33,B36,B40)/B43</f>
        <v>1.3993479668594277E-2</v>
      </c>
      <c r="C48" s="323">
        <f t="shared" ref="C48:AJ48" si="6">SUM(C33,C36,C40)/C43</f>
        <v>2.0964626725248844E-2</v>
      </c>
      <c r="D48" s="323">
        <f t="shared" si="6"/>
        <v>3.2255142582921545E-2</v>
      </c>
      <c r="E48" s="323">
        <f t="shared" si="6"/>
        <v>3.8621421054708789E-2</v>
      </c>
      <c r="F48" s="324">
        <f t="shared" si="6"/>
        <v>4.6238990645239793E-2</v>
      </c>
      <c r="G48" s="274">
        <f t="shared" si="6"/>
        <v>5.0113358533740354E-2</v>
      </c>
      <c r="H48" s="274">
        <f t="shared" si="6"/>
        <v>4.8957766991398283E-2</v>
      </c>
      <c r="I48" s="274">
        <f t="shared" si="6"/>
        <v>4.8578849560248959E-2</v>
      </c>
      <c r="J48" s="274">
        <f t="shared" si="6"/>
        <v>5.1284361693822764E-2</v>
      </c>
      <c r="K48" s="274">
        <f t="shared" si="6"/>
        <v>4.7576032869045506E-2</v>
      </c>
      <c r="L48" s="274">
        <f t="shared" si="6"/>
        <v>4.7305096007127075E-2</v>
      </c>
      <c r="M48" s="274">
        <f t="shared" si="6"/>
        <v>4.7990408149769591E-2</v>
      </c>
      <c r="N48" s="274">
        <f t="shared" si="6"/>
        <v>4.8486149400757073E-2</v>
      </c>
      <c r="O48" s="274">
        <f t="shared" si="6"/>
        <v>4.9368514215783074E-2</v>
      </c>
      <c r="P48" s="274">
        <f t="shared" si="6"/>
        <v>5.0830360119830421E-2</v>
      </c>
      <c r="Q48" s="274">
        <f t="shared" si="6"/>
        <v>5.2227082464624625E-2</v>
      </c>
      <c r="R48" s="275">
        <f t="shared" si="6"/>
        <v>5.4509371249060634E-2</v>
      </c>
      <c r="S48" s="274">
        <f t="shared" si="6"/>
        <v>5.6685779692733994E-2</v>
      </c>
      <c r="T48" s="274">
        <f t="shared" si="6"/>
        <v>5.8757749486676503E-2</v>
      </c>
      <c r="U48" s="274">
        <f t="shared" si="6"/>
        <v>6.059303768673973E-2</v>
      </c>
      <c r="V48" s="274">
        <f t="shared" si="6"/>
        <v>6.2328131729370427E-2</v>
      </c>
      <c r="W48" s="274">
        <f t="shared" si="6"/>
        <v>6.3760503080617439E-2</v>
      </c>
      <c r="X48" s="274">
        <f t="shared" si="6"/>
        <v>6.4904735244002754E-2</v>
      </c>
      <c r="Y48" s="274">
        <f t="shared" si="6"/>
        <v>6.5845504400378327E-2</v>
      </c>
      <c r="Z48" s="275">
        <f t="shared" si="6"/>
        <v>6.6531540352623181E-2</v>
      </c>
      <c r="AA48" s="275">
        <f t="shared" si="6"/>
        <v>4.9414968462367842E-2</v>
      </c>
      <c r="AB48" s="275">
        <f t="shared" si="6"/>
        <v>4.9526297592861444E-2</v>
      </c>
      <c r="AC48" s="275">
        <f t="shared" si="6"/>
        <v>4.9644791616011673E-2</v>
      </c>
      <c r="AD48" s="275">
        <f t="shared" si="6"/>
        <v>4.9716548920366761E-2</v>
      </c>
      <c r="AE48" s="275">
        <f t="shared" si="6"/>
        <v>4.9640068242728409E-2</v>
      </c>
      <c r="AF48" s="275">
        <f t="shared" si="6"/>
        <v>4.9492761309831122E-2</v>
      </c>
      <c r="AG48" s="275">
        <f t="shared" si="6"/>
        <v>4.932872490998011E-2</v>
      </c>
      <c r="AH48" s="275">
        <f t="shared" si="6"/>
        <v>4.9362373023777592E-2</v>
      </c>
      <c r="AI48" s="275">
        <f t="shared" si="6"/>
        <v>4.9925796825392763E-2</v>
      </c>
      <c r="AJ48" s="275">
        <f t="shared" si="6"/>
        <v>5.0208967046234856E-2</v>
      </c>
      <c r="AK48" s="276"/>
    </row>
    <row r="49" spans="1:37" s="230" customFormat="1">
      <c r="A49" s="230" t="s">
        <v>186</v>
      </c>
      <c r="B49" s="325">
        <f>B33*365 * 42/1000</f>
        <v>4.1895202937722189</v>
      </c>
      <c r="C49" s="325">
        <f t="shared" ref="C49:AJ49" si="7">C33*365 * 42/1000</f>
        <v>6.1835701614618239</v>
      </c>
      <c r="D49" s="325">
        <f t="shared" si="7"/>
        <v>8.9300929445028281</v>
      </c>
      <c r="E49" s="325">
        <f t="shared" si="7"/>
        <v>10.57340813040733</v>
      </c>
      <c r="F49" s="326">
        <f t="shared" si="7"/>
        <v>12.90469492435456</v>
      </c>
      <c r="G49" s="277">
        <f t="shared" si="7"/>
        <v>13.58201208</v>
      </c>
      <c r="H49" s="277">
        <f t="shared" si="7"/>
        <v>12.933246479999999</v>
      </c>
      <c r="I49" s="277">
        <f t="shared" si="7"/>
        <v>12.815159489999999</v>
      </c>
      <c r="J49" s="277">
        <f t="shared" si="7"/>
        <v>13.33685472</v>
      </c>
      <c r="K49" s="277">
        <f t="shared" si="7"/>
        <v>12.572746199999999</v>
      </c>
      <c r="L49" s="277">
        <f t="shared" si="7"/>
        <v>12.606410879999997</v>
      </c>
      <c r="M49" s="277">
        <f t="shared" si="7"/>
        <v>12.7724961</v>
      </c>
      <c r="N49" s="277">
        <f t="shared" si="7"/>
        <v>12.79849578</v>
      </c>
      <c r="O49" s="277">
        <f t="shared" si="7"/>
        <v>12.799660859999999</v>
      </c>
      <c r="P49" s="277">
        <f t="shared" si="7"/>
        <v>12.883423980000002</v>
      </c>
      <c r="Q49" s="277">
        <f t="shared" si="7"/>
        <v>12.857041049999999</v>
      </c>
      <c r="R49" s="277">
        <f t="shared" si="7"/>
        <v>13.0113375</v>
      </c>
      <c r="S49" s="277">
        <f t="shared" si="7"/>
        <v>13.097829360000002</v>
      </c>
      <c r="T49" s="277">
        <f t="shared" si="7"/>
        <v>13.097599410000003</v>
      </c>
      <c r="U49" s="277">
        <f t="shared" si="7"/>
        <v>13.09776804</v>
      </c>
      <c r="V49" s="277">
        <f t="shared" si="7"/>
        <v>13.097829360000002</v>
      </c>
      <c r="W49" s="277">
        <f t="shared" si="7"/>
        <v>13.1106759</v>
      </c>
      <c r="X49" s="277">
        <f t="shared" si="7"/>
        <v>13.120134510000002</v>
      </c>
      <c r="Y49" s="277">
        <f t="shared" si="7"/>
        <v>13.11995055</v>
      </c>
      <c r="Z49" s="277">
        <f t="shared" si="7"/>
        <v>13.120134510000002</v>
      </c>
      <c r="AA49" s="277">
        <f t="shared" si="7"/>
        <v>13.120134510000002</v>
      </c>
      <c r="AB49" s="277">
        <f t="shared" si="7"/>
        <v>13.11995055</v>
      </c>
      <c r="AC49" s="277">
        <f t="shared" si="7"/>
        <v>13.11995055</v>
      </c>
      <c r="AD49" s="277">
        <f t="shared" si="7"/>
        <v>13.11995055</v>
      </c>
      <c r="AE49" s="277">
        <f t="shared" si="7"/>
        <v>13.08544272</v>
      </c>
      <c r="AF49" s="277">
        <f t="shared" si="7"/>
        <v>13.027939889999997</v>
      </c>
      <c r="AG49" s="277">
        <f t="shared" si="7"/>
        <v>12.993324749999999</v>
      </c>
      <c r="AH49" s="277">
        <f t="shared" si="7"/>
        <v>13.008332820000001</v>
      </c>
      <c r="AI49" s="277">
        <f t="shared" si="7"/>
        <v>13.168837920000001</v>
      </c>
      <c r="AJ49" s="277">
        <f t="shared" si="7"/>
        <v>13.226494050000001</v>
      </c>
      <c r="AK49" s="278"/>
    </row>
    <row r="50" spans="1:37">
      <c r="A50" s="6" t="s">
        <v>160</v>
      </c>
      <c r="R50" s="264" t="s">
        <v>0</v>
      </c>
    </row>
    <row r="51" spans="1:37">
      <c r="A51" s="6" t="s">
        <v>159</v>
      </c>
    </row>
    <row r="52" spans="1:37">
      <c r="A52" s="6" t="s">
        <v>692</v>
      </c>
      <c r="B52" s="313">
        <v>2.0520000457763699</v>
      </c>
      <c r="C52" s="313">
        <v>2.08500003814697</v>
      </c>
      <c r="D52" s="313">
        <v>2.02300000190735</v>
      </c>
      <c r="E52" s="313">
        <v>1.9900000095367401</v>
      </c>
      <c r="F52" s="314">
        <v>1.9984494447708101</v>
      </c>
      <c r="G52" s="258">
        <v>2.3039999999999998</v>
      </c>
      <c r="H52" s="258">
        <v>2.3239999999999998</v>
      </c>
      <c r="I52" s="258">
        <v>2.407</v>
      </c>
      <c r="J52" s="258">
        <v>2.4159999999999999</v>
      </c>
      <c r="K52" s="258">
        <v>2.4498690000000001</v>
      </c>
      <c r="L52" s="258">
        <v>2.5403880000000001</v>
      </c>
      <c r="M52" s="258">
        <v>2.599494</v>
      </c>
      <c r="N52" s="258">
        <v>2.6464240000000001</v>
      </c>
      <c r="O52" s="258">
        <v>2.693587</v>
      </c>
      <c r="P52" s="258">
        <v>2.7283230000000001</v>
      </c>
      <c r="Q52" s="258">
        <v>2.742324</v>
      </c>
      <c r="R52" s="258">
        <v>2.7799209999999999</v>
      </c>
      <c r="S52" s="258">
        <v>2.8150529999999998</v>
      </c>
      <c r="T52" s="258">
        <v>2.8347359999999999</v>
      </c>
      <c r="U52" s="258">
        <v>2.8433090000000001</v>
      </c>
      <c r="V52" s="258">
        <v>2.840814</v>
      </c>
      <c r="W52" s="258">
        <v>2.844868</v>
      </c>
      <c r="X52" s="258">
        <v>2.8578079999999999</v>
      </c>
      <c r="Y52" s="258">
        <v>2.8486820000000002</v>
      </c>
      <c r="Z52" s="258">
        <v>2.8402569999999998</v>
      </c>
      <c r="AA52" s="258">
        <v>2.8361179999999999</v>
      </c>
      <c r="AB52" s="258">
        <v>2.8308490000000002</v>
      </c>
      <c r="AC52" s="258">
        <v>2.8180170000000002</v>
      </c>
      <c r="AD52" s="258">
        <v>2.7924669999999998</v>
      </c>
      <c r="AE52" s="258">
        <v>2.7826710000000001</v>
      </c>
      <c r="AF52" s="258">
        <v>2.76675</v>
      </c>
      <c r="AG52" s="258">
        <v>2.7715809999999999</v>
      </c>
      <c r="AH52" s="258">
        <v>2.7629000000000001</v>
      </c>
      <c r="AI52" s="258">
        <v>2.7495129999999999</v>
      </c>
      <c r="AJ52" s="258">
        <v>2.7286790000000001</v>
      </c>
      <c r="AK52" s="259">
        <v>6.0000000000000001E-3</v>
      </c>
    </row>
    <row r="53" spans="1:37">
      <c r="A53" s="6" t="s">
        <v>691</v>
      </c>
      <c r="B53" s="313">
        <v>8.6600880604237296E-4</v>
      </c>
      <c r="C53" s="313">
        <v>1.0510511929169299E-3</v>
      </c>
      <c r="D53" s="313">
        <v>8.0768426414579196E-4</v>
      </c>
      <c r="E53" s="313">
        <v>4.3171385186724403E-4</v>
      </c>
      <c r="F53" s="314">
        <v>1.8219171324744801E-3</v>
      </c>
      <c r="G53" s="258">
        <v>1.882E-3</v>
      </c>
      <c r="H53" s="258">
        <v>9.8740000000000008E-3</v>
      </c>
      <c r="I53" s="258">
        <v>1.3136999999999999E-2</v>
      </c>
      <c r="J53" s="258">
        <v>1.4973999999999999E-2</v>
      </c>
      <c r="K53" s="258">
        <v>1.2047E-2</v>
      </c>
      <c r="L53" s="258">
        <v>2.5141E-2</v>
      </c>
      <c r="M53" s="258">
        <v>5.3563E-2</v>
      </c>
      <c r="N53" s="258">
        <v>8.0305000000000001E-2</v>
      </c>
      <c r="O53" s="258">
        <v>0.10901</v>
      </c>
      <c r="P53" s="258">
        <v>0.13106100000000001</v>
      </c>
      <c r="Q53" s="258">
        <v>0.162138</v>
      </c>
      <c r="R53" s="258">
        <v>0.20447299999999999</v>
      </c>
      <c r="S53" s="258">
        <v>0.22256600000000001</v>
      </c>
      <c r="T53" s="258">
        <v>0.242672</v>
      </c>
      <c r="U53" s="258">
        <v>0.26248500000000002</v>
      </c>
      <c r="V53" s="258">
        <v>0.279335</v>
      </c>
      <c r="W53" s="258">
        <v>0.29406700000000002</v>
      </c>
      <c r="X53" s="258">
        <v>0.30546400000000001</v>
      </c>
      <c r="Y53" s="258">
        <v>0.31323699999999999</v>
      </c>
      <c r="Z53" s="258">
        <v>0.31872699999999998</v>
      </c>
      <c r="AA53" s="258">
        <v>0.321052</v>
      </c>
      <c r="AB53" s="258">
        <v>0.31902700000000001</v>
      </c>
      <c r="AC53" s="258">
        <v>0.31467200000000001</v>
      </c>
      <c r="AD53" s="258">
        <v>0.30996699999999999</v>
      </c>
      <c r="AE53" s="258">
        <v>0.29748400000000003</v>
      </c>
      <c r="AF53" s="258">
        <v>0.28148600000000001</v>
      </c>
      <c r="AG53" s="258">
        <v>0.26450099999999999</v>
      </c>
      <c r="AH53" s="258">
        <v>0.245667</v>
      </c>
      <c r="AI53" s="258">
        <v>0.23741399999999999</v>
      </c>
      <c r="AJ53" s="258">
        <v>0.22813</v>
      </c>
      <c r="AK53" s="259">
        <v>0.11899999999999999</v>
      </c>
    </row>
    <row r="54" spans="1:37">
      <c r="A54" s="6" t="s">
        <v>693</v>
      </c>
      <c r="B54" s="313">
        <v>9.2527751922607404</v>
      </c>
      <c r="C54" s="313">
        <v>9.2857265472412092</v>
      </c>
      <c r="D54" s="313">
        <v>9.0097904205322301</v>
      </c>
      <c r="E54" s="313">
        <v>8.9638872146606392</v>
      </c>
      <c r="F54" s="314">
        <v>9.3608798980712908</v>
      </c>
      <c r="G54" s="258">
        <v>8.7543939999999996</v>
      </c>
      <c r="H54" s="258">
        <v>8.7103070000000002</v>
      </c>
      <c r="I54" s="258">
        <v>8.7047209999999993</v>
      </c>
      <c r="J54" s="258">
        <v>8.6720810000000004</v>
      </c>
      <c r="K54" s="258">
        <v>8.7711889999999997</v>
      </c>
      <c r="L54" s="258">
        <v>8.7249210000000001</v>
      </c>
      <c r="M54" s="258">
        <v>8.665521</v>
      </c>
      <c r="N54" s="258">
        <v>8.5782380000000007</v>
      </c>
      <c r="O54" s="258">
        <v>8.4654989999999994</v>
      </c>
      <c r="P54" s="258">
        <v>8.3493230000000001</v>
      </c>
      <c r="Q54" s="258">
        <v>8.2274130000000003</v>
      </c>
      <c r="R54" s="258">
        <v>8.1002519999999993</v>
      </c>
      <c r="S54" s="258">
        <v>7.9630890000000001</v>
      </c>
      <c r="T54" s="258">
        <v>7.8215009999999996</v>
      </c>
      <c r="U54" s="258">
        <v>7.6724129999999997</v>
      </c>
      <c r="V54" s="258">
        <v>7.5382249999999997</v>
      </c>
      <c r="W54" s="258">
        <v>7.4181600000000003</v>
      </c>
      <c r="X54" s="258">
        <v>7.3157300000000003</v>
      </c>
      <c r="Y54" s="258">
        <v>7.224996</v>
      </c>
      <c r="Z54" s="258">
        <v>7.1462729999999999</v>
      </c>
      <c r="AA54" s="258">
        <v>7.080946</v>
      </c>
      <c r="AB54" s="258">
        <v>7.0268600000000001</v>
      </c>
      <c r="AC54" s="258">
        <v>6.9825390000000001</v>
      </c>
      <c r="AD54" s="258">
        <v>6.943378</v>
      </c>
      <c r="AE54" s="258">
        <v>6.9093359999999997</v>
      </c>
      <c r="AF54" s="258">
        <v>6.8818789999999996</v>
      </c>
      <c r="AG54" s="258">
        <v>6.8622290000000001</v>
      </c>
      <c r="AH54" s="258">
        <v>6.8497510000000004</v>
      </c>
      <c r="AI54" s="258">
        <v>6.8444979999999997</v>
      </c>
      <c r="AJ54" s="258">
        <v>6.8408179999999996</v>
      </c>
      <c r="AK54" s="259">
        <v>-8.9999999999999993E-3</v>
      </c>
    </row>
    <row r="55" spans="1:37">
      <c r="A55" s="6" t="s">
        <v>694</v>
      </c>
      <c r="B55" s="313">
        <v>1.63300001621246</v>
      </c>
      <c r="C55" s="313">
        <v>1.6219999790191699</v>
      </c>
      <c r="D55" s="313">
        <v>1.5329999923706099</v>
      </c>
      <c r="E55" s="313">
        <v>1.47300004959106</v>
      </c>
      <c r="F55" s="314">
        <v>1.45558297634125</v>
      </c>
      <c r="G55" s="258">
        <v>1.425</v>
      </c>
      <c r="H55" s="258">
        <v>1.399</v>
      </c>
      <c r="I55" s="258">
        <v>1.4039999999999999</v>
      </c>
      <c r="J55" s="258">
        <v>1.4059999999999999</v>
      </c>
      <c r="K55" s="258">
        <v>1.459821</v>
      </c>
      <c r="L55" s="258">
        <v>1.466666</v>
      </c>
      <c r="M55" s="258">
        <v>1.4738910000000001</v>
      </c>
      <c r="N55" s="258">
        <v>1.4802960000000001</v>
      </c>
      <c r="O55" s="258">
        <v>1.4860789999999999</v>
      </c>
      <c r="P55" s="258">
        <v>1.491026</v>
      </c>
      <c r="Q55" s="258">
        <v>1.496483</v>
      </c>
      <c r="R55" s="258">
        <v>1.5023390000000001</v>
      </c>
      <c r="S55" s="258">
        <v>1.5080819999999999</v>
      </c>
      <c r="T55" s="258">
        <v>1.514818</v>
      </c>
      <c r="U55" s="258">
        <v>1.5222910000000001</v>
      </c>
      <c r="V55" s="258">
        <v>1.529134</v>
      </c>
      <c r="W55" s="258">
        <v>1.5350699999999999</v>
      </c>
      <c r="X55" s="258">
        <v>1.540705</v>
      </c>
      <c r="Y55" s="258">
        <v>1.5457909999999999</v>
      </c>
      <c r="Z55" s="258">
        <v>1.550583</v>
      </c>
      <c r="AA55" s="258">
        <v>1.555024</v>
      </c>
      <c r="AB55" s="258">
        <v>1.559142</v>
      </c>
      <c r="AC55" s="258">
        <v>1.562889</v>
      </c>
      <c r="AD55" s="258">
        <v>1.5661639999999999</v>
      </c>
      <c r="AE55" s="258">
        <v>1.5691090000000001</v>
      </c>
      <c r="AF55" s="258">
        <v>1.5733360000000001</v>
      </c>
      <c r="AG55" s="258">
        <v>1.577515</v>
      </c>
      <c r="AH55" s="258">
        <v>1.5816300000000001</v>
      </c>
      <c r="AI55" s="258">
        <v>1.585529</v>
      </c>
      <c r="AJ55" s="258">
        <v>1.5896079999999999</v>
      </c>
      <c r="AK55" s="259">
        <v>5.0000000000000001E-3</v>
      </c>
    </row>
    <row r="56" spans="1:37">
      <c r="A56" s="6" t="s">
        <v>695</v>
      </c>
      <c r="B56" s="313">
        <v>4.1690001487731898</v>
      </c>
      <c r="C56" s="313">
        <v>4.1960000991821298</v>
      </c>
      <c r="D56" s="313">
        <v>3.9430000782012899</v>
      </c>
      <c r="E56" s="313">
        <v>3.90199995040894</v>
      </c>
      <c r="F56" s="314">
        <v>4.0923304557800302</v>
      </c>
      <c r="G56" s="258">
        <v>3.899</v>
      </c>
      <c r="H56" s="258">
        <v>3.7429999999999999</v>
      </c>
      <c r="I56" s="258">
        <v>3.859</v>
      </c>
      <c r="J56" s="258">
        <v>3.9089999999999998</v>
      </c>
      <c r="K56" s="258">
        <v>4.0858679999999996</v>
      </c>
      <c r="L56" s="258">
        <v>4.177359</v>
      </c>
      <c r="M56" s="258">
        <v>4.228364</v>
      </c>
      <c r="N56" s="258">
        <v>4.2508220000000003</v>
      </c>
      <c r="O56" s="258">
        <v>4.2730649999999999</v>
      </c>
      <c r="P56" s="258">
        <v>4.295331</v>
      </c>
      <c r="Q56" s="258">
        <v>4.319947</v>
      </c>
      <c r="R56" s="258">
        <v>4.3484850000000002</v>
      </c>
      <c r="S56" s="258">
        <v>4.3784619999999999</v>
      </c>
      <c r="T56" s="258">
        <v>4.4044730000000003</v>
      </c>
      <c r="U56" s="258">
        <v>4.436998</v>
      </c>
      <c r="V56" s="258">
        <v>4.460839</v>
      </c>
      <c r="W56" s="258">
        <v>4.4796500000000004</v>
      </c>
      <c r="X56" s="258">
        <v>4.4870289999999997</v>
      </c>
      <c r="Y56" s="258">
        <v>4.4989540000000003</v>
      </c>
      <c r="Z56" s="258">
        <v>4.5163840000000004</v>
      </c>
      <c r="AA56" s="258">
        <v>4.5280180000000003</v>
      </c>
      <c r="AB56" s="258">
        <v>4.5344899999999999</v>
      </c>
      <c r="AC56" s="258">
        <v>4.5444589999999998</v>
      </c>
      <c r="AD56" s="258">
        <v>4.5662190000000002</v>
      </c>
      <c r="AE56" s="258">
        <v>4.5865479999999996</v>
      </c>
      <c r="AF56" s="258">
        <v>4.5978500000000002</v>
      </c>
      <c r="AG56" s="258">
        <v>4.6070399999999996</v>
      </c>
      <c r="AH56" s="258">
        <v>4.6156879999999996</v>
      </c>
      <c r="AI56" s="258">
        <v>4.6224400000000001</v>
      </c>
      <c r="AJ56" s="258">
        <v>4.6207630000000002</v>
      </c>
      <c r="AK56" s="259">
        <v>8.0000000000000002E-3</v>
      </c>
    </row>
    <row r="57" spans="1:37">
      <c r="A57" s="6" t="s">
        <v>158</v>
      </c>
      <c r="B57" s="313">
        <v>3.21000003814697</v>
      </c>
      <c r="C57" s="313">
        <v>3.4670000076293901</v>
      </c>
      <c r="D57" s="313">
        <v>3.46799993515015</v>
      </c>
      <c r="E57" s="313">
        <v>3.4189999103546098</v>
      </c>
      <c r="F57" s="314">
        <v>3.47832202911377</v>
      </c>
      <c r="G57" s="258">
        <v>3.5059999999999998</v>
      </c>
      <c r="H57" s="258">
        <v>3.448</v>
      </c>
      <c r="I57" s="258">
        <v>3.5550000000000002</v>
      </c>
      <c r="J57" s="258">
        <v>3.601</v>
      </c>
      <c r="K57" s="258">
        <v>3.6780590000000002</v>
      </c>
      <c r="L57" s="258">
        <v>3.788999</v>
      </c>
      <c r="M57" s="258">
        <v>3.841418</v>
      </c>
      <c r="N57" s="258">
        <v>3.888255</v>
      </c>
      <c r="O57" s="258">
        <v>3.9148960000000002</v>
      </c>
      <c r="P57" s="258">
        <v>3.942434</v>
      </c>
      <c r="Q57" s="258">
        <v>3.9721639999999998</v>
      </c>
      <c r="R57" s="258">
        <v>4.005528</v>
      </c>
      <c r="S57" s="258">
        <v>4.0400039999999997</v>
      </c>
      <c r="T57" s="258">
        <v>4.0698509999999999</v>
      </c>
      <c r="U57" s="258">
        <v>4.1063919999999996</v>
      </c>
      <c r="V57" s="258">
        <v>4.1354759999999997</v>
      </c>
      <c r="W57" s="258">
        <v>4.1591009999999997</v>
      </c>
      <c r="X57" s="258">
        <v>4.1709329999999998</v>
      </c>
      <c r="Y57" s="258">
        <v>4.1869290000000001</v>
      </c>
      <c r="Z57" s="258">
        <v>4.2079300000000002</v>
      </c>
      <c r="AA57" s="258">
        <v>4.2245819999999998</v>
      </c>
      <c r="AB57" s="258">
        <v>4.2349610000000002</v>
      </c>
      <c r="AC57" s="258">
        <v>4.2486269999999999</v>
      </c>
      <c r="AD57" s="258">
        <v>4.2736000000000001</v>
      </c>
      <c r="AE57" s="258">
        <v>4.2970110000000004</v>
      </c>
      <c r="AF57" s="258">
        <v>4.3111389999999998</v>
      </c>
      <c r="AG57" s="258">
        <v>4.3229870000000004</v>
      </c>
      <c r="AH57" s="258">
        <v>4.3342970000000003</v>
      </c>
      <c r="AI57" s="258">
        <v>4.3436260000000004</v>
      </c>
      <c r="AJ57" s="258">
        <v>4.344544</v>
      </c>
      <c r="AK57" s="259">
        <v>8.0000000000000002E-3</v>
      </c>
    </row>
    <row r="58" spans="1:37">
      <c r="A58" s="6" t="s">
        <v>157</v>
      </c>
      <c r="B58" s="313">
        <v>0.68900001049041704</v>
      </c>
      <c r="C58" s="313">
        <v>0.72299998998642001</v>
      </c>
      <c r="D58" s="313">
        <v>0.60799998044967696</v>
      </c>
      <c r="E58" s="313">
        <v>0.58099997043609597</v>
      </c>
      <c r="F58" s="314">
        <v>0.63298153877258301</v>
      </c>
      <c r="G58" s="258">
        <v>0.46100000000000002</v>
      </c>
      <c r="H58" s="258">
        <v>0.34499999999999997</v>
      </c>
      <c r="I58" s="258">
        <v>0.32200000000000001</v>
      </c>
      <c r="J58" s="258">
        <v>0.35</v>
      </c>
      <c r="K58" s="258">
        <v>0.38553500000000002</v>
      </c>
      <c r="L58" s="258">
        <v>0.39021600000000001</v>
      </c>
      <c r="M58" s="258">
        <v>0.38447300000000001</v>
      </c>
      <c r="N58" s="258">
        <v>0.390044</v>
      </c>
      <c r="O58" s="258">
        <v>0.38984200000000002</v>
      </c>
      <c r="P58" s="258">
        <v>0.38874799999999998</v>
      </c>
      <c r="Q58" s="258">
        <v>0.38986300000000002</v>
      </c>
      <c r="R58" s="258">
        <v>0.38962000000000002</v>
      </c>
      <c r="S58" s="258">
        <v>0.390509</v>
      </c>
      <c r="T58" s="258">
        <v>0.392071</v>
      </c>
      <c r="U58" s="258">
        <v>0.392706</v>
      </c>
      <c r="V58" s="258">
        <v>0.39272899999999999</v>
      </c>
      <c r="W58" s="258">
        <v>0.39312000000000002</v>
      </c>
      <c r="X58" s="258">
        <v>0.39413599999999999</v>
      </c>
      <c r="Y58" s="258">
        <v>0.39485900000000002</v>
      </c>
      <c r="Z58" s="258">
        <v>0.396202</v>
      </c>
      <c r="AA58" s="258">
        <v>0.39659499999999998</v>
      </c>
      <c r="AB58" s="258">
        <v>0.39696300000000001</v>
      </c>
      <c r="AC58" s="258">
        <v>0.398011</v>
      </c>
      <c r="AD58" s="258">
        <v>0.39871400000000001</v>
      </c>
      <c r="AE58" s="258">
        <v>0.39992499999999997</v>
      </c>
      <c r="AF58" s="258">
        <v>0.40121899999999999</v>
      </c>
      <c r="AG58" s="258">
        <v>0.40172999999999998</v>
      </c>
      <c r="AH58" s="258">
        <v>0.402443</v>
      </c>
      <c r="AI58" s="258">
        <v>0.40342099999999997</v>
      </c>
      <c r="AJ58" s="258">
        <v>0.40445900000000001</v>
      </c>
      <c r="AK58" s="259">
        <v>6.0000000000000001E-3</v>
      </c>
    </row>
    <row r="59" spans="1:37">
      <c r="A59" s="6" t="s">
        <v>696</v>
      </c>
      <c r="B59" s="313">
        <v>2.8580451011657702</v>
      </c>
      <c r="C59" s="313">
        <v>2.73703241348267</v>
      </c>
      <c r="D59" s="313">
        <v>2.4269983768463099</v>
      </c>
      <c r="E59" s="313">
        <v>2.3350048065185498</v>
      </c>
      <c r="F59" s="314">
        <v>2.2457344532012899</v>
      </c>
      <c r="G59" s="258">
        <v>2.0800260000000002</v>
      </c>
      <c r="H59" s="258">
        <v>1.965076</v>
      </c>
      <c r="I59" s="258">
        <v>1.942002</v>
      </c>
      <c r="J59" s="258">
        <v>1.9470000000000001</v>
      </c>
      <c r="K59" s="258">
        <v>2.0148790000000001</v>
      </c>
      <c r="L59" s="258">
        <v>2.0685479999999998</v>
      </c>
      <c r="M59" s="258">
        <v>2.1349170000000002</v>
      </c>
      <c r="N59" s="258">
        <v>2.1911809999999998</v>
      </c>
      <c r="O59" s="258">
        <v>2.2368299999999999</v>
      </c>
      <c r="P59" s="258">
        <v>2.276913</v>
      </c>
      <c r="Q59" s="258">
        <v>2.3108819999999999</v>
      </c>
      <c r="R59" s="258">
        <v>2.3269329999999999</v>
      </c>
      <c r="S59" s="258">
        <v>2.343264</v>
      </c>
      <c r="T59" s="258">
        <v>2.3722750000000001</v>
      </c>
      <c r="U59" s="258">
        <v>2.404312</v>
      </c>
      <c r="V59" s="258">
        <v>2.4265159999999999</v>
      </c>
      <c r="W59" s="258">
        <v>2.458132</v>
      </c>
      <c r="X59" s="258">
        <v>2.474024</v>
      </c>
      <c r="Y59" s="258">
        <v>2.4762659999999999</v>
      </c>
      <c r="Z59" s="258">
        <v>2.4857459999999998</v>
      </c>
      <c r="AA59" s="258">
        <v>2.4935139999999998</v>
      </c>
      <c r="AB59" s="258">
        <v>2.4994040000000002</v>
      </c>
      <c r="AC59" s="258">
        <v>2.4986790000000001</v>
      </c>
      <c r="AD59" s="258">
        <v>2.5103719999999998</v>
      </c>
      <c r="AE59" s="258">
        <v>2.5131139999999998</v>
      </c>
      <c r="AF59" s="258">
        <v>2.519142</v>
      </c>
      <c r="AG59" s="258">
        <v>2.531539</v>
      </c>
      <c r="AH59" s="258">
        <v>2.5507759999999999</v>
      </c>
      <c r="AI59" s="258">
        <v>2.550128</v>
      </c>
      <c r="AJ59" s="258">
        <v>2.5471759999999999</v>
      </c>
      <c r="AK59" s="259">
        <v>8.9999999999999993E-3</v>
      </c>
    </row>
    <row r="60" spans="1:37">
      <c r="A60" s="6" t="s">
        <v>156</v>
      </c>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row>
    <row r="61" spans="1:37">
      <c r="A61" s="6" t="s">
        <v>155</v>
      </c>
      <c r="B61" s="313">
        <v>1.0618205070495601</v>
      </c>
      <c r="C61" s="313">
        <v>1.1093590259552</v>
      </c>
      <c r="D61" s="313">
        <v>1.0993635654449501</v>
      </c>
      <c r="E61" s="313">
        <v>1.10606873035431</v>
      </c>
      <c r="F61" s="314">
        <v>1.0538341999053999</v>
      </c>
      <c r="G61" s="258">
        <v>0.96948900000000005</v>
      </c>
      <c r="H61" s="258">
        <v>0.94076099999999996</v>
      </c>
      <c r="I61" s="258">
        <v>0.95062599999999997</v>
      </c>
      <c r="J61" s="258">
        <v>0.94062699999999999</v>
      </c>
      <c r="K61" s="258">
        <v>0.91689699999999996</v>
      </c>
      <c r="L61" s="258">
        <v>0.91578099999999996</v>
      </c>
      <c r="M61" s="258">
        <v>0.90966899999999995</v>
      </c>
      <c r="N61" s="258">
        <v>0.90114399999999995</v>
      </c>
      <c r="O61" s="258">
        <v>0.89199799999999996</v>
      </c>
      <c r="P61" s="258">
        <v>0.88283199999999995</v>
      </c>
      <c r="Q61" s="258">
        <v>0.87347300000000005</v>
      </c>
      <c r="R61" s="258">
        <v>0.86438899999999996</v>
      </c>
      <c r="S61" s="258">
        <v>0.85625499999999999</v>
      </c>
      <c r="T61" s="258">
        <v>0.84867599999999999</v>
      </c>
      <c r="U61" s="258">
        <v>0.84107299999999996</v>
      </c>
      <c r="V61" s="258">
        <v>0.83371399999999996</v>
      </c>
      <c r="W61" s="258">
        <v>0.82639200000000002</v>
      </c>
      <c r="X61" s="258">
        <v>0.81992799999999999</v>
      </c>
      <c r="Y61" s="258">
        <v>0.81319300000000005</v>
      </c>
      <c r="Z61" s="258">
        <v>0.80710899999999997</v>
      </c>
      <c r="AA61" s="258">
        <v>0.80122000000000004</v>
      </c>
      <c r="AB61" s="258">
        <v>0.795458</v>
      </c>
      <c r="AC61" s="258">
        <v>0.79006900000000002</v>
      </c>
      <c r="AD61" s="258">
        <v>0.78411900000000001</v>
      </c>
      <c r="AE61" s="258">
        <v>0.77970600000000001</v>
      </c>
      <c r="AF61" s="258">
        <v>0.77555200000000002</v>
      </c>
      <c r="AG61" s="258">
        <v>0.771922</v>
      </c>
      <c r="AH61" s="258">
        <v>0.76868800000000004</v>
      </c>
      <c r="AI61" s="258">
        <v>0.76499200000000001</v>
      </c>
      <c r="AJ61" s="258">
        <v>0.76103399999999999</v>
      </c>
      <c r="AK61" s="259">
        <v>-8.0000000000000002E-3</v>
      </c>
    </row>
    <row r="62" spans="1:37">
      <c r="A62" s="6" t="s">
        <v>697</v>
      </c>
      <c r="B62" s="313">
        <v>5.3221449851989702</v>
      </c>
      <c r="C62" s="313">
        <v>5.2595095634460396</v>
      </c>
      <c r="D62" s="313">
        <v>4.9765362739562997</v>
      </c>
      <c r="E62" s="313">
        <v>4.70910596847534</v>
      </c>
      <c r="F62" s="314">
        <v>4.5219602584838903</v>
      </c>
      <c r="G62" s="258">
        <v>4.4511919999999998</v>
      </c>
      <c r="H62" s="258">
        <v>4.421297</v>
      </c>
      <c r="I62" s="258">
        <v>4.5209929999999998</v>
      </c>
      <c r="J62" s="258">
        <v>4.6163509999999999</v>
      </c>
      <c r="K62" s="258">
        <v>4.7672689999999998</v>
      </c>
      <c r="L62" s="258">
        <v>4.940448</v>
      </c>
      <c r="M62" s="258">
        <v>5.0828059999999997</v>
      </c>
      <c r="N62" s="258">
        <v>5.1973799999999999</v>
      </c>
      <c r="O62" s="258">
        <v>5.2962569999999998</v>
      </c>
      <c r="P62" s="258">
        <v>5.3737599999999999</v>
      </c>
      <c r="Q62" s="258">
        <v>5.42516</v>
      </c>
      <c r="R62" s="258">
        <v>5.4817600000000004</v>
      </c>
      <c r="S62" s="258">
        <v>5.536664</v>
      </c>
      <c r="T62" s="258">
        <v>5.5895760000000001</v>
      </c>
      <c r="U62" s="258">
        <v>5.635637</v>
      </c>
      <c r="V62" s="258">
        <v>5.6575449999999998</v>
      </c>
      <c r="W62" s="258">
        <v>5.6945290000000002</v>
      </c>
      <c r="X62" s="258">
        <v>5.724005</v>
      </c>
      <c r="Y62" s="258">
        <v>5.7184200000000001</v>
      </c>
      <c r="Z62" s="258">
        <v>5.7229380000000001</v>
      </c>
      <c r="AA62" s="258">
        <v>5.7270849999999998</v>
      </c>
      <c r="AB62" s="258">
        <v>5.7279549999999997</v>
      </c>
      <c r="AC62" s="258">
        <v>5.7151949999999996</v>
      </c>
      <c r="AD62" s="258">
        <v>5.7039289999999996</v>
      </c>
      <c r="AE62" s="258">
        <v>5.6985010000000003</v>
      </c>
      <c r="AF62" s="258">
        <v>5.6904269999999997</v>
      </c>
      <c r="AG62" s="258">
        <v>5.7088890000000001</v>
      </c>
      <c r="AH62" s="258">
        <v>5.7191020000000004</v>
      </c>
      <c r="AI62" s="258">
        <v>5.7061400000000004</v>
      </c>
      <c r="AJ62" s="258">
        <v>5.6839209999999998</v>
      </c>
      <c r="AK62" s="259">
        <v>8.9999999999999993E-3</v>
      </c>
    </row>
    <row r="63" spans="1:37">
      <c r="A63" s="6" t="s">
        <v>154</v>
      </c>
      <c r="B63" s="313">
        <v>14.205528259277299</v>
      </c>
      <c r="C63" s="313">
        <v>14.253752708435099</v>
      </c>
      <c r="D63" s="313">
        <v>13.661909103393601</v>
      </c>
      <c r="E63" s="313">
        <v>13.477608680725099</v>
      </c>
      <c r="F63" s="314">
        <v>13.9932947158813</v>
      </c>
      <c r="G63" s="258">
        <v>13.653123000000001</v>
      </c>
      <c r="H63" s="258">
        <v>13.443807</v>
      </c>
      <c r="I63" s="258">
        <v>13.46326</v>
      </c>
      <c r="J63" s="258">
        <v>13.410075000000001</v>
      </c>
      <c r="K63" s="258">
        <v>13.391593</v>
      </c>
      <c r="L63" s="258">
        <v>13.423278</v>
      </c>
      <c r="M63" s="258">
        <v>13.416093</v>
      </c>
      <c r="N63" s="258">
        <v>13.359128999999999</v>
      </c>
      <c r="O63" s="258">
        <v>13.277658000000001</v>
      </c>
      <c r="P63" s="258">
        <v>13.193913999999999</v>
      </c>
      <c r="Q63" s="258">
        <v>13.108468</v>
      </c>
      <c r="R63" s="258">
        <v>13.021044</v>
      </c>
      <c r="S63" s="258">
        <v>12.924597</v>
      </c>
      <c r="T63" s="258">
        <v>12.819832</v>
      </c>
      <c r="U63" s="258">
        <v>12.713536</v>
      </c>
      <c r="V63" s="258">
        <v>12.616394</v>
      </c>
      <c r="W63" s="258">
        <v>12.527696000000001</v>
      </c>
      <c r="X63" s="258">
        <v>12.445028000000001</v>
      </c>
      <c r="Y63" s="258">
        <v>12.377145000000001</v>
      </c>
      <c r="Z63" s="258">
        <v>12.324268</v>
      </c>
      <c r="AA63" s="258">
        <v>12.281888</v>
      </c>
      <c r="AB63" s="258">
        <v>12.244210000000001</v>
      </c>
      <c r="AC63" s="258">
        <v>12.219082999999999</v>
      </c>
      <c r="AD63" s="258">
        <v>12.208591999999999</v>
      </c>
      <c r="AE63" s="258">
        <v>12.201549</v>
      </c>
      <c r="AF63" s="258">
        <v>12.192887000000001</v>
      </c>
      <c r="AG63" s="258">
        <v>12.189211999999999</v>
      </c>
      <c r="AH63" s="258">
        <v>12.193395000000001</v>
      </c>
      <c r="AI63" s="258">
        <v>12.201965</v>
      </c>
      <c r="AJ63" s="258">
        <v>12.203708000000001</v>
      </c>
      <c r="AK63" s="259">
        <v>-3.0000000000000001E-3</v>
      </c>
    </row>
    <row r="64" spans="1:37">
      <c r="A64" s="6" t="s">
        <v>698</v>
      </c>
      <c r="B64" s="313">
        <v>0.28576692938804599</v>
      </c>
      <c r="C64" s="313">
        <v>0.295045405626297</v>
      </c>
      <c r="D64" s="313">
        <v>0.215673848986626</v>
      </c>
      <c r="E64" s="313">
        <v>0.21838557720184301</v>
      </c>
      <c r="F64" s="314">
        <v>0.21773074567317999</v>
      </c>
      <c r="G64" s="258">
        <v>0.13995199999999999</v>
      </c>
      <c r="H64" s="258">
        <v>0.10258100000000001</v>
      </c>
      <c r="I64" s="258">
        <v>9.1968999999999995E-2</v>
      </c>
      <c r="J64" s="258">
        <v>9.2428999999999997E-2</v>
      </c>
      <c r="K64" s="258">
        <v>9.2261999999999997E-2</v>
      </c>
      <c r="L64" s="258">
        <v>8.9524000000000006E-2</v>
      </c>
      <c r="M64" s="258">
        <v>7.9076999999999995E-2</v>
      </c>
      <c r="N64" s="258">
        <v>8.0381999999999995E-2</v>
      </c>
      <c r="O64" s="258">
        <v>8.0076999999999995E-2</v>
      </c>
      <c r="P64" s="258">
        <v>8.0298999999999995E-2</v>
      </c>
      <c r="Q64" s="258">
        <v>8.0979999999999996E-2</v>
      </c>
      <c r="R64" s="258">
        <v>8.1548999999999996E-2</v>
      </c>
      <c r="S64" s="258">
        <v>8.2155000000000006E-2</v>
      </c>
      <c r="T64" s="258">
        <v>8.3019999999999997E-2</v>
      </c>
      <c r="U64" s="258">
        <v>8.3024000000000001E-2</v>
      </c>
      <c r="V64" s="258">
        <v>8.1849000000000005E-2</v>
      </c>
      <c r="W64" s="258">
        <v>8.1641000000000005E-2</v>
      </c>
      <c r="X64" s="258">
        <v>8.1735000000000002E-2</v>
      </c>
      <c r="Y64" s="258">
        <v>8.2040000000000002E-2</v>
      </c>
      <c r="Z64" s="258">
        <v>8.2365999999999995E-2</v>
      </c>
      <c r="AA64" s="258">
        <v>8.1250000000000003E-2</v>
      </c>
      <c r="AB64" s="258">
        <v>8.1303E-2</v>
      </c>
      <c r="AC64" s="258">
        <v>8.1448999999999994E-2</v>
      </c>
      <c r="AD64" s="258">
        <v>8.1864999999999993E-2</v>
      </c>
      <c r="AE64" s="258">
        <v>8.2123000000000002E-2</v>
      </c>
      <c r="AF64" s="258">
        <v>8.2472000000000004E-2</v>
      </c>
      <c r="AG64" s="258">
        <v>8.2769999999999996E-2</v>
      </c>
      <c r="AH64" s="258">
        <v>8.3155000000000007E-2</v>
      </c>
      <c r="AI64" s="258">
        <v>8.3571999999999994E-2</v>
      </c>
      <c r="AJ64" s="258">
        <v>8.3961999999999995E-2</v>
      </c>
      <c r="AK64" s="259">
        <v>-7.0000000000000001E-3</v>
      </c>
    </row>
    <row r="65" spans="1:37">
      <c r="A65" s="6" t="s">
        <v>153</v>
      </c>
      <c r="B65" s="313">
        <v>20.654685974121101</v>
      </c>
      <c r="C65" s="313">
        <v>20.6498107910156</v>
      </c>
      <c r="D65" s="313">
        <v>19.5445957183838</v>
      </c>
      <c r="E65" s="313">
        <v>19.245325088501001</v>
      </c>
      <c r="F65" s="314">
        <v>19.787778854370099</v>
      </c>
      <c r="G65" s="213">
        <v>18.92342</v>
      </c>
      <c r="H65" s="213">
        <v>18.486381999999999</v>
      </c>
      <c r="I65" s="213">
        <v>18.638722999999999</v>
      </c>
      <c r="J65" s="213">
        <v>18.700082999999999</v>
      </c>
      <c r="K65" s="213">
        <v>19.167159999999999</v>
      </c>
      <c r="L65" s="213">
        <v>19.368099000000001</v>
      </c>
      <c r="M65" s="213">
        <v>19.486657999999998</v>
      </c>
      <c r="N65" s="213">
        <v>19.537004</v>
      </c>
      <c r="O65" s="213">
        <v>19.544903000000001</v>
      </c>
      <c r="P65" s="213">
        <v>19.529665000000001</v>
      </c>
      <c r="Q65" s="213">
        <v>19.486916000000001</v>
      </c>
      <c r="R65" s="213">
        <v>19.44755</v>
      </c>
      <c r="S65" s="213">
        <v>19.398457000000001</v>
      </c>
      <c r="T65" s="213">
        <v>19.339873999999998</v>
      </c>
      <c r="U65" s="213">
        <v>19.272027999999999</v>
      </c>
      <c r="V65" s="213">
        <v>19.188255000000002</v>
      </c>
      <c r="W65" s="213">
        <v>19.129000000000001</v>
      </c>
      <c r="X65" s="213">
        <v>19.069431000000002</v>
      </c>
      <c r="Y65" s="213">
        <v>18.989547999999999</v>
      </c>
      <c r="Z65" s="213">
        <v>18.935445999999999</v>
      </c>
      <c r="AA65" s="213">
        <v>18.890217</v>
      </c>
      <c r="AB65" s="213">
        <v>18.847709999999999</v>
      </c>
      <c r="AC65" s="213">
        <v>18.804594000000002</v>
      </c>
      <c r="AD65" s="213">
        <v>18.777315000000002</v>
      </c>
      <c r="AE65" s="213">
        <v>18.760704</v>
      </c>
      <c r="AF65" s="213">
        <v>18.740176999999999</v>
      </c>
      <c r="AG65" s="213">
        <v>18.751633000000002</v>
      </c>
      <c r="AH65" s="213">
        <v>18.763190999999999</v>
      </c>
      <c r="AI65" s="213">
        <v>18.755531000000001</v>
      </c>
      <c r="AJ65" s="213">
        <v>18.731504000000001</v>
      </c>
      <c r="AK65" s="214">
        <v>0</v>
      </c>
    </row>
    <row r="66" spans="1:37">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row>
    <row r="67" spans="1:37">
      <c r="A67" s="6" t="s">
        <v>699</v>
      </c>
      <c r="B67" s="313">
        <v>4.2667388916015597E-2</v>
      </c>
      <c r="C67" s="313">
        <v>0.11821937561035201</v>
      </c>
      <c r="D67" s="313">
        <v>0.102603912353516</v>
      </c>
      <c r="E67" s="313">
        <v>0.17598533630371099</v>
      </c>
      <c r="F67" s="314">
        <v>-0.19984626770019501</v>
      </c>
      <c r="G67" s="258">
        <v>1.5162999999999999E-2</v>
      </c>
      <c r="H67" s="258">
        <v>0.105907</v>
      </c>
      <c r="I67" s="258">
        <v>0.34659600000000002</v>
      </c>
      <c r="J67" s="258">
        <v>0.115158</v>
      </c>
      <c r="K67" s="258">
        <v>-9.7140000000000004E-3</v>
      </c>
      <c r="L67" s="258">
        <v>-9.1500000000000001E-3</v>
      </c>
      <c r="M67" s="258">
        <v>-9.129E-3</v>
      </c>
      <c r="N67" s="258">
        <v>-9.3959999999999998E-3</v>
      </c>
      <c r="O67" s="258">
        <v>-9.4409999999999997E-3</v>
      </c>
      <c r="P67" s="258">
        <v>-9.2980000000000007E-3</v>
      </c>
      <c r="Q67" s="258">
        <v>-9.8270000000000007E-3</v>
      </c>
      <c r="R67" s="258">
        <v>-9.7409999999999997E-3</v>
      </c>
      <c r="S67" s="258">
        <v>-9.6889999999999997E-3</v>
      </c>
      <c r="T67" s="258">
        <v>-9.8569999999999994E-3</v>
      </c>
      <c r="U67" s="258">
        <v>-9.7099999999999999E-3</v>
      </c>
      <c r="V67" s="258">
        <v>-9.4129999999999995E-3</v>
      </c>
      <c r="W67" s="258">
        <v>-9.7260000000000003E-3</v>
      </c>
      <c r="X67" s="258">
        <v>-9.5440000000000004E-3</v>
      </c>
      <c r="Y67" s="258">
        <v>-8.9110000000000005E-3</v>
      </c>
      <c r="Z67" s="258">
        <v>-9.2739999999999993E-3</v>
      </c>
      <c r="AA67" s="258">
        <v>-9.4389999999999995E-3</v>
      </c>
      <c r="AB67" s="258">
        <v>-9.6170000000000005E-3</v>
      </c>
      <c r="AC67" s="258">
        <v>-9.1479999999999999E-3</v>
      </c>
      <c r="AD67" s="258">
        <v>-8.9969999999999998E-3</v>
      </c>
      <c r="AE67" s="258">
        <v>-8.8159999999999992E-3</v>
      </c>
      <c r="AF67" s="258">
        <v>-8.2660000000000008E-3</v>
      </c>
      <c r="AG67" s="258">
        <v>-8.2740000000000001E-3</v>
      </c>
      <c r="AH67" s="258">
        <v>-7.711E-3</v>
      </c>
      <c r="AI67" s="258">
        <v>-7.0080000000000003E-3</v>
      </c>
      <c r="AJ67" s="258">
        <v>-6.5420000000000001E-3</v>
      </c>
      <c r="AK67" s="258" t="s">
        <v>41</v>
      </c>
    </row>
    <row r="68" spans="1:37">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62"/>
    </row>
    <row r="69" spans="1:37">
      <c r="A69" s="6" t="s">
        <v>700</v>
      </c>
      <c r="B69" s="327">
        <v>17.3390007019043</v>
      </c>
      <c r="C69" s="327">
        <v>17.4409999847412</v>
      </c>
      <c r="D69" s="327">
        <v>17.5890007019043</v>
      </c>
      <c r="E69" s="327">
        <v>17.5890007019043</v>
      </c>
      <c r="F69" s="328">
        <v>17.994850158691399</v>
      </c>
      <c r="G69" s="258">
        <v>17.704999999999998</v>
      </c>
      <c r="H69" s="258">
        <v>17.315000999999999</v>
      </c>
      <c r="I69" s="258">
        <v>17.818999999999999</v>
      </c>
      <c r="J69" s="258">
        <v>17.818999999999999</v>
      </c>
      <c r="K69" s="258">
        <v>18.114657999999999</v>
      </c>
      <c r="L69" s="258">
        <v>18.129657999999999</v>
      </c>
      <c r="M69" s="258">
        <v>18.129657999999999</v>
      </c>
      <c r="N69" s="258">
        <v>18.129657999999999</v>
      </c>
      <c r="O69" s="258">
        <v>18.129657999999999</v>
      </c>
      <c r="P69" s="258">
        <v>18.129657999999999</v>
      </c>
      <c r="Q69" s="258">
        <v>18.129657999999999</v>
      </c>
      <c r="R69" s="258">
        <v>18.129657999999999</v>
      </c>
      <c r="S69" s="258">
        <v>18.129657999999999</v>
      </c>
      <c r="T69" s="258">
        <v>18.129657999999999</v>
      </c>
      <c r="U69" s="258">
        <v>18.129657999999999</v>
      </c>
      <c r="V69" s="258">
        <v>18.129657999999999</v>
      </c>
      <c r="W69" s="258">
        <v>18.129657999999999</v>
      </c>
      <c r="X69" s="258">
        <v>18.129657999999999</v>
      </c>
      <c r="Y69" s="258">
        <v>18.129657999999999</v>
      </c>
      <c r="Z69" s="258">
        <v>18.129657999999999</v>
      </c>
      <c r="AA69" s="258">
        <v>18.129657999999999</v>
      </c>
      <c r="AB69" s="258">
        <v>18.129657999999999</v>
      </c>
      <c r="AC69" s="258">
        <v>18.129657999999999</v>
      </c>
      <c r="AD69" s="258">
        <v>18.129657999999999</v>
      </c>
      <c r="AE69" s="258">
        <v>18.129657999999999</v>
      </c>
      <c r="AF69" s="258">
        <v>18.129657999999999</v>
      </c>
      <c r="AG69" s="258">
        <v>18.129657999999999</v>
      </c>
      <c r="AH69" s="258">
        <v>18.129657999999999</v>
      </c>
      <c r="AI69" s="258">
        <v>18.129657999999999</v>
      </c>
      <c r="AJ69" s="258">
        <v>18.129657999999999</v>
      </c>
      <c r="AK69" s="259">
        <v>2E-3</v>
      </c>
    </row>
    <row r="70" spans="1:37">
      <c r="A70" s="6" t="s">
        <v>701</v>
      </c>
      <c r="B70" s="327">
        <v>90</v>
      </c>
      <c r="C70" s="327">
        <v>89</v>
      </c>
      <c r="D70" s="327">
        <v>85</v>
      </c>
      <c r="E70" s="327">
        <v>84</v>
      </c>
      <c r="F70" s="328">
        <v>78.951698303222699</v>
      </c>
      <c r="G70" s="258">
        <v>86</v>
      </c>
      <c r="H70" s="258">
        <v>89</v>
      </c>
      <c r="I70" s="258">
        <v>87</v>
      </c>
      <c r="J70" s="258">
        <v>87</v>
      </c>
      <c r="K70" s="258">
        <v>83.929221999999996</v>
      </c>
      <c r="L70" s="258">
        <v>84.444526999999994</v>
      </c>
      <c r="M70" s="258">
        <v>84.784676000000005</v>
      </c>
      <c r="N70" s="258">
        <v>84.856537000000003</v>
      </c>
      <c r="O70" s="258">
        <v>84.762580999999997</v>
      </c>
      <c r="P70" s="258">
        <v>84.610602999999998</v>
      </c>
      <c r="Q70" s="258">
        <v>84.422150000000002</v>
      </c>
      <c r="R70" s="258">
        <v>84.011527999999998</v>
      </c>
      <c r="S70" s="258">
        <v>83.650841</v>
      </c>
      <c r="T70" s="258">
        <v>83.337349000000003</v>
      </c>
      <c r="U70" s="258">
        <v>83.051040999999998</v>
      </c>
      <c r="V70" s="258">
        <v>82.852858999999995</v>
      </c>
      <c r="W70" s="258">
        <v>82.751807999999997</v>
      </c>
      <c r="X70" s="258">
        <v>82.579086000000004</v>
      </c>
      <c r="Y70" s="258">
        <v>82.446686</v>
      </c>
      <c r="Z70" s="258">
        <v>82.407532000000003</v>
      </c>
      <c r="AA70" s="258">
        <v>82.401390000000006</v>
      </c>
      <c r="AB70" s="258">
        <v>82.379172999999994</v>
      </c>
      <c r="AC70" s="258">
        <v>82.419548000000006</v>
      </c>
      <c r="AD70" s="258">
        <v>82.643226999999996</v>
      </c>
      <c r="AE70" s="258">
        <v>82.856575000000007</v>
      </c>
      <c r="AF70" s="258">
        <v>83.059607999999997</v>
      </c>
      <c r="AG70" s="258">
        <v>83.321395999999993</v>
      </c>
      <c r="AH70" s="258">
        <v>83.713463000000004</v>
      </c>
      <c r="AI70" s="258">
        <v>83.800713000000002</v>
      </c>
      <c r="AJ70" s="258">
        <v>83.967208999999997</v>
      </c>
      <c r="AK70" s="259">
        <v>-2E-3</v>
      </c>
    </row>
    <row r="71" spans="1:37">
      <c r="A71" s="6" t="s">
        <v>152</v>
      </c>
      <c r="B71" s="327">
        <v>60.165718078613303</v>
      </c>
      <c r="C71" s="327">
        <v>58.3234672546387</v>
      </c>
      <c r="D71" s="327">
        <v>56.096931457519503</v>
      </c>
      <c r="E71" s="327">
        <v>53.113201141357401</v>
      </c>
      <c r="F71" s="328">
        <v>50.657768249511697</v>
      </c>
      <c r="G71" s="258">
        <v>45.229275000000001</v>
      </c>
      <c r="H71" s="258">
        <v>40.315280999999999</v>
      </c>
      <c r="I71" s="258">
        <v>33.537674000000003</v>
      </c>
      <c r="J71" s="258">
        <v>28.732861</v>
      </c>
      <c r="K71" s="258">
        <v>27.439371000000001</v>
      </c>
      <c r="L71" s="258">
        <v>25.212821999999999</v>
      </c>
      <c r="M71" s="258">
        <v>25.371447</v>
      </c>
      <c r="N71" s="258">
        <v>25.397780999999998</v>
      </c>
      <c r="O71" s="258">
        <v>25.272306</v>
      </c>
      <c r="P71" s="258">
        <v>25.605276</v>
      </c>
      <c r="Q71" s="258">
        <v>26.339932999999998</v>
      </c>
      <c r="R71" s="258">
        <v>26.391024000000002</v>
      </c>
      <c r="S71" s="258">
        <v>26.330031999999999</v>
      </c>
      <c r="T71" s="258">
        <v>26.557704999999999</v>
      </c>
      <c r="U71" s="258">
        <v>26.574638</v>
      </c>
      <c r="V71" s="258">
        <v>27.074511000000001</v>
      </c>
      <c r="W71" s="258">
        <v>27.628391000000001</v>
      </c>
      <c r="X71" s="258">
        <v>28.164417</v>
      </c>
      <c r="Y71" s="258">
        <v>28.574669</v>
      </c>
      <c r="Z71" s="258">
        <v>28.600802999999999</v>
      </c>
      <c r="AA71" s="258">
        <v>29.035553</v>
      </c>
      <c r="AB71" s="258">
        <v>29.225125999999999</v>
      </c>
      <c r="AC71" s="258">
        <v>29.185209</v>
      </c>
      <c r="AD71" s="258">
        <v>29.338975999999999</v>
      </c>
      <c r="AE71" s="258">
        <v>29.911650000000002</v>
      </c>
      <c r="AF71" s="258">
        <v>30.578768</v>
      </c>
      <c r="AG71" s="258">
        <v>30.764973000000001</v>
      </c>
      <c r="AH71" s="258">
        <v>31.641760000000001</v>
      </c>
      <c r="AI71" s="258">
        <v>31.827915000000001</v>
      </c>
      <c r="AJ71" s="258">
        <v>32.156517000000001</v>
      </c>
      <c r="AK71" s="259">
        <v>-8.0000000000000002E-3</v>
      </c>
    </row>
    <row r="72" spans="1:37" s="233" customFormat="1">
      <c r="A72" s="232" t="s">
        <v>151</v>
      </c>
      <c r="B72" s="313">
        <v>15.605100631713899</v>
      </c>
      <c r="C72" s="313">
        <v>15.522489547729499</v>
      </c>
      <c r="D72" s="313">
        <v>14.950650215148899</v>
      </c>
      <c r="E72" s="313">
        <v>14.7747602462769</v>
      </c>
      <c r="F72" s="314">
        <v>14.2072401046753</v>
      </c>
      <c r="G72" s="279">
        <v>14.3342885971069</v>
      </c>
      <c r="H72" s="279">
        <v>14.411810874939</v>
      </c>
      <c r="I72" s="279">
        <v>14.427806854248001</v>
      </c>
      <c r="J72" s="279">
        <v>14.247616767883301</v>
      </c>
      <c r="K72" s="279">
        <v>14.1760416030884</v>
      </c>
      <c r="L72" s="279">
        <v>14.1692085266113</v>
      </c>
      <c r="M72" s="279">
        <v>14.217811584472701</v>
      </c>
      <c r="N72" s="279">
        <v>14.219580650329601</v>
      </c>
      <c r="O72" s="279">
        <v>14.2103576660156</v>
      </c>
      <c r="P72" s="279">
        <v>14.200039863586399</v>
      </c>
      <c r="Q72" s="279">
        <v>14.1303453445435</v>
      </c>
      <c r="R72" s="279">
        <v>14.095740318298301</v>
      </c>
      <c r="S72" s="279">
        <v>14.0861167907715</v>
      </c>
      <c r="T72" s="279">
        <v>14.1125946044922</v>
      </c>
      <c r="U72" s="279">
        <v>14.163477897644</v>
      </c>
      <c r="V72" s="279">
        <v>14.242433547973601</v>
      </c>
      <c r="W72" s="279">
        <v>14.2973442077637</v>
      </c>
      <c r="X72" s="279">
        <v>14.4011936187744</v>
      </c>
      <c r="Y72" s="279">
        <v>14.4425506591797</v>
      </c>
      <c r="Z72" s="279">
        <v>14.573932647705099</v>
      </c>
      <c r="AA72" s="279"/>
      <c r="AB72" s="279"/>
      <c r="AC72" s="279"/>
      <c r="AD72" s="279"/>
      <c r="AE72" s="279"/>
      <c r="AF72" s="279"/>
      <c r="AG72" s="279"/>
      <c r="AH72" s="279"/>
      <c r="AI72" s="279"/>
      <c r="AJ72" s="279"/>
      <c r="AK72" s="280">
        <v>-2.73776054382324E-3</v>
      </c>
    </row>
    <row r="73" spans="1:37">
      <c r="A73" s="6" t="s">
        <v>150</v>
      </c>
    </row>
    <row r="74" spans="1:37">
      <c r="A74" s="6" t="s">
        <v>592</v>
      </c>
      <c r="B74" s="313">
        <v>272.80218505859398</v>
      </c>
      <c r="C74" s="313">
        <v>280.12564086914102</v>
      </c>
      <c r="D74" s="313">
        <v>321.28717041015602</v>
      </c>
      <c r="E74" s="313">
        <v>195.51596069335901</v>
      </c>
      <c r="F74" s="314">
        <v>246.62348937988301</v>
      </c>
      <c r="G74" s="258">
        <v>494.73007200000001</v>
      </c>
      <c r="H74" s="258">
        <v>313.70205700000002</v>
      </c>
      <c r="I74" s="258">
        <v>257.058716</v>
      </c>
      <c r="J74" s="258">
        <v>219.518845</v>
      </c>
      <c r="K74" s="258">
        <v>213.13346899999999</v>
      </c>
      <c r="L74" s="258">
        <v>192.04028299999999</v>
      </c>
      <c r="M74" s="258">
        <v>190.19305399999999</v>
      </c>
      <c r="N74" s="258">
        <v>190.97583</v>
      </c>
      <c r="O74" s="258">
        <v>193.05748</v>
      </c>
      <c r="P74" s="258">
        <v>198.85289</v>
      </c>
      <c r="Q74" s="258">
        <v>207.326324</v>
      </c>
      <c r="R74" s="258">
        <v>214.50224299999999</v>
      </c>
      <c r="S74" s="258">
        <v>220.992096</v>
      </c>
      <c r="T74" s="258">
        <v>228.38960299999999</v>
      </c>
      <c r="U74" s="258">
        <v>234.269226</v>
      </c>
      <c r="V74" s="258">
        <v>243.98199500000001</v>
      </c>
      <c r="W74" s="258">
        <v>254.790054</v>
      </c>
      <c r="X74" s="258">
        <v>263.61831699999999</v>
      </c>
      <c r="Y74" s="258">
        <v>272.543701</v>
      </c>
      <c r="Z74" s="258">
        <v>278.59802200000001</v>
      </c>
      <c r="AA74" s="258">
        <v>289.04888899999997</v>
      </c>
      <c r="AB74" s="258">
        <v>297.603973</v>
      </c>
      <c r="AC74" s="258">
        <v>305.14331099999998</v>
      </c>
      <c r="AD74" s="258">
        <v>315.75491299999999</v>
      </c>
      <c r="AE74" s="258">
        <v>327.328461</v>
      </c>
      <c r="AF74" s="258">
        <v>338.67947400000003</v>
      </c>
      <c r="AG74" s="258">
        <v>347.810272</v>
      </c>
      <c r="AH74" s="258">
        <v>363.35360700000001</v>
      </c>
      <c r="AI74" s="258">
        <v>372.92919899999998</v>
      </c>
      <c r="AJ74" s="258">
        <v>385.39370700000001</v>
      </c>
      <c r="AK74" s="259">
        <v>7.0000000000000001E-3</v>
      </c>
    </row>
    <row r="78" spans="1:37" s="231" customFormat="1" ht="15" customHeight="1">
      <c r="A78" s="440" t="s">
        <v>593</v>
      </c>
      <c r="B78" s="440"/>
      <c r="C78" s="440"/>
      <c r="D78" s="440"/>
      <c r="E78" s="440"/>
      <c r="F78" s="440"/>
      <c r="G78" s="440"/>
      <c r="H78" s="440"/>
      <c r="I78" s="440"/>
      <c r="J78" s="440"/>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263"/>
      <c r="AH78" s="263"/>
      <c r="AI78" s="263"/>
      <c r="AJ78" s="263"/>
      <c r="AK78" s="263"/>
    </row>
    <row r="79" spans="1:37" customFormat="1" ht="15" customHeight="1">
      <c r="A79" s="439" t="s">
        <v>594</v>
      </c>
      <c r="B79" s="439"/>
      <c r="C79" s="439"/>
      <c r="D79" s="439"/>
      <c r="E79" s="439"/>
      <c r="F79" s="439"/>
      <c r="G79" s="439"/>
      <c r="H79" s="439"/>
      <c r="I79" s="439"/>
      <c r="J79" s="439"/>
      <c r="K79" s="439"/>
      <c r="L79" s="439"/>
      <c r="M79" s="439"/>
      <c r="N79" s="439"/>
      <c r="O79" s="439"/>
      <c r="P79" s="439"/>
      <c r="Q79" s="439"/>
      <c r="R79" s="439"/>
      <c r="S79" s="439"/>
      <c r="T79" s="439"/>
      <c r="U79" s="439"/>
      <c r="V79" s="439"/>
      <c r="W79" s="439"/>
      <c r="X79" s="439"/>
      <c r="Y79" s="439"/>
      <c r="Z79" s="439"/>
      <c r="AA79" s="439"/>
      <c r="AB79" s="439"/>
      <c r="AC79" s="439"/>
      <c r="AD79" s="439"/>
      <c r="AE79" s="439"/>
      <c r="AF79" s="439"/>
      <c r="AG79" s="262"/>
      <c r="AH79" s="262"/>
      <c r="AI79" s="262"/>
      <c r="AJ79" s="262"/>
      <c r="AK79" s="262"/>
    </row>
    <row r="80" spans="1:37" customFormat="1" ht="15" customHeight="1">
      <c r="A80" s="439" t="s">
        <v>595</v>
      </c>
      <c r="B80" s="439"/>
      <c r="C80" s="439"/>
      <c r="D80" s="439"/>
      <c r="E80" s="439"/>
      <c r="F80" s="439"/>
      <c r="G80" s="439"/>
      <c r="H80" s="439"/>
      <c r="I80" s="439"/>
      <c r="J80" s="439"/>
      <c r="K80" s="439"/>
      <c r="L80" s="439"/>
      <c r="M80" s="439"/>
      <c r="N80" s="439"/>
      <c r="O80" s="439"/>
      <c r="P80" s="439"/>
      <c r="Q80" s="439"/>
      <c r="R80" s="439"/>
      <c r="S80" s="439"/>
      <c r="T80" s="439"/>
      <c r="U80" s="439"/>
      <c r="V80" s="439"/>
      <c r="W80" s="439"/>
      <c r="X80" s="439"/>
      <c r="Y80" s="439"/>
      <c r="Z80" s="439"/>
      <c r="AA80" s="439"/>
      <c r="AB80" s="439"/>
      <c r="AC80" s="439"/>
      <c r="AD80" s="439"/>
      <c r="AE80" s="439"/>
      <c r="AF80" s="439"/>
      <c r="AG80" s="262"/>
      <c r="AH80" s="262"/>
      <c r="AI80" s="262"/>
      <c r="AJ80" s="262"/>
      <c r="AK80" s="262"/>
    </row>
    <row r="81" spans="1:37" customFormat="1" ht="15" customHeight="1">
      <c r="A81" s="439" t="s">
        <v>596</v>
      </c>
      <c r="B81" s="439"/>
      <c r="C81" s="439"/>
      <c r="D81" s="439"/>
      <c r="E81" s="439"/>
      <c r="F81" s="439"/>
      <c r="G81" s="439"/>
      <c r="H81" s="439"/>
      <c r="I81" s="439"/>
      <c r="J81" s="439"/>
      <c r="K81" s="439"/>
      <c r="L81" s="439"/>
      <c r="M81" s="439"/>
      <c r="N81" s="439"/>
      <c r="O81" s="439"/>
      <c r="P81" s="439"/>
      <c r="Q81" s="439"/>
      <c r="R81" s="439"/>
      <c r="S81" s="439"/>
      <c r="T81" s="439"/>
      <c r="U81" s="439"/>
      <c r="V81" s="439"/>
      <c r="W81" s="439"/>
      <c r="X81" s="439"/>
      <c r="Y81" s="439"/>
      <c r="Z81" s="439"/>
      <c r="AA81" s="439"/>
      <c r="AB81" s="439"/>
      <c r="AC81" s="439"/>
      <c r="AD81" s="439"/>
      <c r="AE81" s="439"/>
      <c r="AF81" s="439"/>
      <c r="AG81" s="262"/>
      <c r="AH81" s="262"/>
      <c r="AI81" s="262"/>
      <c r="AJ81" s="262"/>
      <c r="AK81" s="262"/>
    </row>
    <row r="82" spans="1:37" customFormat="1" ht="15" customHeight="1">
      <c r="A82" s="439" t="s">
        <v>597</v>
      </c>
      <c r="B82" s="439"/>
      <c r="C82" s="439"/>
      <c r="D82" s="439"/>
      <c r="E82" s="439"/>
      <c r="F82" s="439"/>
      <c r="G82" s="439"/>
      <c r="H82" s="439"/>
      <c r="I82" s="439"/>
      <c r="J82" s="439"/>
      <c r="K82" s="439"/>
      <c r="L82" s="439"/>
      <c r="M82" s="439"/>
      <c r="N82" s="439"/>
      <c r="O82" s="439"/>
      <c r="P82" s="439"/>
      <c r="Q82" s="439"/>
      <c r="R82" s="439"/>
      <c r="S82" s="439"/>
      <c r="T82" s="439"/>
      <c r="U82" s="439"/>
      <c r="V82" s="439"/>
      <c r="W82" s="439"/>
      <c r="X82" s="439"/>
      <c r="Y82" s="439"/>
      <c r="Z82" s="439"/>
      <c r="AA82" s="439"/>
      <c r="AB82" s="439"/>
      <c r="AC82" s="439"/>
      <c r="AD82" s="439"/>
      <c r="AE82" s="439"/>
      <c r="AF82" s="439"/>
      <c r="AG82" s="262"/>
      <c r="AH82" s="262"/>
      <c r="AI82" s="262"/>
      <c r="AJ82" s="262"/>
      <c r="AK82" s="262"/>
    </row>
    <row r="83" spans="1:37" customFormat="1" ht="15" customHeight="1">
      <c r="A83" s="439" t="s">
        <v>598</v>
      </c>
      <c r="B83" s="439"/>
      <c r="C83" s="439"/>
      <c r="D83" s="439"/>
      <c r="E83" s="439"/>
      <c r="F83" s="439"/>
      <c r="G83" s="439"/>
      <c r="H83" s="439"/>
      <c r="I83" s="439"/>
      <c r="J83" s="439"/>
      <c r="K83" s="439"/>
      <c r="L83" s="439"/>
      <c r="M83" s="439"/>
      <c r="N83" s="439"/>
      <c r="O83" s="439"/>
      <c r="P83" s="439"/>
      <c r="Q83" s="439"/>
      <c r="R83" s="439"/>
      <c r="S83" s="439"/>
      <c r="T83" s="439"/>
      <c r="U83" s="439"/>
      <c r="V83" s="439"/>
      <c r="W83" s="439"/>
      <c r="X83" s="439"/>
      <c r="Y83" s="439"/>
      <c r="Z83" s="439"/>
      <c r="AA83" s="439"/>
      <c r="AB83" s="439"/>
      <c r="AC83" s="439"/>
      <c r="AD83" s="439"/>
      <c r="AE83" s="439"/>
      <c r="AF83" s="439"/>
      <c r="AG83" s="262"/>
      <c r="AH83" s="262"/>
      <c r="AI83" s="262"/>
      <c r="AJ83" s="262"/>
      <c r="AK83" s="262"/>
    </row>
    <row r="84" spans="1:37" customFormat="1" ht="15" customHeight="1">
      <c r="A84" s="439" t="s">
        <v>599</v>
      </c>
      <c r="B84" s="439"/>
      <c r="C84" s="439"/>
      <c r="D84" s="439"/>
      <c r="E84" s="439"/>
      <c r="F84" s="439"/>
      <c r="G84" s="439"/>
      <c r="H84" s="439"/>
      <c r="I84" s="439"/>
      <c r="J84" s="439"/>
      <c r="K84" s="439"/>
      <c r="L84" s="439"/>
      <c r="M84" s="439"/>
      <c r="N84" s="439"/>
      <c r="O84" s="439"/>
      <c r="P84" s="439"/>
      <c r="Q84" s="439"/>
      <c r="R84" s="439"/>
      <c r="S84" s="439"/>
      <c r="T84" s="439"/>
      <c r="U84" s="439"/>
      <c r="V84" s="439"/>
      <c r="W84" s="439"/>
      <c r="X84" s="439"/>
      <c r="Y84" s="439"/>
      <c r="Z84" s="439"/>
      <c r="AA84" s="439"/>
      <c r="AB84" s="439"/>
      <c r="AC84" s="439"/>
      <c r="AD84" s="439"/>
      <c r="AE84" s="439"/>
      <c r="AF84" s="439"/>
      <c r="AG84" s="262"/>
      <c r="AH84" s="262"/>
      <c r="AI84" s="262"/>
      <c r="AJ84" s="262"/>
      <c r="AK84" s="262"/>
    </row>
    <row r="85" spans="1:37" customFormat="1" ht="15" customHeight="1">
      <c r="A85" s="439" t="s">
        <v>600</v>
      </c>
      <c r="B85" s="439"/>
      <c r="C85" s="439"/>
      <c r="D85" s="439"/>
      <c r="E85" s="439"/>
      <c r="F85" s="439"/>
      <c r="G85" s="439"/>
      <c r="H85" s="439"/>
      <c r="I85" s="439"/>
      <c r="J85" s="439"/>
      <c r="K85" s="439"/>
      <c r="L85" s="439"/>
      <c r="M85" s="439"/>
      <c r="N85" s="439"/>
      <c r="O85" s="439"/>
      <c r="P85" s="439"/>
      <c r="Q85" s="439"/>
      <c r="R85" s="439"/>
      <c r="S85" s="439"/>
      <c r="T85" s="439"/>
      <c r="U85" s="439"/>
      <c r="V85" s="439"/>
      <c r="W85" s="439"/>
      <c r="X85" s="439"/>
      <c r="Y85" s="439"/>
      <c r="Z85" s="439"/>
      <c r="AA85" s="439"/>
      <c r="AB85" s="439"/>
      <c r="AC85" s="439"/>
      <c r="AD85" s="439"/>
      <c r="AE85" s="439"/>
      <c r="AF85" s="439"/>
      <c r="AG85" s="262"/>
      <c r="AH85" s="262"/>
      <c r="AI85" s="262"/>
      <c r="AJ85" s="262"/>
      <c r="AK85" s="262"/>
    </row>
    <row r="86" spans="1:37" customFormat="1" ht="15" customHeight="1">
      <c r="A86" s="439" t="s">
        <v>601</v>
      </c>
      <c r="B86" s="439"/>
      <c r="C86" s="439"/>
      <c r="D86" s="439"/>
      <c r="E86" s="439"/>
      <c r="F86" s="439"/>
      <c r="G86" s="439"/>
      <c r="H86" s="439"/>
      <c r="I86" s="439"/>
      <c r="J86" s="439"/>
      <c r="K86" s="439"/>
      <c r="L86" s="439"/>
      <c r="M86" s="439"/>
      <c r="N86" s="439"/>
      <c r="O86" s="439"/>
      <c r="P86" s="439"/>
      <c r="Q86" s="439"/>
      <c r="R86" s="439"/>
      <c r="S86" s="439"/>
      <c r="T86" s="439"/>
      <c r="U86" s="439"/>
      <c r="V86" s="439"/>
      <c r="W86" s="439"/>
      <c r="X86" s="439"/>
      <c r="Y86" s="439"/>
      <c r="Z86" s="439"/>
      <c r="AA86" s="439"/>
      <c r="AB86" s="439"/>
      <c r="AC86" s="439"/>
      <c r="AD86" s="439"/>
      <c r="AE86" s="439"/>
      <c r="AF86" s="439"/>
      <c r="AG86" s="262"/>
      <c r="AH86" s="262"/>
      <c r="AI86" s="262"/>
      <c r="AJ86" s="262"/>
      <c r="AK86" s="262"/>
    </row>
    <row r="87" spans="1:37" customFormat="1" ht="15" customHeight="1">
      <c r="A87" s="439" t="s">
        <v>602</v>
      </c>
      <c r="B87" s="439"/>
      <c r="C87" s="439"/>
      <c r="D87" s="439"/>
      <c r="E87" s="439"/>
      <c r="F87" s="439"/>
      <c r="G87" s="439"/>
      <c r="H87" s="439"/>
      <c r="I87" s="439"/>
      <c r="J87" s="439"/>
      <c r="K87" s="439"/>
      <c r="L87" s="439"/>
      <c r="M87" s="439"/>
      <c r="N87" s="439"/>
      <c r="O87" s="439"/>
      <c r="P87" s="439"/>
      <c r="Q87" s="439"/>
      <c r="R87" s="439"/>
      <c r="S87" s="439"/>
      <c r="T87" s="439"/>
      <c r="U87" s="439"/>
      <c r="V87" s="439"/>
      <c r="W87" s="439"/>
      <c r="X87" s="439"/>
      <c r="Y87" s="439"/>
      <c r="Z87" s="439"/>
      <c r="AA87" s="439"/>
      <c r="AB87" s="439"/>
      <c r="AC87" s="439"/>
      <c r="AD87" s="439"/>
      <c r="AE87" s="439"/>
      <c r="AF87" s="439"/>
      <c r="AG87" s="262"/>
      <c r="AH87" s="262"/>
      <c r="AI87" s="262"/>
      <c r="AJ87" s="262"/>
      <c r="AK87" s="262"/>
    </row>
    <row r="88" spans="1:37" customFormat="1" ht="15" customHeight="1">
      <c r="A88" s="439" t="s">
        <v>603</v>
      </c>
      <c r="B88" s="439"/>
      <c r="C88" s="439"/>
      <c r="D88" s="439"/>
      <c r="E88" s="439"/>
      <c r="F88" s="439"/>
      <c r="G88" s="439"/>
      <c r="H88" s="439"/>
      <c r="I88" s="439"/>
      <c r="J88" s="439"/>
      <c r="K88" s="439"/>
      <c r="L88" s="439"/>
      <c r="M88" s="439"/>
      <c r="N88" s="439"/>
      <c r="O88" s="439"/>
      <c r="P88" s="439"/>
      <c r="Q88" s="439"/>
      <c r="R88" s="439"/>
      <c r="S88" s="439"/>
      <c r="T88" s="439"/>
      <c r="U88" s="439"/>
      <c r="V88" s="439"/>
      <c r="W88" s="439"/>
      <c r="X88" s="439"/>
      <c r="Y88" s="439"/>
      <c r="Z88" s="439"/>
      <c r="AA88" s="439"/>
      <c r="AB88" s="439"/>
      <c r="AC88" s="439"/>
      <c r="AD88" s="439"/>
      <c r="AE88" s="439"/>
      <c r="AF88" s="439"/>
      <c r="AG88" s="262"/>
      <c r="AH88" s="262"/>
      <c r="AI88" s="262"/>
      <c r="AJ88" s="262"/>
      <c r="AK88" s="262"/>
    </row>
    <row r="89" spans="1:37" customFormat="1" ht="15" customHeight="1">
      <c r="A89" s="439" t="s">
        <v>604</v>
      </c>
      <c r="B89" s="439"/>
      <c r="C89" s="439"/>
      <c r="D89" s="439"/>
      <c r="E89" s="439"/>
      <c r="F89" s="439"/>
      <c r="G89" s="439"/>
      <c r="H89" s="439"/>
      <c r="I89" s="439"/>
      <c r="J89" s="439"/>
      <c r="K89" s="439"/>
      <c r="L89" s="439"/>
      <c r="M89" s="439"/>
      <c r="N89" s="439"/>
      <c r="O89" s="439"/>
      <c r="P89" s="439"/>
      <c r="Q89" s="439"/>
      <c r="R89" s="439"/>
      <c r="S89" s="439"/>
      <c r="T89" s="439"/>
      <c r="U89" s="439"/>
      <c r="V89" s="439"/>
      <c r="W89" s="439"/>
      <c r="X89" s="439"/>
      <c r="Y89" s="439"/>
      <c r="Z89" s="439"/>
      <c r="AA89" s="439"/>
      <c r="AB89" s="439"/>
      <c r="AC89" s="439"/>
      <c r="AD89" s="439"/>
      <c r="AE89" s="439"/>
      <c r="AF89" s="439"/>
      <c r="AG89" s="262"/>
      <c r="AH89" s="262"/>
      <c r="AI89" s="262"/>
      <c r="AJ89" s="262"/>
      <c r="AK89" s="262"/>
    </row>
    <row r="90" spans="1:37" customFormat="1" ht="15" customHeight="1">
      <c r="A90" s="439" t="s">
        <v>605</v>
      </c>
      <c r="B90" s="439"/>
      <c r="C90" s="439"/>
      <c r="D90" s="439"/>
      <c r="E90" s="439"/>
      <c r="F90" s="439"/>
      <c r="G90" s="439"/>
      <c r="H90" s="439"/>
      <c r="I90" s="439"/>
      <c r="J90" s="439"/>
      <c r="K90" s="439"/>
      <c r="L90" s="439"/>
      <c r="M90" s="439"/>
      <c r="N90" s="439"/>
      <c r="O90" s="439"/>
      <c r="P90" s="439"/>
      <c r="Q90" s="439"/>
      <c r="R90" s="439"/>
      <c r="S90" s="439"/>
      <c r="T90" s="439"/>
      <c r="U90" s="439"/>
      <c r="V90" s="439"/>
      <c r="W90" s="439"/>
      <c r="X90" s="439"/>
      <c r="Y90" s="439"/>
      <c r="Z90" s="439"/>
      <c r="AA90" s="439"/>
      <c r="AB90" s="439"/>
      <c r="AC90" s="439"/>
      <c r="AD90" s="439"/>
      <c r="AE90" s="439"/>
      <c r="AF90" s="439"/>
      <c r="AG90" s="262"/>
      <c r="AH90" s="262"/>
      <c r="AI90" s="262"/>
      <c r="AJ90" s="262"/>
      <c r="AK90" s="262"/>
    </row>
    <row r="91" spans="1:37" customFormat="1" ht="15" customHeight="1">
      <c r="A91" s="439" t="s">
        <v>606</v>
      </c>
      <c r="B91" s="439"/>
      <c r="C91" s="439"/>
      <c r="D91" s="439"/>
      <c r="E91" s="439"/>
      <c r="F91" s="439"/>
      <c r="G91" s="439"/>
      <c r="H91" s="439"/>
      <c r="I91" s="439"/>
      <c r="J91" s="439"/>
      <c r="K91" s="439"/>
      <c r="L91" s="439"/>
      <c r="M91" s="439"/>
      <c r="N91" s="439"/>
      <c r="O91" s="439"/>
      <c r="P91" s="439"/>
      <c r="Q91" s="439"/>
      <c r="R91" s="439"/>
      <c r="S91" s="439"/>
      <c r="T91" s="439"/>
      <c r="U91" s="439"/>
      <c r="V91" s="439"/>
      <c r="W91" s="439"/>
      <c r="X91" s="439"/>
      <c r="Y91" s="439"/>
      <c r="Z91" s="439"/>
      <c r="AA91" s="439"/>
      <c r="AB91" s="439"/>
      <c r="AC91" s="439"/>
      <c r="AD91" s="439"/>
      <c r="AE91" s="439"/>
      <c r="AF91" s="439"/>
      <c r="AG91" s="262"/>
      <c r="AH91" s="262"/>
      <c r="AI91" s="262"/>
      <c r="AJ91" s="262"/>
      <c r="AK91" s="262"/>
    </row>
    <row r="92" spans="1:37" customFormat="1" ht="15" customHeight="1">
      <c r="A92" s="439" t="s">
        <v>607</v>
      </c>
      <c r="B92" s="439"/>
      <c r="C92" s="439"/>
      <c r="D92" s="439"/>
      <c r="E92" s="439"/>
      <c r="F92" s="439"/>
      <c r="G92" s="439"/>
      <c r="H92" s="439"/>
      <c r="I92" s="439"/>
      <c r="J92" s="439"/>
      <c r="K92" s="439"/>
      <c r="L92" s="439"/>
      <c r="M92" s="439"/>
      <c r="N92" s="439"/>
      <c r="O92" s="439"/>
      <c r="P92" s="439"/>
      <c r="Q92" s="439"/>
      <c r="R92" s="439"/>
      <c r="S92" s="439"/>
      <c r="T92" s="439"/>
      <c r="U92" s="439"/>
      <c r="V92" s="439"/>
      <c r="W92" s="439"/>
      <c r="X92" s="439"/>
      <c r="Y92" s="439"/>
      <c r="Z92" s="439"/>
      <c r="AA92" s="439"/>
      <c r="AB92" s="439"/>
      <c r="AC92" s="439"/>
      <c r="AD92" s="439"/>
      <c r="AE92" s="439"/>
      <c r="AF92" s="439"/>
      <c r="AG92" s="262"/>
      <c r="AH92" s="262"/>
      <c r="AI92" s="262"/>
      <c r="AJ92" s="262"/>
      <c r="AK92" s="262"/>
    </row>
    <row r="93" spans="1:37" customFormat="1" ht="15" customHeight="1">
      <c r="A93" s="439" t="s">
        <v>608</v>
      </c>
      <c r="B93" s="439"/>
      <c r="C93" s="439"/>
      <c r="D93" s="439"/>
      <c r="E93" s="439"/>
      <c r="F93" s="439"/>
      <c r="G93" s="439"/>
      <c r="H93" s="439"/>
      <c r="I93" s="439"/>
      <c r="J93" s="439"/>
      <c r="K93" s="439"/>
      <c r="L93" s="439"/>
      <c r="M93" s="439"/>
      <c r="N93" s="439"/>
      <c r="O93" s="439"/>
      <c r="P93" s="439"/>
      <c r="Q93" s="439"/>
      <c r="R93" s="439"/>
      <c r="S93" s="439"/>
      <c r="T93" s="439"/>
      <c r="U93" s="439"/>
      <c r="V93" s="439"/>
      <c r="W93" s="439"/>
      <c r="X93" s="439"/>
      <c r="Y93" s="439"/>
      <c r="Z93" s="439"/>
      <c r="AA93" s="439"/>
      <c r="AB93" s="439"/>
      <c r="AC93" s="439"/>
      <c r="AD93" s="439"/>
      <c r="AE93" s="439"/>
      <c r="AF93" s="439"/>
      <c r="AG93" s="262"/>
      <c r="AH93" s="262"/>
      <c r="AI93" s="262"/>
      <c r="AJ93" s="262"/>
      <c r="AK93" s="262"/>
    </row>
    <row r="94" spans="1:37" customFormat="1" ht="15" customHeight="1">
      <c r="A94" s="439" t="s">
        <v>609</v>
      </c>
      <c r="B94" s="439"/>
      <c r="C94" s="439"/>
      <c r="D94" s="439"/>
      <c r="E94" s="439"/>
      <c r="F94" s="439"/>
      <c r="G94" s="439"/>
      <c r="H94" s="439"/>
      <c r="I94" s="439"/>
      <c r="J94" s="439"/>
      <c r="K94" s="439"/>
      <c r="L94" s="439"/>
      <c r="M94" s="439"/>
      <c r="N94" s="439"/>
      <c r="O94" s="439"/>
      <c r="P94" s="439"/>
      <c r="Q94" s="439"/>
      <c r="R94" s="439"/>
      <c r="S94" s="439"/>
      <c r="T94" s="439"/>
      <c r="U94" s="439"/>
      <c r="V94" s="439"/>
      <c r="W94" s="439"/>
      <c r="X94" s="439"/>
      <c r="Y94" s="439"/>
      <c r="Z94" s="439"/>
      <c r="AA94" s="439"/>
      <c r="AB94" s="439"/>
      <c r="AC94" s="439"/>
      <c r="AD94" s="439"/>
      <c r="AE94" s="439"/>
      <c r="AF94" s="439"/>
      <c r="AG94" s="262"/>
      <c r="AH94" s="262"/>
      <c r="AI94" s="262"/>
      <c r="AJ94" s="262"/>
      <c r="AK94" s="262"/>
    </row>
    <row r="95" spans="1:37" customFormat="1" ht="15" customHeight="1">
      <c r="A95" s="439" t="s">
        <v>610</v>
      </c>
      <c r="B95" s="439"/>
      <c r="C95" s="439"/>
      <c r="D95" s="439"/>
      <c r="E95" s="439"/>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262"/>
      <c r="AH95" s="262"/>
      <c r="AI95" s="262"/>
      <c r="AJ95" s="262"/>
      <c r="AK95" s="262"/>
    </row>
    <row r="96" spans="1:37" customFormat="1" ht="15" customHeight="1">
      <c r="A96" s="439" t="s">
        <v>611</v>
      </c>
      <c r="B96" s="439"/>
      <c r="C96" s="439"/>
      <c r="D96" s="439"/>
      <c r="E96" s="439"/>
      <c r="F96" s="439"/>
      <c r="G96" s="439"/>
      <c r="H96" s="439"/>
      <c r="I96" s="439"/>
      <c r="J96" s="439"/>
      <c r="K96" s="439"/>
      <c r="L96" s="439"/>
      <c r="M96" s="439"/>
      <c r="N96" s="439"/>
      <c r="O96" s="439"/>
      <c r="P96" s="439"/>
      <c r="Q96" s="439"/>
      <c r="R96" s="439"/>
      <c r="S96" s="439"/>
      <c r="T96" s="439"/>
      <c r="U96" s="439"/>
      <c r="V96" s="439"/>
      <c r="W96" s="439"/>
      <c r="X96" s="439"/>
      <c r="Y96" s="439"/>
      <c r="Z96" s="439"/>
      <c r="AA96" s="439"/>
      <c r="AB96" s="439"/>
      <c r="AC96" s="439"/>
      <c r="AD96" s="439"/>
      <c r="AE96" s="439"/>
      <c r="AF96" s="439"/>
      <c r="AG96" s="262"/>
      <c r="AH96" s="262"/>
      <c r="AI96" s="262"/>
      <c r="AJ96" s="262"/>
      <c r="AK96" s="262"/>
    </row>
    <row r="97" spans="1:37" customFormat="1" ht="15" customHeight="1">
      <c r="A97" s="439" t="s">
        <v>612</v>
      </c>
      <c r="B97" s="439"/>
      <c r="C97" s="439"/>
      <c r="D97" s="439"/>
      <c r="E97" s="439"/>
      <c r="F97" s="439"/>
      <c r="G97" s="439"/>
      <c r="H97" s="439"/>
      <c r="I97" s="439"/>
      <c r="J97" s="439"/>
      <c r="K97" s="439"/>
      <c r="L97" s="439"/>
      <c r="M97" s="439"/>
      <c r="N97" s="439"/>
      <c r="O97" s="439"/>
      <c r="P97" s="439"/>
      <c r="Q97" s="439"/>
      <c r="R97" s="439"/>
      <c r="S97" s="439"/>
      <c r="T97" s="439"/>
      <c r="U97" s="439"/>
      <c r="V97" s="439"/>
      <c r="W97" s="439"/>
      <c r="X97" s="439"/>
      <c r="Y97" s="439"/>
      <c r="Z97" s="439"/>
      <c r="AA97" s="439"/>
      <c r="AB97" s="439"/>
      <c r="AC97" s="439"/>
      <c r="AD97" s="439"/>
      <c r="AE97" s="439"/>
      <c r="AF97" s="439"/>
      <c r="AG97" s="262"/>
      <c r="AH97" s="262"/>
      <c r="AI97" s="262"/>
      <c r="AJ97" s="262"/>
      <c r="AK97" s="262"/>
    </row>
    <row r="98" spans="1:37" customFormat="1" ht="15" customHeight="1">
      <c r="A98" s="439" t="s">
        <v>613</v>
      </c>
      <c r="B98" s="439"/>
      <c r="C98" s="439"/>
      <c r="D98" s="439"/>
      <c r="E98" s="439"/>
      <c r="F98" s="439"/>
      <c r="G98" s="439"/>
      <c r="H98" s="439"/>
      <c r="I98" s="439"/>
      <c r="J98" s="439"/>
      <c r="K98" s="439"/>
      <c r="L98" s="439"/>
      <c r="M98" s="439"/>
      <c r="N98" s="439"/>
      <c r="O98" s="439"/>
      <c r="P98" s="439"/>
      <c r="Q98" s="439"/>
      <c r="R98" s="439"/>
      <c r="S98" s="439"/>
      <c r="T98" s="439"/>
      <c r="U98" s="439"/>
      <c r="V98" s="439"/>
      <c r="W98" s="439"/>
      <c r="X98" s="439"/>
      <c r="Y98" s="439"/>
      <c r="Z98" s="439"/>
      <c r="AA98" s="439"/>
      <c r="AB98" s="439"/>
      <c r="AC98" s="439"/>
      <c r="AD98" s="439"/>
      <c r="AE98" s="439"/>
      <c r="AF98" s="439"/>
      <c r="AG98" s="262"/>
      <c r="AH98" s="262"/>
      <c r="AI98" s="262"/>
      <c r="AJ98" s="262"/>
      <c r="AK98" s="262"/>
    </row>
    <row r="99" spans="1:37" customFormat="1" ht="15" customHeight="1">
      <c r="A99" s="439" t="s">
        <v>614</v>
      </c>
      <c r="B99" s="439"/>
      <c r="C99" s="439"/>
      <c r="D99" s="439"/>
      <c r="E99" s="439"/>
      <c r="F99" s="439"/>
      <c r="G99" s="439"/>
      <c r="H99" s="439"/>
      <c r="I99" s="439"/>
      <c r="J99" s="439"/>
      <c r="K99" s="439"/>
      <c r="L99" s="439"/>
      <c r="M99" s="439"/>
      <c r="N99" s="439"/>
      <c r="O99" s="439"/>
      <c r="P99" s="439"/>
      <c r="Q99" s="439"/>
      <c r="R99" s="439"/>
      <c r="S99" s="439"/>
      <c r="T99" s="439"/>
      <c r="U99" s="439"/>
      <c r="V99" s="439"/>
      <c r="W99" s="439"/>
      <c r="X99" s="439"/>
      <c r="Y99" s="439"/>
      <c r="Z99" s="439"/>
      <c r="AA99" s="439"/>
      <c r="AB99" s="439"/>
      <c r="AC99" s="439"/>
      <c r="AD99" s="439"/>
      <c r="AE99" s="439"/>
      <c r="AF99" s="439"/>
      <c r="AG99" s="262"/>
      <c r="AH99" s="262"/>
      <c r="AI99" s="262"/>
      <c r="AJ99" s="262"/>
      <c r="AK99" s="262"/>
    </row>
    <row r="100" spans="1:37" customFormat="1" ht="15" customHeight="1">
      <c r="A100" s="439" t="s">
        <v>615</v>
      </c>
      <c r="B100" s="439"/>
      <c r="C100" s="439"/>
      <c r="D100" s="439"/>
      <c r="E100" s="439"/>
      <c r="F100" s="439"/>
      <c r="G100" s="439"/>
      <c r="H100" s="439"/>
      <c r="I100" s="439"/>
      <c r="J100" s="439"/>
      <c r="K100" s="439"/>
      <c r="L100" s="439"/>
      <c r="M100" s="439"/>
      <c r="N100" s="439"/>
      <c r="O100" s="439"/>
      <c r="P100" s="439"/>
      <c r="Q100" s="439"/>
      <c r="R100" s="439"/>
      <c r="S100" s="439"/>
      <c r="T100" s="439"/>
      <c r="U100" s="439"/>
      <c r="V100" s="439"/>
      <c r="W100" s="439"/>
      <c r="X100" s="439"/>
      <c r="Y100" s="439"/>
      <c r="Z100" s="439"/>
      <c r="AA100" s="439"/>
      <c r="AB100" s="439"/>
      <c r="AC100" s="439"/>
      <c r="AD100" s="439"/>
      <c r="AE100" s="439"/>
      <c r="AF100" s="439"/>
      <c r="AG100" s="262"/>
      <c r="AH100" s="262"/>
      <c r="AI100" s="262"/>
      <c r="AJ100" s="262"/>
      <c r="AK100" s="262"/>
    </row>
    <row r="101" spans="1:37" customFormat="1" ht="15" customHeight="1">
      <c r="A101" s="439" t="s">
        <v>616</v>
      </c>
      <c r="B101" s="439"/>
      <c r="C101" s="439"/>
      <c r="D101" s="439"/>
      <c r="E101" s="439"/>
      <c r="F101" s="439"/>
      <c r="G101" s="439"/>
      <c r="H101" s="439"/>
      <c r="I101" s="439"/>
      <c r="J101" s="439"/>
      <c r="K101" s="439"/>
      <c r="L101" s="439"/>
      <c r="M101" s="439"/>
      <c r="N101" s="439"/>
      <c r="O101" s="439"/>
      <c r="P101" s="439"/>
      <c r="Q101" s="439"/>
      <c r="R101" s="439"/>
      <c r="S101" s="439"/>
      <c r="T101" s="439"/>
      <c r="U101" s="439"/>
      <c r="V101" s="439"/>
      <c r="W101" s="439"/>
      <c r="X101" s="439"/>
      <c r="Y101" s="439"/>
      <c r="Z101" s="439"/>
      <c r="AA101" s="439"/>
      <c r="AB101" s="439"/>
      <c r="AC101" s="439"/>
      <c r="AD101" s="439"/>
      <c r="AE101" s="439"/>
      <c r="AF101" s="439"/>
      <c r="AG101" s="262"/>
      <c r="AH101" s="262"/>
      <c r="AI101" s="262"/>
      <c r="AJ101" s="262"/>
      <c r="AK101" s="262"/>
    </row>
    <row r="102" spans="1:37" customFormat="1" ht="15" customHeight="1">
      <c r="A102" s="439" t="s">
        <v>617</v>
      </c>
      <c r="B102" s="439"/>
      <c r="C102" s="439"/>
      <c r="D102" s="439"/>
      <c r="E102" s="439"/>
      <c r="F102" s="439"/>
      <c r="G102" s="439"/>
      <c r="H102" s="439"/>
      <c r="I102" s="439"/>
      <c r="J102" s="439"/>
      <c r="K102" s="439"/>
      <c r="L102" s="439"/>
      <c r="M102" s="439"/>
      <c r="N102" s="439"/>
      <c r="O102" s="439"/>
      <c r="P102" s="439"/>
      <c r="Q102" s="439"/>
      <c r="R102" s="439"/>
      <c r="S102" s="439"/>
      <c r="T102" s="439"/>
      <c r="U102" s="439"/>
      <c r="V102" s="439"/>
      <c r="W102" s="439"/>
      <c r="X102" s="439"/>
      <c r="Y102" s="439"/>
      <c r="Z102" s="439"/>
      <c r="AA102" s="439"/>
      <c r="AB102" s="439"/>
      <c r="AC102" s="439"/>
      <c r="AD102" s="439"/>
      <c r="AE102" s="439"/>
      <c r="AF102" s="439"/>
      <c r="AG102" s="262"/>
      <c r="AH102" s="262"/>
      <c r="AI102" s="262"/>
      <c r="AJ102" s="262"/>
      <c r="AK102" s="262"/>
    </row>
    <row r="103" spans="1:37" customFormat="1" ht="15" customHeight="1">
      <c r="A103" s="439" t="s">
        <v>618</v>
      </c>
      <c r="B103" s="439"/>
      <c r="C103" s="439"/>
      <c r="D103" s="439"/>
      <c r="E103" s="439"/>
      <c r="F103" s="439"/>
      <c r="G103" s="439"/>
      <c r="H103" s="439"/>
      <c r="I103" s="439"/>
      <c r="J103" s="439"/>
      <c r="K103" s="439"/>
      <c r="L103" s="439"/>
      <c r="M103" s="439"/>
      <c r="N103" s="439"/>
      <c r="O103" s="439"/>
      <c r="P103" s="439"/>
      <c r="Q103" s="439"/>
      <c r="R103" s="439"/>
      <c r="S103" s="439"/>
      <c r="T103" s="439"/>
      <c r="U103" s="439"/>
      <c r="V103" s="439"/>
      <c r="W103" s="439"/>
      <c r="X103" s="439"/>
      <c r="Y103" s="439"/>
      <c r="Z103" s="439"/>
      <c r="AA103" s="439"/>
      <c r="AB103" s="439"/>
      <c r="AC103" s="439"/>
      <c r="AD103" s="439"/>
      <c r="AE103" s="439"/>
      <c r="AF103" s="439"/>
      <c r="AG103" s="262"/>
      <c r="AH103" s="262"/>
      <c r="AI103" s="262"/>
      <c r="AJ103" s="262"/>
      <c r="AK103" s="262"/>
    </row>
    <row r="104" spans="1:37" customFormat="1" ht="15" customHeight="1">
      <c r="A104" s="439" t="s">
        <v>619</v>
      </c>
      <c r="B104" s="439"/>
      <c r="C104" s="439"/>
      <c r="D104" s="439"/>
      <c r="E104" s="439"/>
      <c r="F104" s="439"/>
      <c r="G104" s="439"/>
      <c r="H104" s="439"/>
      <c r="I104" s="439"/>
      <c r="J104" s="439"/>
      <c r="K104" s="439"/>
      <c r="L104" s="439"/>
      <c r="M104" s="439"/>
      <c r="N104" s="439"/>
      <c r="O104" s="439"/>
      <c r="P104" s="439"/>
      <c r="Q104" s="439"/>
      <c r="R104" s="439"/>
      <c r="S104" s="439"/>
      <c r="T104" s="439"/>
      <c r="U104" s="439"/>
      <c r="V104" s="439"/>
      <c r="W104" s="439"/>
      <c r="X104" s="439"/>
      <c r="Y104" s="439"/>
      <c r="Z104" s="439"/>
      <c r="AA104" s="439"/>
      <c r="AB104" s="439"/>
      <c r="AC104" s="439"/>
      <c r="AD104" s="439"/>
      <c r="AE104" s="439"/>
      <c r="AF104" s="439"/>
      <c r="AG104" s="262"/>
      <c r="AH104" s="262"/>
      <c r="AI104" s="262"/>
      <c r="AJ104" s="262"/>
      <c r="AK104" s="262"/>
    </row>
    <row r="105" spans="1:37" customFormat="1" ht="15" customHeight="1">
      <c r="A105" s="439" t="s">
        <v>620</v>
      </c>
      <c r="B105" s="439"/>
      <c r="C105" s="439"/>
      <c r="D105" s="439"/>
      <c r="E105" s="439"/>
      <c r="F105" s="439"/>
      <c r="G105" s="439"/>
      <c r="H105" s="439"/>
      <c r="I105" s="439"/>
      <c r="J105" s="439"/>
      <c r="K105" s="439"/>
      <c r="L105" s="439"/>
      <c r="M105" s="439"/>
      <c r="N105" s="439"/>
      <c r="O105" s="439"/>
      <c r="P105" s="439"/>
      <c r="Q105" s="439"/>
      <c r="R105" s="439"/>
      <c r="S105" s="439"/>
      <c r="T105" s="439"/>
      <c r="U105" s="439"/>
      <c r="V105" s="439"/>
      <c r="W105" s="439"/>
      <c r="X105" s="439"/>
      <c r="Y105" s="439"/>
      <c r="Z105" s="439"/>
      <c r="AA105" s="439"/>
      <c r="AB105" s="439"/>
      <c r="AC105" s="439"/>
      <c r="AD105" s="439"/>
      <c r="AE105" s="439"/>
      <c r="AF105" s="439"/>
      <c r="AG105" s="262"/>
      <c r="AH105" s="262"/>
      <c r="AI105" s="262"/>
      <c r="AJ105" s="262"/>
      <c r="AK105" s="262"/>
    </row>
    <row r="106" spans="1:37" customFormat="1" ht="15" customHeight="1">
      <c r="A106" s="439" t="s">
        <v>621</v>
      </c>
      <c r="B106" s="439"/>
      <c r="C106" s="439"/>
      <c r="D106" s="439"/>
      <c r="E106" s="439"/>
      <c r="F106" s="439"/>
      <c r="G106" s="439"/>
      <c r="H106" s="439"/>
      <c r="I106" s="439"/>
      <c r="J106" s="439"/>
      <c r="K106" s="439"/>
      <c r="L106" s="439"/>
      <c r="M106" s="439"/>
      <c r="N106" s="439"/>
      <c r="O106" s="439"/>
      <c r="P106" s="439"/>
      <c r="Q106" s="439"/>
      <c r="R106" s="439"/>
      <c r="S106" s="439"/>
      <c r="T106" s="439"/>
      <c r="U106" s="439"/>
      <c r="V106" s="439"/>
      <c r="W106" s="439"/>
      <c r="X106" s="439"/>
      <c r="Y106" s="439"/>
      <c r="Z106" s="439"/>
      <c r="AA106" s="439"/>
      <c r="AB106" s="439"/>
      <c r="AC106" s="439"/>
      <c r="AD106" s="439"/>
      <c r="AE106" s="439"/>
      <c r="AF106" s="439"/>
      <c r="AG106" s="262"/>
      <c r="AH106" s="262"/>
      <c r="AI106" s="262"/>
      <c r="AJ106" s="262"/>
      <c r="AK106" s="262"/>
    </row>
    <row r="107" spans="1:37" customFormat="1" ht="15" customHeight="1">
      <c r="A107" s="439" t="s">
        <v>622</v>
      </c>
      <c r="B107" s="439"/>
      <c r="C107" s="439"/>
      <c r="D107" s="439"/>
      <c r="E107" s="439"/>
      <c r="F107" s="439"/>
      <c r="G107" s="439"/>
      <c r="H107" s="439"/>
      <c r="I107" s="439"/>
      <c r="J107" s="439"/>
      <c r="K107" s="439"/>
      <c r="L107" s="439"/>
      <c r="M107" s="439"/>
      <c r="N107" s="439"/>
      <c r="O107" s="439"/>
      <c r="P107" s="439"/>
      <c r="Q107" s="439"/>
      <c r="R107" s="439"/>
      <c r="S107" s="439"/>
      <c r="T107" s="439"/>
      <c r="U107" s="439"/>
      <c r="V107" s="439"/>
      <c r="W107" s="439"/>
      <c r="X107" s="439"/>
      <c r="Y107" s="439"/>
      <c r="Z107" s="439"/>
      <c r="AA107" s="439"/>
      <c r="AB107" s="439"/>
      <c r="AC107" s="439"/>
      <c r="AD107" s="439"/>
      <c r="AE107" s="439"/>
      <c r="AF107" s="439"/>
      <c r="AG107" s="262"/>
      <c r="AH107" s="262"/>
      <c r="AI107" s="262"/>
      <c r="AJ107" s="262"/>
      <c r="AK107" s="262"/>
    </row>
    <row r="108" spans="1:37" customFormat="1" ht="15" customHeight="1">
      <c r="A108" s="439" t="s">
        <v>623</v>
      </c>
      <c r="B108" s="439"/>
      <c r="C108" s="439"/>
      <c r="D108" s="439"/>
      <c r="E108" s="439"/>
      <c r="F108" s="439"/>
      <c r="G108" s="439"/>
      <c r="H108" s="439"/>
      <c r="I108" s="439"/>
      <c r="J108" s="439"/>
      <c r="K108" s="439"/>
      <c r="L108" s="439"/>
      <c r="M108" s="439"/>
      <c r="N108" s="439"/>
      <c r="O108" s="439"/>
      <c r="P108" s="439"/>
      <c r="Q108" s="439"/>
      <c r="R108" s="439"/>
      <c r="S108" s="439"/>
      <c r="T108" s="439"/>
      <c r="U108" s="439"/>
      <c r="V108" s="439"/>
      <c r="W108" s="439"/>
      <c r="X108" s="439"/>
      <c r="Y108" s="439"/>
      <c r="Z108" s="439"/>
      <c r="AA108" s="439"/>
      <c r="AB108" s="439"/>
      <c r="AC108" s="439"/>
      <c r="AD108" s="439"/>
      <c r="AE108" s="439"/>
      <c r="AF108" s="439"/>
      <c r="AG108" s="262"/>
      <c r="AH108" s="262"/>
      <c r="AI108" s="262"/>
      <c r="AJ108" s="262"/>
      <c r="AK108" s="262"/>
    </row>
    <row r="109" spans="1:37" customFormat="1" ht="15" customHeight="1">
      <c r="A109" s="439" t="s">
        <v>624</v>
      </c>
      <c r="B109" s="439"/>
      <c r="C109" s="439"/>
      <c r="D109" s="439"/>
      <c r="E109" s="439"/>
      <c r="F109" s="439"/>
      <c r="G109" s="439"/>
      <c r="H109" s="439"/>
      <c r="I109" s="439"/>
      <c r="J109" s="439"/>
      <c r="K109" s="439"/>
      <c r="L109" s="439"/>
      <c r="M109" s="439"/>
      <c r="N109" s="439"/>
      <c r="O109" s="439"/>
      <c r="P109" s="439"/>
      <c r="Q109" s="439"/>
      <c r="R109" s="439"/>
      <c r="S109" s="439"/>
      <c r="T109" s="439"/>
      <c r="U109" s="439"/>
      <c r="V109" s="439"/>
      <c r="W109" s="439"/>
      <c r="X109" s="439"/>
      <c r="Y109" s="439"/>
      <c r="Z109" s="439"/>
      <c r="AA109" s="439"/>
      <c r="AB109" s="439"/>
      <c r="AC109" s="439"/>
      <c r="AD109" s="439"/>
      <c r="AE109" s="439"/>
      <c r="AF109" s="439"/>
      <c r="AG109" s="262"/>
      <c r="AH109" s="262"/>
      <c r="AI109" s="262"/>
      <c r="AJ109" s="262"/>
      <c r="AK109" s="262"/>
    </row>
  </sheetData>
  <mergeCells count="32">
    <mergeCell ref="A78:AF78"/>
    <mergeCell ref="A79:AF79"/>
    <mergeCell ref="A80:AF80"/>
    <mergeCell ref="A81:AF81"/>
    <mergeCell ref="A82:AF82"/>
    <mergeCell ref="A83:AF83"/>
    <mergeCell ref="A84:AF84"/>
    <mergeCell ref="A85:AF85"/>
    <mergeCell ref="A86:AF86"/>
    <mergeCell ref="A87:AF87"/>
    <mergeCell ref="A88:AF88"/>
    <mergeCell ref="A89:AF89"/>
    <mergeCell ref="A90:AF90"/>
    <mergeCell ref="A91:AF91"/>
    <mergeCell ref="A92:AF92"/>
    <mergeCell ref="A93:AF93"/>
    <mergeCell ref="A94:AF94"/>
    <mergeCell ref="A95:AF95"/>
    <mergeCell ref="A96:AF96"/>
    <mergeCell ref="A97:AF97"/>
    <mergeCell ref="A98:AF98"/>
    <mergeCell ref="A99:AF99"/>
    <mergeCell ref="A100:AF100"/>
    <mergeCell ref="A101:AF101"/>
    <mergeCell ref="A108:AF108"/>
    <mergeCell ref="A109:AF109"/>
    <mergeCell ref="A102:AF102"/>
    <mergeCell ref="A103:AF103"/>
    <mergeCell ref="A104:AF104"/>
    <mergeCell ref="A105:AF105"/>
    <mergeCell ref="A106:AF106"/>
    <mergeCell ref="A107:AF107"/>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1"/>
  <sheetViews>
    <sheetView workbookViewId="0">
      <selection activeCell="A7" sqref="A7"/>
    </sheetView>
  </sheetViews>
  <sheetFormatPr baseColWidth="10" defaultColWidth="8.83203125" defaultRowHeight="14" x14ac:dyDescent="0"/>
  <sheetData>
    <row r="2" spans="1:2">
      <c r="A2" t="s">
        <v>529</v>
      </c>
    </row>
    <row r="4" spans="1:2">
      <c r="A4" t="s">
        <v>552</v>
      </c>
    </row>
    <row r="5" spans="1:2">
      <c r="B5" t="s">
        <v>528</v>
      </c>
    </row>
    <row r="7" spans="1:2">
      <c r="A7" t="s">
        <v>713</v>
      </c>
    </row>
    <row r="9" spans="1:2">
      <c r="A9" t="s">
        <v>527</v>
      </c>
    </row>
    <row r="10" spans="1:2">
      <c r="B10" t="s">
        <v>521</v>
      </c>
    </row>
    <row r="12" spans="1:2">
      <c r="A12" t="s">
        <v>707</v>
      </c>
    </row>
    <row r="14" spans="1:2">
      <c r="A14" t="s">
        <v>520</v>
      </c>
    </row>
    <row r="15" spans="1:2">
      <c r="B15" t="s">
        <v>522</v>
      </c>
    </row>
    <row r="17" spans="1:1">
      <c r="A17" t="s">
        <v>525</v>
      </c>
    </row>
    <row r="19" spans="1:1">
      <c r="A19" t="s">
        <v>526</v>
      </c>
    </row>
    <row r="21" spans="1:1">
      <c r="A21" t="s">
        <v>551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54"/>
  <sheetViews>
    <sheetView topLeftCell="A10" zoomScale="80" zoomScaleNormal="80" zoomScalePageLayoutView="80" workbookViewId="0">
      <pane xSplit="2" ySplit="3" topLeftCell="C135" activePane="bottomRight" state="frozen"/>
      <selection activeCell="A10" sqref="A10"/>
      <selection pane="topRight" activeCell="C10" sqref="C10"/>
      <selection pane="bottomLeft" activeCell="A13" sqref="A13"/>
      <selection pane="bottomRight" activeCell="H186" sqref="H186"/>
    </sheetView>
  </sheetViews>
  <sheetFormatPr baseColWidth="10" defaultColWidth="8.83203125" defaultRowHeight="14" x14ac:dyDescent="0"/>
  <cols>
    <col min="1" max="1" width="43.83203125" customWidth="1"/>
    <col min="2" max="2" width="5.1640625" style="33" hidden="1" customWidth="1"/>
    <col min="3" max="5" width="11.1640625" style="292" customWidth="1"/>
    <col min="6" max="6" width="17" style="292" customWidth="1"/>
    <col min="7" max="7" width="15.5" style="292" customWidth="1"/>
    <col min="8" max="8" width="16.1640625" style="364" customWidth="1"/>
    <col min="9" max="9" width="15.5" style="2" customWidth="1"/>
    <col min="10" max="10" width="12.5" style="2" customWidth="1"/>
    <col min="11" max="11" width="13" style="2" customWidth="1"/>
    <col min="12" max="12" width="11.83203125" style="2" customWidth="1"/>
    <col min="13" max="13" width="12.33203125" style="2" customWidth="1"/>
    <col min="14" max="14" width="13" style="175" customWidth="1"/>
    <col min="15" max="15" width="13.33203125" style="2" customWidth="1"/>
    <col min="16" max="16" width="13.5" style="2" customWidth="1"/>
    <col min="17" max="17" width="13.33203125" style="2" customWidth="1"/>
    <col min="18" max="18" width="13.6640625" style="2" customWidth="1"/>
    <col min="19" max="19" width="13.33203125" style="2" customWidth="1"/>
    <col min="20" max="21" width="13.1640625" style="2" customWidth="1"/>
    <col min="22" max="22" width="14.1640625" style="2" customWidth="1"/>
    <col min="23" max="23" width="13.6640625" style="2" customWidth="1"/>
    <col min="24" max="24" width="13.83203125" style="192" customWidth="1"/>
    <col min="25" max="25" width="17.6640625" customWidth="1"/>
    <col min="26" max="26" width="14.6640625" customWidth="1"/>
    <col min="27" max="27" width="13.1640625" customWidth="1"/>
    <col min="28" max="28" width="14" customWidth="1"/>
    <col min="29" max="29" width="12.6640625" customWidth="1"/>
    <col min="30" max="30" width="13.33203125" bestFit="1" customWidth="1"/>
    <col min="31" max="31" width="12.6640625" customWidth="1"/>
    <col min="32" max="32" width="13" customWidth="1"/>
    <col min="33" max="33" width="13.33203125" customWidth="1"/>
    <col min="34" max="34" width="13.33203125" style="245" customWidth="1"/>
    <col min="35" max="35" width="20.6640625" bestFit="1" customWidth="1"/>
    <col min="36" max="36" width="15.33203125" bestFit="1" customWidth="1"/>
    <col min="37" max="37" width="13.33203125" bestFit="1" customWidth="1"/>
    <col min="38" max="38" width="13.83203125" customWidth="1"/>
  </cols>
  <sheetData>
    <row r="1" spans="1:38" hidden="1">
      <c r="A1" s="435"/>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row>
    <row r="2" spans="1:38" hidden="1">
      <c r="A2" s="435"/>
      <c r="B2" s="435"/>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c r="AL2" s="435"/>
    </row>
    <row r="3" spans="1:38" hidden="1">
      <c r="A3" s="435"/>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row>
    <row r="4" spans="1:38" hidden="1">
      <c r="A4" s="435"/>
      <c r="B4" s="435"/>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435"/>
    </row>
    <row r="5" spans="1:38" hidden="1">
      <c r="A5" s="435"/>
      <c r="B5" s="435"/>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c r="AE5" s="435"/>
      <c r="AF5" s="435"/>
      <c r="AG5" s="435"/>
      <c r="AH5" s="435"/>
      <c r="AI5" s="435"/>
      <c r="AJ5" s="435"/>
      <c r="AK5" s="435"/>
      <c r="AL5" s="435"/>
    </row>
    <row r="6" spans="1:38" hidden="1">
      <c r="A6" s="435"/>
      <c r="B6" s="435"/>
      <c r="C6" s="435"/>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row>
    <row r="7" spans="1:38" ht="23.25" hidden="1" customHeight="1">
      <c r="A7" s="435"/>
      <c r="B7" s="435"/>
      <c r="C7" s="435"/>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row>
    <row r="8" spans="1:38" s="159" customFormat="1" ht="15.75" hidden="1" customHeight="1">
      <c r="A8" s="435"/>
      <c r="B8" s="435"/>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row>
    <row r="9" spans="1:38" ht="21" hidden="1" customHeight="1">
      <c r="A9" s="435"/>
      <c r="B9" s="435"/>
      <c r="C9" s="435"/>
      <c r="D9" s="435"/>
      <c r="E9" s="435"/>
      <c r="F9" s="435"/>
      <c r="G9" s="435"/>
      <c r="H9" s="435"/>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435"/>
      <c r="AL9" s="435"/>
    </row>
    <row r="10" spans="1:38">
      <c r="A10" t="s">
        <v>188</v>
      </c>
      <c r="B10" s="33" t="s">
        <v>127</v>
      </c>
      <c r="Y10" s="20"/>
      <c r="Z10" s="20"/>
      <c r="AA10" s="20"/>
      <c r="AB10" s="20"/>
      <c r="AC10" s="20"/>
      <c r="AD10" s="20"/>
      <c r="AE10" s="20"/>
      <c r="AF10" s="20"/>
      <c r="AG10" s="20"/>
      <c r="AH10" s="244"/>
    </row>
    <row r="11" spans="1:38" s="1" customFormat="1">
      <c r="B11" s="13"/>
      <c r="C11" s="293">
        <v>2009</v>
      </c>
      <c r="D11" s="293">
        <v>2010</v>
      </c>
      <c r="E11" s="293">
        <v>2011</v>
      </c>
      <c r="F11" s="293">
        <v>2012</v>
      </c>
      <c r="G11" s="293">
        <v>2013</v>
      </c>
      <c r="H11" s="365">
        <v>2014</v>
      </c>
      <c r="I11" s="13">
        <v>2015</v>
      </c>
      <c r="J11" s="13">
        <v>2016</v>
      </c>
      <c r="K11" s="13">
        <v>2017</v>
      </c>
      <c r="L11" s="13">
        <v>2018</v>
      </c>
      <c r="M11" s="13">
        <v>2019</v>
      </c>
      <c r="N11" s="176">
        <v>2020</v>
      </c>
      <c r="O11" s="13">
        <v>2021</v>
      </c>
      <c r="P11" s="13">
        <v>2022</v>
      </c>
      <c r="Q11" s="13">
        <v>2023</v>
      </c>
      <c r="R11" s="13">
        <v>2024</v>
      </c>
      <c r="S11" s="13">
        <v>2025</v>
      </c>
      <c r="T11" s="13">
        <v>2026</v>
      </c>
      <c r="U11" s="13">
        <v>2027</v>
      </c>
      <c r="V11" s="13">
        <v>2028</v>
      </c>
      <c r="W11" s="13">
        <v>2029</v>
      </c>
      <c r="X11" s="176">
        <v>2030</v>
      </c>
      <c r="Y11" s="13">
        <v>2031</v>
      </c>
      <c r="Z11" s="13">
        <v>2032</v>
      </c>
      <c r="AA11" s="13">
        <v>2033</v>
      </c>
      <c r="AB11" s="13">
        <v>2034</v>
      </c>
      <c r="AC11" s="13">
        <v>2035</v>
      </c>
      <c r="AD11" s="13">
        <v>2036</v>
      </c>
      <c r="AE11" s="13">
        <v>2037</v>
      </c>
      <c r="AF11" s="13">
        <v>2038</v>
      </c>
      <c r="AG11" s="13">
        <v>2039</v>
      </c>
      <c r="AH11" s="176">
        <v>2040</v>
      </c>
      <c r="AJ11" s="166">
        <v>1.0299073916679518E-2</v>
      </c>
      <c r="AK11" s="167">
        <f>AJ11/2</f>
        <v>5.1495369583397588E-3</v>
      </c>
    </row>
    <row r="12" spans="1:38" s="1" customFormat="1">
      <c r="A12" s="1" t="s">
        <v>62</v>
      </c>
      <c r="B12" s="33"/>
      <c r="C12" s="293"/>
      <c r="D12" s="293"/>
      <c r="E12" s="293"/>
      <c r="F12" s="293"/>
      <c r="G12" s="293"/>
      <c r="H12" s="365"/>
      <c r="I12" s="13"/>
      <c r="J12" s="13"/>
      <c r="K12" s="13"/>
      <c r="L12" s="13"/>
      <c r="M12" s="13"/>
      <c r="N12" s="175"/>
      <c r="O12" s="13"/>
      <c r="P12" s="13"/>
      <c r="Q12" s="13"/>
      <c r="R12" s="13"/>
      <c r="S12" s="13"/>
      <c r="T12" s="13"/>
      <c r="U12" s="13"/>
      <c r="V12" s="13"/>
      <c r="W12" s="13"/>
      <c r="X12" s="176"/>
      <c r="Y12" s="20"/>
      <c r="Z12" s="20"/>
      <c r="AA12" s="20"/>
      <c r="AB12" s="20"/>
      <c r="AC12" s="20"/>
      <c r="AD12" s="20"/>
      <c r="AE12" s="20"/>
      <c r="AF12" s="20"/>
      <c r="AG12" s="20"/>
      <c r="AH12" s="244"/>
    </row>
    <row r="13" spans="1:38" s="20" customFormat="1">
      <c r="A13" s="20" t="s">
        <v>130</v>
      </c>
      <c r="B13" s="33"/>
      <c r="C13" s="295">
        <f>EIA_electricity_aeo2014!E58*1000</f>
        <v>57356</v>
      </c>
      <c r="D13" s="295">
        <f>EIA_electricity_aeo2014!F58*1000</f>
        <v>61000.000000000007</v>
      </c>
      <c r="E13" s="295">
        <f>EIA_electricity_aeo2014!G58*1000</f>
        <v>56822.058070456915</v>
      </c>
      <c r="F13" s="295">
        <f>EIA_electricity_aeo2014!H58*1000</f>
        <v>54205.341801758084</v>
      </c>
      <c r="G13" s="295">
        <f>EIA_electricity_aeo2014!I58*1000</f>
        <v>55244.884482843496</v>
      </c>
      <c r="H13" s="251">
        <f>EIA_electricity_aeo2014!J58*1000</f>
        <v>55647.823217918442</v>
      </c>
      <c r="I13" s="83">
        <f>EIA_electricity_aeo2014!K58*1000</f>
        <v>55928.460836426959</v>
      </c>
      <c r="J13" s="83">
        <f>EIA_electricity_aeo2014!L58*1000</f>
        <v>56905.862337762708</v>
      </c>
      <c r="K13" s="83">
        <f>EIA_electricity_aeo2014!M58*1000</f>
        <v>58358.946900040399</v>
      </c>
      <c r="L13" s="83">
        <f>EIA_electricity_aeo2014!N58*1000</f>
        <v>59225.615908450527</v>
      </c>
      <c r="M13" s="83">
        <f>EIA_electricity_aeo2014!O58*1000</f>
        <v>59803.829549463066</v>
      </c>
      <c r="N13" s="177">
        <f>EIA_electricity_aeo2014!P58*1000</f>
        <v>60210.739896229708</v>
      </c>
      <c r="O13" s="83">
        <f>EIA_electricity_aeo2014!Q58*1000</f>
        <v>60766.876305811551</v>
      </c>
      <c r="P13" s="83">
        <f>EIA_electricity_aeo2014!R58*1000</f>
        <v>61326.572264160073</v>
      </c>
      <c r="Q13" s="83">
        <f>EIA_electricity_aeo2014!S58*1000</f>
        <v>62183.276796755541</v>
      </c>
      <c r="R13" s="83">
        <f>EIA_electricity_aeo2014!T58*1000</f>
        <v>62919.585287056609</v>
      </c>
      <c r="S13" s="83">
        <f>EIA_electricity_aeo2014!U58*1000</f>
        <v>63734.856850632619</v>
      </c>
      <c r="T13" s="83">
        <f>EIA_electricity_aeo2014!V58*1000</f>
        <v>64064.727584321954</v>
      </c>
      <c r="U13" s="83">
        <f>EIA_electricity_aeo2014!W58*1000</f>
        <v>64370.690367506941</v>
      </c>
      <c r="V13" s="83">
        <f>EIA_electricity_aeo2014!X58*1000</f>
        <v>64725.719723987379</v>
      </c>
      <c r="W13" s="83">
        <f>EIA_electricity_aeo2014!Y58*1000</f>
        <v>65256.74803074084</v>
      </c>
      <c r="X13" s="184">
        <f>EIA_electricity_aeo2014!Z58*1000</f>
        <v>65605.334971771066</v>
      </c>
      <c r="Y13" s="174">
        <f>EIA_electricity_aeo2014!AA58*1000</f>
        <v>65748.672270969677</v>
      </c>
      <c r="Z13" s="174">
        <f>EIA_electricity_aeo2014!AB58*1000</f>
        <v>65965.694189121263</v>
      </c>
      <c r="AA13" s="174">
        <f>EIA_electricity_aeo2014!AC58*1000</f>
        <v>66116.146965665699</v>
      </c>
      <c r="AB13" s="174">
        <f>EIA_electricity_aeo2014!AD58*1000</f>
        <v>66324.216294042606</v>
      </c>
      <c r="AC13" s="174">
        <f>EIA_electricity_aeo2014!AE58*1000</f>
        <v>66631.688151844442</v>
      </c>
      <c r="AD13" s="174">
        <f>EIA_electricity_aeo2014!AF58*1000</f>
        <v>66929.737097943915</v>
      </c>
      <c r="AE13" s="174">
        <f>EIA_electricity_aeo2014!AG58*1000</f>
        <v>67353.046055218176</v>
      </c>
      <c r="AF13" s="174">
        <f>EIA_electricity_aeo2014!AH58*1000</f>
        <v>67839.768939544694</v>
      </c>
      <c r="AG13" s="174">
        <f>EIA_electricity_aeo2014!AI58*1000</f>
        <v>68249.989650213116</v>
      </c>
      <c r="AH13" s="184">
        <f>EIA_electricity_aeo2014!AJ58*1000</f>
        <v>68581.943112636218</v>
      </c>
      <c r="AI13" s="115">
        <f>X13/C13-1</f>
        <v>0.14382688771481744</v>
      </c>
      <c r="AJ13" s="165">
        <f>(1+AJ11)^21-1</f>
        <v>0.24007814276920247</v>
      </c>
      <c r="AK13" s="168">
        <f>(1+AK11)^21-1</f>
        <v>0.11389489977934208</v>
      </c>
      <c r="AL13" s="121"/>
    </row>
    <row r="14" spans="1:38" s="20" customFormat="1">
      <c r="A14" s="20" t="s">
        <v>131</v>
      </c>
      <c r="B14" s="33"/>
      <c r="C14" s="295">
        <f>EIA_electricity_aeo2014!E58 * 1000</f>
        <v>57356</v>
      </c>
      <c r="D14" s="295">
        <f>IF(Inputs!$C$7="BAU",'Output -Jobs vs Yr'!D13,C14+($X$14-$C$14)/($X$11-$C$11) )</f>
        <v>61000.000000000007</v>
      </c>
      <c r="E14" s="295">
        <f>IF(Inputs!$C$7="BAU",'Output -Jobs vs Yr'!E13,D14+($X$14-$C$14)/($X$11-$C$11) )</f>
        <v>56822.058070456915</v>
      </c>
      <c r="F14" s="295">
        <f>IF(Inputs!$C$7="BAU",'Output -Jobs vs Yr'!F13,E14+($X$14-$C$14)/($X$11-$C$11) )</f>
        <v>54205.341801758084</v>
      </c>
      <c r="G14" s="295">
        <f>IF(Inputs!$C$7="BAU",'Output -Jobs vs Yr'!G13,F14+($X$14-$C$14)/($X$11-$C$11) )</f>
        <v>55244.884482843496</v>
      </c>
      <c r="H14" s="251">
        <f>EIA_electricity_aeo2014!J58*1000</f>
        <v>55647.823217918442</v>
      </c>
      <c r="I14" s="83">
        <f>IF(Inputs!$C$7="BAU",'Output -Jobs vs Yr'!I13,H14+($X$14-$C$14)/($X$11-$C$11) )</f>
        <v>55928.460836426959</v>
      </c>
      <c r="J14" s="83">
        <f>IF(Inputs!$C$7="BAU",'Output -Jobs vs Yr'!J13,I14+($X$14-$C$14)/($X$11-$C$11) )</f>
        <v>56905.862337762708</v>
      </c>
      <c r="K14" s="83">
        <f>IF(Inputs!$C$7="BAU",'Output -Jobs vs Yr'!K13,J14+($X$14-$C$14)/($X$11-$C$11) )</f>
        <v>58358.946900040399</v>
      </c>
      <c r="L14" s="83">
        <f>IF(Inputs!$C$7="BAU",'Output -Jobs vs Yr'!L13,K14+($X$14-$C$14)/($X$11-$C$11) )</f>
        <v>59225.615908450527</v>
      </c>
      <c r="M14" s="83">
        <f>IF(Inputs!$C$7="BAU",'Output -Jobs vs Yr'!M13,L14+($X$14-$C$14)/($X$11-$C$11) )</f>
        <v>59803.829549463066</v>
      </c>
      <c r="N14" s="177">
        <f>IF(Inputs!$C$7="BAU",'Output -Jobs vs Yr'!N13,M14+($X$14-$C$14)/($X$11-$C$11) )</f>
        <v>60210.739896229708</v>
      </c>
      <c r="O14" s="83">
        <f>IF(Inputs!$C$7="BAU",'Output -Jobs vs Yr'!O13,N14+($X$14-$C$14)/($X$11-$C$11) )</f>
        <v>60766.876305811551</v>
      </c>
      <c r="P14" s="83">
        <f>IF(Inputs!$C$7="BAU",'Output -Jobs vs Yr'!P13,O14+($X$14-$C$14)/($X$11-$C$11) )</f>
        <v>61326.572264160073</v>
      </c>
      <c r="Q14" s="83">
        <f>IF(Inputs!$C$7="BAU",'Output -Jobs vs Yr'!Q13,P14+($X$14-$C$14)/($X$11-$C$11) )</f>
        <v>62183.276796755541</v>
      </c>
      <c r="R14" s="83">
        <f>IF(Inputs!$C$7="BAU",'Output -Jobs vs Yr'!R13,Q14+($X$14-$C$14)/($X$11-$C$11) )</f>
        <v>62919.585287056609</v>
      </c>
      <c r="S14" s="83">
        <f>IF(Inputs!$C$7="BAU",'Output -Jobs vs Yr'!S13,R14+($X$14-$C$14)/($X$11-$C$11) )</f>
        <v>63734.856850632619</v>
      </c>
      <c r="T14" s="83">
        <f>IF(Inputs!$C$7="BAU",'Output -Jobs vs Yr'!T13,S14+($X$14-$C$14)/($X$11-$C$11) )</f>
        <v>64064.727584321954</v>
      </c>
      <c r="U14" s="83">
        <f>IF(Inputs!$C$7="BAU",'Output -Jobs vs Yr'!U13,T14+($X$14-$C$14)/($X$11-$C$11) )</f>
        <v>64370.690367506941</v>
      </c>
      <c r="V14" s="83">
        <f>IF(Inputs!$C$7="BAU",'Output -Jobs vs Yr'!V13,U14+($X$14-$C$14)/($X$11-$C$11) )</f>
        <v>64725.719723987379</v>
      </c>
      <c r="W14" s="83">
        <f>IF(Inputs!$C$7="BAU",'Output -Jobs vs Yr'!W13,V14+($X$14-$C$14)/($X$11-$C$11) )</f>
        <v>65256.74803074084</v>
      </c>
      <c r="X14" s="184">
        <f>IF(Inputs!$C$7="BAU",'Output -Jobs vs Yr'!X13,C14*(1+Inputs!C7) )</f>
        <v>65605.334971771066</v>
      </c>
      <c r="Y14" s="174">
        <f>IF(Inputs!$C$7="BAU",'Output -Jobs vs Yr'!Y13,D14*(1+Inputs!D7) )</f>
        <v>65748.672270969677</v>
      </c>
      <c r="Z14" s="174">
        <f>IF(Inputs!$C$7="BAU",'Output -Jobs vs Yr'!Z13,E14*(1+Inputs!E7) )</f>
        <v>65965.694189121263</v>
      </c>
      <c r="AA14" s="174">
        <f>IF(Inputs!$C$7="BAU",'Output -Jobs vs Yr'!AA13,F14*(1+Inputs!F7) )</f>
        <v>66116.146965665699</v>
      </c>
      <c r="AB14" s="174">
        <f>IF(Inputs!$C$7="BAU",'Output -Jobs vs Yr'!AB13,G14*(1+Inputs!G7) )</f>
        <v>66324.216294042606</v>
      </c>
      <c r="AC14" s="174">
        <f>IF(Inputs!$C$7="BAU",'Output -Jobs vs Yr'!AC13,H14*(1+Inputs!H7) )</f>
        <v>66631.688151844442</v>
      </c>
      <c r="AD14" s="174">
        <f>IF(Inputs!$C$7="BAU",'Output -Jobs vs Yr'!AD13,I14*(1+Inputs!L7) )</f>
        <v>66929.737097943915</v>
      </c>
      <c r="AE14" s="174">
        <f>IF(Inputs!$C$7="BAU",'Output -Jobs vs Yr'!AE13,J14*(1+Inputs!M7) )</f>
        <v>67353.046055218176</v>
      </c>
      <c r="AF14" s="174">
        <f>IF(Inputs!$C$7="BAU",'Output -Jobs vs Yr'!AF13,K14*(1+Inputs!N7) )</f>
        <v>67839.768939544694</v>
      </c>
      <c r="AG14" s="174">
        <f>IF(Inputs!$C$7="BAU",'Output -Jobs vs Yr'!AG13,L14*(1+Inputs!O7) )</f>
        <v>68249.989650213116</v>
      </c>
      <c r="AH14" s="184">
        <f>IF(Inputs!$C$7="BAU",'Output -Jobs vs Yr'!AH13,M14*(1+Inputs!P7) )</f>
        <v>68581.943112636218</v>
      </c>
      <c r="AI14" s="99"/>
      <c r="AJ14" s="165" t="s">
        <v>0</v>
      </c>
      <c r="AK14" s="30" t="s">
        <v>0</v>
      </c>
      <c r="AL14" s="121"/>
    </row>
    <row r="15" spans="1:38" s="20" customFormat="1">
      <c r="A15" s="20" t="s">
        <v>208</v>
      </c>
      <c r="B15" s="33"/>
      <c r="C15" s="295">
        <f>C14-C13</f>
        <v>0</v>
      </c>
      <c r="D15" s="295">
        <f>D13-D14</f>
        <v>0</v>
      </c>
      <c r="E15" s="295">
        <f t="shared" ref="E15:AH15" si="0">E13-E14</f>
        <v>0</v>
      </c>
      <c r="F15" s="295">
        <f t="shared" si="0"/>
        <v>0</v>
      </c>
      <c r="G15" s="295">
        <f t="shared" si="0"/>
        <v>0</v>
      </c>
      <c r="H15" s="251">
        <f t="shared" si="0"/>
        <v>0</v>
      </c>
      <c r="I15" s="83">
        <f t="shared" si="0"/>
        <v>0</v>
      </c>
      <c r="J15" s="83">
        <f t="shared" si="0"/>
        <v>0</v>
      </c>
      <c r="K15" s="83">
        <f t="shared" si="0"/>
        <v>0</v>
      </c>
      <c r="L15" s="83">
        <f t="shared" si="0"/>
        <v>0</v>
      </c>
      <c r="M15" s="83">
        <f t="shared" si="0"/>
        <v>0</v>
      </c>
      <c r="N15" s="177">
        <f t="shared" si="0"/>
        <v>0</v>
      </c>
      <c r="O15" s="83">
        <f t="shared" si="0"/>
        <v>0</v>
      </c>
      <c r="P15" s="83">
        <f t="shared" si="0"/>
        <v>0</v>
      </c>
      <c r="Q15" s="83">
        <f t="shared" si="0"/>
        <v>0</v>
      </c>
      <c r="R15" s="83">
        <f t="shared" si="0"/>
        <v>0</v>
      </c>
      <c r="S15" s="83">
        <f t="shared" si="0"/>
        <v>0</v>
      </c>
      <c r="T15" s="83">
        <f t="shared" si="0"/>
        <v>0</v>
      </c>
      <c r="U15" s="83">
        <f t="shared" si="0"/>
        <v>0</v>
      </c>
      <c r="V15" s="83">
        <f t="shared" si="0"/>
        <v>0</v>
      </c>
      <c r="W15" s="83">
        <f t="shared" si="0"/>
        <v>0</v>
      </c>
      <c r="X15" s="184">
        <f t="shared" si="0"/>
        <v>0</v>
      </c>
      <c r="Y15" s="174">
        <f t="shared" si="0"/>
        <v>0</v>
      </c>
      <c r="Z15" s="174">
        <f t="shared" si="0"/>
        <v>0</v>
      </c>
      <c r="AA15" s="174">
        <f t="shared" si="0"/>
        <v>0</v>
      </c>
      <c r="AB15" s="174">
        <f t="shared" si="0"/>
        <v>0</v>
      </c>
      <c r="AC15" s="174">
        <f t="shared" si="0"/>
        <v>0</v>
      </c>
      <c r="AD15" s="174">
        <f t="shared" si="0"/>
        <v>0</v>
      </c>
      <c r="AE15" s="174">
        <f t="shared" si="0"/>
        <v>0</v>
      </c>
      <c r="AF15" s="174">
        <f t="shared" si="0"/>
        <v>0</v>
      </c>
      <c r="AG15" s="174">
        <f t="shared" si="0"/>
        <v>0</v>
      </c>
      <c r="AH15" s="184">
        <f t="shared" si="0"/>
        <v>0</v>
      </c>
      <c r="AI15" s="120"/>
      <c r="AJ15" s="122"/>
      <c r="AK15" s="30"/>
      <c r="AL15" s="123"/>
    </row>
    <row r="16" spans="1:38" s="344" customFormat="1">
      <c r="A16" s="344" t="s">
        <v>123</v>
      </c>
      <c r="B16" s="345"/>
      <c r="C16" s="346">
        <f t="shared" ref="C16:M16" si="1">C95</f>
        <v>2.7251028663086693E-2</v>
      </c>
      <c r="D16" s="346">
        <f t="shared" si="1"/>
        <v>3.2688004295892602E-2</v>
      </c>
      <c r="E16" s="346">
        <f t="shared" si="1"/>
        <v>3.9591833920952509E-2</v>
      </c>
      <c r="F16" s="346">
        <f t="shared" si="1"/>
        <v>4.7396057740023173E-2</v>
      </c>
      <c r="G16" s="346">
        <f t="shared" si="1"/>
        <v>5.6433194626858571E-2</v>
      </c>
      <c r="H16" s="346">
        <f t="shared" si="1"/>
        <v>3.3648460158122236E-2</v>
      </c>
      <c r="I16" s="346">
        <f t="shared" si="1"/>
        <v>4.035970757363478E-2</v>
      </c>
      <c r="J16" s="346">
        <f t="shared" si="1"/>
        <v>4.8404489536969741E-2</v>
      </c>
      <c r="K16" s="346">
        <f t="shared" si="1"/>
        <v>5.8049006569756971E-2</v>
      </c>
      <c r="L16" s="346">
        <f t="shared" si="1"/>
        <v>6.9614043205159459E-2</v>
      </c>
      <c r="M16" s="346">
        <f t="shared" si="1"/>
        <v>8.3483071598326186E-2</v>
      </c>
      <c r="N16" s="346">
        <f>Inputs!C11</f>
        <v>0.1</v>
      </c>
      <c r="O16" s="346">
        <f t="shared" ref="O16:W16" si="2">O95</f>
        <v>0.10355362008327593</v>
      </c>
      <c r="P16" s="346">
        <f t="shared" si="2"/>
        <v>0.10710779288048715</v>
      </c>
      <c r="Q16" s="346">
        <f t="shared" si="2"/>
        <v>0.11078202650317198</v>
      </c>
      <c r="R16" s="346">
        <f t="shared" si="2"/>
        <v>0.11458146191299785</v>
      </c>
      <c r="S16" s="346">
        <f t="shared" si="2"/>
        <v>0.11850987568006974</v>
      </c>
      <c r="T16" s="346">
        <f t="shared" si="2"/>
        <v>0.12257344424777807</v>
      </c>
      <c r="U16" s="346">
        <f t="shared" si="2"/>
        <v>0.12677549668061852</v>
      </c>
      <c r="V16" s="346">
        <f t="shared" si="2"/>
        <v>0.13112052979413499</v>
      </c>
      <c r="W16" s="346">
        <f t="shared" si="2"/>
        <v>0.13561294213976996</v>
      </c>
      <c r="X16" s="347">
        <f>Inputs!C12</f>
        <v>0.14000000000000001</v>
      </c>
      <c r="Y16" s="348">
        <f>Y95</f>
        <v>0.14535733917439594</v>
      </c>
      <c r="Z16" s="348">
        <f t="shared" ref="Z16:AG16" si="3">Z95</f>
        <v>0.15063975783078595</v>
      </c>
      <c r="AA16" s="348">
        <f t="shared" si="3"/>
        <v>0.15611368050043961</v>
      </c>
      <c r="AB16" s="348">
        <f t="shared" si="3"/>
        <v>0.16178550152205678</v>
      </c>
      <c r="AC16" s="348">
        <f t="shared" si="3"/>
        <v>0.16766217854135576</v>
      </c>
      <c r="AD16" s="348">
        <f t="shared" si="3"/>
        <v>0.17375167683774717</v>
      </c>
      <c r="AE16" s="348">
        <f t="shared" si="3"/>
        <v>0.18006101968099519</v>
      </c>
      <c r="AF16" s="348">
        <f t="shared" si="3"/>
        <v>0.18659849842506029</v>
      </c>
      <c r="AG16" s="348">
        <f t="shared" si="3"/>
        <v>0.19337317146268543</v>
      </c>
      <c r="AH16" s="347">
        <f>Inputs!C13</f>
        <v>0.2</v>
      </c>
      <c r="AI16" s="349" t="s">
        <v>0</v>
      </c>
      <c r="AJ16" s="350"/>
      <c r="AK16" s="351"/>
      <c r="AL16" s="352"/>
    </row>
    <row r="17" spans="1:37" s="246" customFormat="1">
      <c r="A17" s="246" t="s">
        <v>115</v>
      </c>
      <c r="B17" s="247"/>
      <c r="C17" s="302"/>
      <c r="D17" s="297">
        <f>D16/C16-1</f>
        <v>0.19951451007684895</v>
      </c>
      <c r="E17" s="297">
        <f t="shared" ref="E17:M17" si="4">E16/D16-1</f>
        <v>0.21120376645102823</v>
      </c>
      <c r="F17" s="297">
        <f t="shared" si="4"/>
        <v>0.19711700737713422</v>
      </c>
      <c r="G17" s="297">
        <f t="shared" si="4"/>
        <v>0.19067275460769118</v>
      </c>
      <c r="H17" s="249"/>
      <c r="I17" s="249">
        <f t="shared" si="4"/>
        <v>0.19945184367946633</v>
      </c>
      <c r="J17" s="249">
        <f t="shared" si="4"/>
        <v>0.19932706273100598</v>
      </c>
      <c r="K17" s="249">
        <f t="shared" si="4"/>
        <v>0.19924839875485234</v>
      </c>
      <c r="L17" s="249">
        <f t="shared" si="4"/>
        <v>0.19922884677629904</v>
      </c>
      <c r="M17" s="249">
        <f t="shared" si="4"/>
        <v>0.19922745116661789</v>
      </c>
      <c r="N17" s="249">
        <f>N16/M16-1</f>
        <v>0.19784763647825554</v>
      </c>
      <c r="O17" s="249">
        <f>O16/N16-1</f>
        <v>3.5536200832759102E-2</v>
      </c>
      <c r="P17" s="249">
        <f t="shared" ref="P17:X17" si="5">P16/O16-1</f>
        <v>3.4322052617310916E-2</v>
      </c>
      <c r="Q17" s="249">
        <f t="shared" si="5"/>
        <v>3.4304073717442929E-2</v>
      </c>
      <c r="R17" s="249">
        <f t="shared" si="5"/>
        <v>3.4296496731056614E-2</v>
      </c>
      <c r="S17" s="249">
        <f t="shared" si="5"/>
        <v>3.4284898285332988E-2</v>
      </c>
      <c r="T17" s="249">
        <f t="shared" si="5"/>
        <v>3.4288860269150678E-2</v>
      </c>
      <c r="U17" s="249">
        <f t="shared" si="5"/>
        <v>3.4281915292729614E-2</v>
      </c>
      <c r="V17" s="249">
        <f t="shared" si="5"/>
        <v>3.4273445794203994E-2</v>
      </c>
      <c r="W17" s="249">
        <f t="shared" si="5"/>
        <v>3.4261700686294194E-2</v>
      </c>
      <c r="X17" s="248">
        <f t="shared" si="5"/>
        <v>3.2349846489640566E-2</v>
      </c>
      <c r="Y17" s="253">
        <v>2.9000000000000001E-2</v>
      </c>
      <c r="Z17" s="253">
        <v>2.9000000000000001E-2</v>
      </c>
      <c r="AA17" s="253">
        <v>2.9000000000000001E-2</v>
      </c>
      <c r="AB17" s="253">
        <v>2.9000000000000001E-2</v>
      </c>
      <c r="AC17" s="253">
        <v>2.9000000000000001E-2</v>
      </c>
      <c r="AD17" s="253">
        <v>2.9000000000000001E-2</v>
      </c>
      <c r="AE17" s="253">
        <v>2.9000000000000001E-2</v>
      </c>
      <c r="AF17" s="253">
        <v>2.9000000000000001E-2</v>
      </c>
      <c r="AG17" s="253">
        <v>2.9000000000000001E-2</v>
      </c>
      <c r="AH17" s="337">
        <v>2.9000000000000001E-2</v>
      </c>
    </row>
    <row r="18" spans="1:37" s="20" customFormat="1">
      <c r="A18" s="20" t="s">
        <v>135</v>
      </c>
      <c r="B18" s="33"/>
      <c r="C18" s="297">
        <f>C32/C14</f>
        <v>0.26448845805146803</v>
      </c>
      <c r="D18" s="297">
        <f t="shared" ref="D18:G18" si="6">($N$18-$C$18)/($N$11-$C$11)+C18</f>
        <v>0.26668735587560538</v>
      </c>
      <c r="E18" s="297">
        <f t="shared" si="6"/>
        <v>0.26888625369974273</v>
      </c>
      <c r="F18" s="297">
        <f t="shared" si="6"/>
        <v>0.27108515152388007</v>
      </c>
      <c r="G18" s="297">
        <f t="shared" si="6"/>
        <v>0.27328404934801742</v>
      </c>
      <c r="H18" s="249">
        <f>H32/H14</f>
        <v>0.26841509802431257</v>
      </c>
      <c r="I18" s="172">
        <f>($N$18-$H$18)/($N$11-$H$11)+H18</f>
        <v>0.27179197070642364</v>
      </c>
      <c r="J18" s="172">
        <f t="shared" ref="J18:M18" si="7">($N$18-$H$18)/($N$11-$H$11)+I18</f>
        <v>0.2751688433885347</v>
      </c>
      <c r="K18" s="172">
        <f t="shared" si="7"/>
        <v>0.27854571607064577</v>
      </c>
      <c r="L18" s="172">
        <f t="shared" si="7"/>
        <v>0.28192258875275683</v>
      </c>
      <c r="M18" s="172">
        <f t="shared" si="7"/>
        <v>0.2852994614348679</v>
      </c>
      <c r="N18" s="180">
        <f>Inputs!C36</f>
        <v>0.28867633411697907</v>
      </c>
      <c r="O18" s="91">
        <f t="shared" ref="O18:W18" si="8">($X$18-$N$18)/($X$11-$N$11)+N18</f>
        <v>0.28648042476514152</v>
      </c>
      <c r="P18" s="91">
        <f t="shared" si="8"/>
        <v>0.28428451541330396</v>
      </c>
      <c r="Q18" s="91">
        <f t="shared" si="8"/>
        <v>0.28208860606146641</v>
      </c>
      <c r="R18" s="91">
        <f t="shared" si="8"/>
        <v>0.27989269670962885</v>
      </c>
      <c r="S18" s="22">
        <f t="shared" si="8"/>
        <v>0.2776967873577913</v>
      </c>
      <c r="T18" s="91">
        <f t="shared" si="8"/>
        <v>0.27550087800595374</v>
      </c>
      <c r="U18" s="91">
        <f t="shared" si="8"/>
        <v>0.27330496865411619</v>
      </c>
      <c r="V18" s="91">
        <f t="shared" si="8"/>
        <v>0.27110905930227863</v>
      </c>
      <c r="W18" s="91">
        <f t="shared" si="8"/>
        <v>0.26891314995044108</v>
      </c>
      <c r="X18" s="185">
        <f>Inputs!F36</f>
        <v>0.2667172405986033</v>
      </c>
      <c r="Y18" s="172">
        <f>($AH$18-$X$18)/($AH$11-$X$11)+X18</f>
        <v>0.2656395178382368</v>
      </c>
      <c r="Z18" s="172">
        <f t="shared" ref="Z18:AG18" si="9">($AH$18-$X$18)/($AH$11-$X$11)+Y18</f>
        <v>0.26456179507787031</v>
      </c>
      <c r="AA18" s="172">
        <f t="shared" si="9"/>
        <v>0.26348407231750381</v>
      </c>
      <c r="AB18" s="172">
        <f t="shared" si="9"/>
        <v>0.26240634955713732</v>
      </c>
      <c r="AC18" s="172">
        <f t="shared" si="9"/>
        <v>0.26132862679677082</v>
      </c>
      <c r="AD18" s="172">
        <f t="shared" si="9"/>
        <v>0.26025090403640433</v>
      </c>
      <c r="AE18" s="172">
        <f t="shared" si="9"/>
        <v>0.25917318127603783</v>
      </c>
      <c r="AF18" s="172">
        <f t="shared" si="9"/>
        <v>0.25809545851567134</v>
      </c>
      <c r="AG18" s="172">
        <f t="shared" si="9"/>
        <v>0.25701773575530484</v>
      </c>
      <c r="AH18" s="185">
        <f>Inputs!H36</f>
        <v>0.25594001299493813</v>
      </c>
      <c r="AK18"/>
    </row>
    <row r="19" spans="1:37" s="246" customFormat="1">
      <c r="A19" s="246" t="s">
        <v>114</v>
      </c>
      <c r="B19" s="250"/>
      <c r="C19" s="295">
        <f t="shared" ref="C19:AH19" si="10">C16*C14</f>
        <v>1563.0100000000004</v>
      </c>
      <c r="D19" s="295">
        <f t="shared" si="10"/>
        <v>1993.9682620494489</v>
      </c>
      <c r="E19" s="295">
        <f t="shared" si="10"/>
        <v>2249.6894861722494</v>
      </c>
      <c r="F19" s="295">
        <f t="shared" si="10"/>
        <v>2569.1195098538178</v>
      </c>
      <c r="G19" s="295">
        <f t="shared" si="10"/>
        <v>3117.6453181586262</v>
      </c>
      <c r="H19" s="251">
        <f t="shared" si="10"/>
        <v>1872.4635624343582</v>
      </c>
      <c r="I19" s="251">
        <f t="shared" si="10"/>
        <v>2257.2563244016774</v>
      </c>
      <c r="J19" s="251">
        <f t="shared" si="10"/>
        <v>2754.4992181204757</v>
      </c>
      <c r="K19" s="251">
        <f t="shared" si="10"/>
        <v>3387.6788920045433</v>
      </c>
      <c r="L19" s="251">
        <f t="shared" si="10"/>
        <v>4122.9345847030545</v>
      </c>
      <c r="M19" s="251">
        <f t="shared" si="10"/>
        <v>4992.6073841319203</v>
      </c>
      <c r="N19" s="252">
        <f t="shared" si="10"/>
        <v>6021.0739896229716</v>
      </c>
      <c r="O19" s="251">
        <f t="shared" si="10"/>
        <v>6292.6300226194307</v>
      </c>
      <c r="P19" s="251">
        <f t="shared" si="10"/>
        <v>6568.5538001398845</v>
      </c>
      <c r="Q19" s="251">
        <f t="shared" si="10"/>
        <v>6888.7894181522515</v>
      </c>
      <c r="R19" s="251">
        <f t="shared" si="10"/>
        <v>7209.4180651504967</v>
      </c>
      <c r="S19" s="251">
        <f t="shared" si="10"/>
        <v>7553.209961855513</v>
      </c>
      <c r="T19" s="251">
        <f t="shared" si="10"/>
        <v>7852.6343148059768</v>
      </c>
      <c r="U19" s="251">
        <f t="shared" si="10"/>
        <v>8160.6262430149991</v>
      </c>
      <c r="V19" s="251">
        <f t="shared" si="10"/>
        <v>8486.8706615159172</v>
      </c>
      <c r="W19" s="251">
        <f t="shared" si="10"/>
        <v>8849.6595949224047</v>
      </c>
      <c r="X19" s="252">
        <f>Inputs!C12*'Output -Jobs vs Yr'!X14</f>
        <v>9184.7468960479509</v>
      </c>
      <c r="Y19" s="251">
        <f t="shared" si="10"/>
        <v>9557.0520555575404</v>
      </c>
      <c r="Z19" s="251">
        <f t="shared" si="10"/>
        <v>9937.056197788912</v>
      </c>
      <c r="AA19" s="251">
        <f t="shared" si="10"/>
        <v>10321.635043318045</v>
      </c>
      <c r="AB19" s="251">
        <f t="shared" si="10"/>
        <v>10730.296596189053</v>
      </c>
      <c r="AC19" s="251">
        <f t="shared" si="10"/>
        <v>11171.613995426482</v>
      </c>
      <c r="AD19" s="251">
        <f t="shared" si="10"/>
        <v>11629.154051077328</v>
      </c>
      <c r="AE19" s="251">
        <f t="shared" si="10"/>
        <v>12127.658151323616</v>
      </c>
      <c r="AF19" s="251">
        <f t="shared" si="10"/>
        <v>12658.799017622085</v>
      </c>
      <c r="AG19" s="251">
        <f t="shared" si="10"/>
        <v>13197.716950957167</v>
      </c>
      <c r="AH19" s="252">
        <f t="shared" si="10"/>
        <v>13716.388622527244</v>
      </c>
    </row>
    <row r="20" spans="1:37" s="20" customFormat="1">
      <c r="A20" s="20" t="s">
        <v>211</v>
      </c>
      <c r="B20" s="33"/>
      <c r="C20" s="295">
        <f>'Output - Jobs vs Yr (BAU)'!C18</f>
        <v>1563.01</v>
      </c>
      <c r="D20" s="295">
        <f>'Output - Jobs vs Yr (BAU)'!D18</f>
        <v>1605.01</v>
      </c>
      <c r="E20" s="295">
        <f>'Output - Jobs vs Yr (BAU)'!E18</f>
        <v>1712.2652162163017</v>
      </c>
      <c r="F20" s="295">
        <f>'Output - Jobs vs Yr (BAU)'!F18</f>
        <v>1658.1007846091748</v>
      </c>
      <c r="G20" s="295">
        <f>'Output - Jobs vs Yr (BAU)'!G18</f>
        <v>1816.416601187587</v>
      </c>
      <c r="H20" s="251">
        <f>'Output - Jobs vs Yr (BAU)'!H18</f>
        <v>1871.4635624343578</v>
      </c>
      <c r="I20" s="83">
        <f>'Output - Jobs vs Yr (BAU)'!I18</f>
        <v>1932.89554979434</v>
      </c>
      <c r="J20" s="83">
        <f>'Output - Jobs vs Yr (BAU)'!J18</f>
        <v>2051.237649968893</v>
      </c>
      <c r="K20" s="83">
        <f>'Output - Jobs vs Yr (BAU)'!K18</f>
        <v>2219.535578740893</v>
      </c>
      <c r="L20" s="83">
        <f>'Output - Jobs vs Yr (BAU)'!L18</f>
        <v>2315.9953964414881</v>
      </c>
      <c r="M20" s="83">
        <f>'Output - Jobs vs Yr (BAU)'!M18</f>
        <v>2406.0234766338599</v>
      </c>
      <c r="N20" s="177">
        <f>'Output - Jobs vs Yr (BAU)'!N18</f>
        <v>2521.1533439237546</v>
      </c>
      <c r="O20" s="83">
        <f>'Output - Jobs vs Yr (BAU)'!O18</f>
        <v>2698.8701187483211</v>
      </c>
      <c r="P20" s="83">
        <f>'Output - Jobs vs Yr (BAU)'!P18</f>
        <v>2819.8598001071641</v>
      </c>
      <c r="Q20" s="83">
        <f>'Output - Jobs vs Yr (BAU)'!Q18</f>
        <v>3165.1616297039336</v>
      </c>
      <c r="R20" s="83">
        <f>'Output - Jobs vs Yr (BAU)'!R18</f>
        <v>3299.9001376931442</v>
      </c>
      <c r="S20" s="83">
        <f>'Output - Jobs vs Yr (BAU)'!S18</f>
        <v>3718.241807055691</v>
      </c>
      <c r="T20" s="83">
        <f>'Output - Jobs vs Yr (BAU)'!T18</f>
        <v>3840.0502889523959</v>
      </c>
      <c r="U20" s="83">
        <f>'Output - Jobs vs Yr (BAU)'!U18</f>
        <v>3924.4142325590019</v>
      </c>
      <c r="V20" s="83">
        <f>'Output - Jobs vs Yr (BAU)'!V18</f>
        <v>4002.455841774271</v>
      </c>
      <c r="W20" s="83">
        <f>'Output - Jobs vs Yr (BAU)'!W18</f>
        <v>4474.9554870763723</v>
      </c>
      <c r="X20" s="184">
        <f>'Output - Jobs vs Yr (BAU)'!X18</f>
        <v>4546.5975927957661</v>
      </c>
      <c r="Y20" s="174">
        <f>'Output - Jobs vs Yr (BAU)'!Y18</f>
        <v>4606.6083448957888</v>
      </c>
      <c r="Z20" s="174">
        <f>'Output - Jobs vs Yr (BAU)'!Z18</f>
        <v>4652.0703781213915</v>
      </c>
      <c r="AA20" s="174">
        <f>'Output - Jobs vs Yr (BAU)'!AA18</f>
        <v>4713.0481115576385</v>
      </c>
      <c r="AB20" s="174">
        <f>'Output - Jobs vs Yr (BAU)'!AB18</f>
        <v>4783.3726706746038</v>
      </c>
      <c r="AC20" s="174">
        <f>'Output - Jobs vs Yr (BAU)'!AC18</f>
        <v>4842.5918675043458</v>
      </c>
      <c r="AD20" s="174">
        <f>'Output - Jobs vs Yr (BAU)'!AD18</f>
        <v>4925.0541041629049</v>
      </c>
      <c r="AE20" s="174">
        <f>'Output - Jobs vs Yr (BAU)'!AE18</f>
        <v>5015.3658718558909</v>
      </c>
      <c r="AF20" s="174">
        <f>'Output - Jobs vs Yr (BAU)'!AF18</f>
        <v>5117.9130917708635</v>
      </c>
      <c r="AG20" s="174">
        <f>'Output - Jobs vs Yr (BAU)'!AG18</f>
        <v>5224.7266429734609</v>
      </c>
      <c r="AH20" s="184">
        <f>'Output - Jobs vs Yr (BAU)'!AH18</f>
        <v>5320.6698579406375</v>
      </c>
    </row>
    <row r="21" spans="1:37" s="20" customFormat="1">
      <c r="A21" s="20" t="s">
        <v>116</v>
      </c>
      <c r="B21" s="33"/>
      <c r="C21" s="295">
        <f t="shared" ref="C21:AH21" si="11">MAX(C19:C20)</f>
        <v>1563.0100000000004</v>
      </c>
      <c r="D21" s="295">
        <f t="shared" si="11"/>
        <v>1993.9682620494489</v>
      </c>
      <c r="E21" s="295">
        <f t="shared" si="11"/>
        <v>2249.6894861722494</v>
      </c>
      <c r="F21" s="295">
        <f t="shared" si="11"/>
        <v>2569.1195098538178</v>
      </c>
      <c r="G21" s="295">
        <f t="shared" si="11"/>
        <v>3117.6453181586262</v>
      </c>
      <c r="H21" s="251">
        <f t="shared" si="11"/>
        <v>1872.4635624343582</v>
      </c>
      <c r="I21" s="83">
        <f t="shared" si="11"/>
        <v>2257.2563244016774</v>
      </c>
      <c r="J21" s="83">
        <f t="shared" si="11"/>
        <v>2754.4992181204757</v>
      </c>
      <c r="K21" s="83">
        <f t="shared" si="11"/>
        <v>3387.6788920045433</v>
      </c>
      <c r="L21" s="83">
        <f t="shared" si="11"/>
        <v>4122.9345847030545</v>
      </c>
      <c r="M21" s="83">
        <f t="shared" si="11"/>
        <v>4992.6073841319203</v>
      </c>
      <c r="N21" s="177">
        <f t="shared" si="11"/>
        <v>6021.0739896229716</v>
      </c>
      <c r="O21" s="83">
        <f t="shared" si="11"/>
        <v>6292.6300226194307</v>
      </c>
      <c r="P21" s="83">
        <f t="shared" si="11"/>
        <v>6568.5538001398845</v>
      </c>
      <c r="Q21" s="83">
        <f t="shared" si="11"/>
        <v>6888.7894181522515</v>
      </c>
      <c r="R21" s="83">
        <f t="shared" si="11"/>
        <v>7209.4180651504967</v>
      </c>
      <c r="S21" s="83">
        <f t="shared" si="11"/>
        <v>7553.209961855513</v>
      </c>
      <c r="T21" s="83">
        <f t="shared" si="11"/>
        <v>7852.6343148059768</v>
      </c>
      <c r="U21" s="83">
        <f t="shared" si="11"/>
        <v>8160.6262430149991</v>
      </c>
      <c r="V21" s="83">
        <f t="shared" si="11"/>
        <v>8486.8706615159172</v>
      </c>
      <c r="W21" s="83">
        <f t="shared" si="11"/>
        <v>8849.6595949224047</v>
      </c>
      <c r="X21" s="184">
        <f t="shared" si="11"/>
        <v>9184.7468960479509</v>
      </c>
      <c r="Y21" s="174">
        <f t="shared" si="11"/>
        <v>9557.0520555575404</v>
      </c>
      <c r="Z21" s="174">
        <f t="shared" si="11"/>
        <v>9937.056197788912</v>
      </c>
      <c r="AA21" s="174">
        <f t="shared" si="11"/>
        <v>10321.635043318045</v>
      </c>
      <c r="AB21" s="174">
        <f t="shared" si="11"/>
        <v>10730.296596189053</v>
      </c>
      <c r="AC21" s="174">
        <f t="shared" si="11"/>
        <v>11171.613995426482</v>
      </c>
      <c r="AD21" s="174">
        <f t="shared" si="11"/>
        <v>11629.154051077328</v>
      </c>
      <c r="AE21" s="174">
        <f t="shared" si="11"/>
        <v>12127.658151323616</v>
      </c>
      <c r="AF21" s="174">
        <f t="shared" si="11"/>
        <v>12658.799017622085</v>
      </c>
      <c r="AG21" s="174">
        <f t="shared" si="11"/>
        <v>13197.716950957167</v>
      </c>
      <c r="AH21" s="184">
        <f t="shared" si="11"/>
        <v>13716.388622527244</v>
      </c>
      <c r="AI21" s="99"/>
    </row>
    <row r="22" spans="1:37" s="20" customFormat="1">
      <c r="A22" s="20" t="s">
        <v>379</v>
      </c>
      <c r="B22" s="33"/>
      <c r="C22" s="295" t="s">
        <v>0</v>
      </c>
      <c r="D22" s="295"/>
      <c r="E22" s="295"/>
      <c r="F22" s="295"/>
      <c r="G22" s="295"/>
      <c r="H22" s="251"/>
      <c r="I22" s="83"/>
      <c r="J22" s="83"/>
      <c r="K22" s="83"/>
      <c r="L22" s="83"/>
      <c r="M22" s="83"/>
      <c r="N22" s="177"/>
      <c r="O22" s="83"/>
      <c r="P22" s="83"/>
      <c r="Q22" s="83"/>
      <c r="R22" s="83"/>
      <c r="S22" s="83"/>
      <c r="T22" s="83"/>
      <c r="U22" s="83"/>
      <c r="V22" s="83"/>
      <c r="W22" s="173" t="s">
        <v>0</v>
      </c>
      <c r="X22" s="184"/>
      <c r="Y22"/>
      <c r="Z22"/>
      <c r="AA22"/>
      <c r="AB22"/>
      <c r="AC22"/>
      <c r="AD22"/>
      <c r="AE22"/>
      <c r="AF22"/>
      <c r="AG22"/>
      <c r="AH22" s="245"/>
      <c r="AI22" s="99"/>
    </row>
    <row r="23" spans="1:37" s="20" customFormat="1">
      <c r="A23" t="s">
        <v>538</v>
      </c>
      <c r="B23" s="33"/>
      <c r="C23" s="295">
        <v>0</v>
      </c>
      <c r="D23" s="297">
        <f t="shared" ref="D23:G23" si="12">C23+($N$23-$C$23)/($N$11-$C$11)</f>
        <v>0</v>
      </c>
      <c r="E23" s="297">
        <f t="shared" si="12"/>
        <v>0</v>
      </c>
      <c r="F23" s="297">
        <f t="shared" si="12"/>
        <v>0</v>
      </c>
      <c r="G23" s="297">
        <f t="shared" si="12"/>
        <v>0</v>
      </c>
      <c r="H23" s="251">
        <v>0</v>
      </c>
      <c r="I23" s="91">
        <f>H23+($N$23-$H$23)/($N$11-$H$11)</f>
        <v>0</v>
      </c>
      <c r="J23" s="172">
        <f t="shared" ref="J23:M23" si="13">I23+($N$23-$H$23)/($N$11-$H$11)</f>
        <v>0</v>
      </c>
      <c r="K23" s="172">
        <f t="shared" si="13"/>
        <v>0</v>
      </c>
      <c r="L23" s="172">
        <f t="shared" si="13"/>
        <v>0</v>
      </c>
      <c r="M23" s="172">
        <f t="shared" si="13"/>
        <v>0</v>
      </c>
      <c r="N23" s="180">
        <f>Inputs!C34</f>
        <v>0</v>
      </c>
      <c r="O23" s="172">
        <f>N23+($X$23-$N$23)/($X$11-$N$11)</f>
        <v>0</v>
      </c>
      <c r="P23" s="172">
        <f t="shared" ref="P23:W23" si="14">O23+($X$23-$N$23)/($X$11-$N$11)</f>
        <v>0</v>
      </c>
      <c r="Q23" s="172">
        <f t="shared" si="14"/>
        <v>0</v>
      </c>
      <c r="R23" s="172">
        <f t="shared" si="14"/>
        <v>0</v>
      </c>
      <c r="S23" s="172">
        <f t="shared" si="14"/>
        <v>0</v>
      </c>
      <c r="T23" s="172">
        <f t="shared" si="14"/>
        <v>0</v>
      </c>
      <c r="U23" s="172">
        <f t="shared" si="14"/>
        <v>0</v>
      </c>
      <c r="V23" s="172">
        <f t="shared" si="14"/>
        <v>0</v>
      </c>
      <c r="W23" s="172">
        <f t="shared" si="14"/>
        <v>0</v>
      </c>
      <c r="X23" s="185">
        <f>Inputs!F34</f>
        <v>0</v>
      </c>
      <c r="Y23" s="172">
        <f>X23+($AH$23-$X$23)/($AH$11-$X$11)</f>
        <v>0</v>
      </c>
      <c r="Z23" s="172">
        <f t="shared" ref="Z23:AG23" si="15">Y23+($AH$23-$X$23)/($AH$11-$X$11)</f>
        <v>0</v>
      </c>
      <c r="AA23" s="172">
        <f t="shared" si="15"/>
        <v>0</v>
      </c>
      <c r="AB23" s="172">
        <f t="shared" si="15"/>
        <v>0</v>
      </c>
      <c r="AC23" s="172">
        <f t="shared" si="15"/>
        <v>0</v>
      </c>
      <c r="AD23" s="172">
        <f t="shared" si="15"/>
        <v>0</v>
      </c>
      <c r="AE23" s="172">
        <f t="shared" si="15"/>
        <v>0</v>
      </c>
      <c r="AF23" s="172">
        <f t="shared" si="15"/>
        <v>0</v>
      </c>
      <c r="AG23" s="172">
        <f t="shared" si="15"/>
        <v>0</v>
      </c>
      <c r="AH23" s="185">
        <f>Inputs!H34</f>
        <v>0</v>
      </c>
      <c r="AI23" s="99"/>
    </row>
    <row r="24" spans="1:37" s="20" customFormat="1">
      <c r="A24" t="s">
        <v>539</v>
      </c>
      <c r="B24" s="33"/>
      <c r="C24" s="295">
        <v>0</v>
      </c>
      <c r="D24" s="297">
        <f t="shared" ref="D24:G24" si="16">C24+($N$24-$C$24)/($N$11-$C$11)</f>
        <v>0</v>
      </c>
      <c r="E24" s="297">
        <f t="shared" si="16"/>
        <v>0</v>
      </c>
      <c r="F24" s="297">
        <f t="shared" si="16"/>
        <v>0</v>
      </c>
      <c r="G24" s="297">
        <f t="shared" si="16"/>
        <v>0</v>
      </c>
      <c r="H24" s="109">
        <v>0</v>
      </c>
      <c r="I24" s="172">
        <f>H24+($N$24-$H$24)/($N$11-$H$11)</f>
        <v>0</v>
      </c>
      <c r="J24" s="172">
        <f t="shared" ref="J24:M24" si="17">I24+($N$24-$H$24)/($N$11-$H$11)</f>
        <v>0</v>
      </c>
      <c r="K24" s="172">
        <f t="shared" si="17"/>
        <v>0</v>
      </c>
      <c r="L24" s="172">
        <f t="shared" si="17"/>
        <v>0</v>
      </c>
      <c r="M24" s="172">
        <f t="shared" si="17"/>
        <v>0</v>
      </c>
      <c r="N24" s="185">
        <f>Inputs!C34</f>
        <v>0</v>
      </c>
      <c r="O24" s="125">
        <f t="shared" ref="O24:W24" si="18">N$24+($X$24-$N$24)/($X$11-$N$11)</f>
        <v>0</v>
      </c>
      <c r="P24" s="125">
        <f t="shared" si="18"/>
        <v>0</v>
      </c>
      <c r="Q24" s="125">
        <f t="shared" si="18"/>
        <v>0</v>
      </c>
      <c r="R24" s="125">
        <f t="shared" si="18"/>
        <v>0</v>
      </c>
      <c r="S24" s="22">
        <f t="shared" si="18"/>
        <v>0</v>
      </c>
      <c r="T24" s="125">
        <f t="shared" si="18"/>
        <v>0</v>
      </c>
      <c r="U24" s="125">
        <f t="shared" si="18"/>
        <v>0</v>
      </c>
      <c r="V24" s="125">
        <f t="shared" si="18"/>
        <v>0</v>
      </c>
      <c r="W24" s="125">
        <f t="shared" si="18"/>
        <v>0</v>
      </c>
      <c r="X24" s="185">
        <f>Inputs!F34</f>
        <v>0</v>
      </c>
      <c r="Y24" s="172">
        <f>X$24+($AH$24-$X$24)/($AH$11-$X$11)</f>
        <v>0</v>
      </c>
      <c r="Z24" s="172">
        <f t="shared" ref="Z24:AG24" si="19">Y$24+($AH$24-$X$24)/($AH$11-$X$11)</f>
        <v>0</v>
      </c>
      <c r="AA24" s="172">
        <f t="shared" si="19"/>
        <v>0</v>
      </c>
      <c r="AB24" s="172">
        <f t="shared" si="19"/>
        <v>0</v>
      </c>
      <c r="AC24" s="172">
        <f t="shared" si="19"/>
        <v>0</v>
      </c>
      <c r="AD24" s="172">
        <f t="shared" si="19"/>
        <v>0</v>
      </c>
      <c r="AE24" s="172">
        <f t="shared" si="19"/>
        <v>0</v>
      </c>
      <c r="AF24" s="172">
        <f t="shared" si="19"/>
        <v>0</v>
      </c>
      <c r="AG24" s="172">
        <f t="shared" si="19"/>
        <v>0</v>
      </c>
      <c r="AH24" s="185">
        <f>Inputs!H34</f>
        <v>0</v>
      </c>
      <c r="AI24" s="99"/>
    </row>
    <row r="25" spans="1:37" s="20" customFormat="1">
      <c r="A25" t="s">
        <v>540</v>
      </c>
      <c r="B25" s="33"/>
      <c r="C25" s="295"/>
      <c r="D25" s="297">
        <f t="shared" ref="D25:AH25" si="20">D30/(D30+D47)</f>
        <v>0</v>
      </c>
      <c r="E25" s="297">
        <f t="shared" si="20"/>
        <v>0</v>
      </c>
      <c r="F25" s="297">
        <f t="shared" si="20"/>
        <v>0</v>
      </c>
      <c r="G25" s="297">
        <f t="shared" si="20"/>
        <v>0</v>
      </c>
      <c r="H25" s="249"/>
      <c r="I25" s="125">
        <f t="shared" si="20"/>
        <v>0</v>
      </c>
      <c r="J25" s="125">
        <f t="shared" si="20"/>
        <v>0</v>
      </c>
      <c r="K25" s="125">
        <f t="shared" si="20"/>
        <v>0</v>
      </c>
      <c r="L25" s="125">
        <f t="shared" si="20"/>
        <v>0</v>
      </c>
      <c r="M25" s="125">
        <f t="shared" si="20"/>
        <v>0</v>
      </c>
      <c r="N25" s="180">
        <f t="shared" si="20"/>
        <v>0</v>
      </c>
      <c r="O25" s="125">
        <f t="shared" si="20"/>
        <v>0</v>
      </c>
      <c r="P25" s="125">
        <f t="shared" si="20"/>
        <v>0</v>
      </c>
      <c r="Q25" s="125">
        <f t="shared" si="20"/>
        <v>0</v>
      </c>
      <c r="R25" s="125">
        <f t="shared" si="20"/>
        <v>0</v>
      </c>
      <c r="S25" s="125">
        <f t="shared" si="20"/>
        <v>0</v>
      </c>
      <c r="T25" s="125">
        <f t="shared" si="20"/>
        <v>0</v>
      </c>
      <c r="U25" s="125">
        <f t="shared" si="20"/>
        <v>0</v>
      </c>
      <c r="V25" s="125">
        <f t="shared" si="20"/>
        <v>0</v>
      </c>
      <c r="W25" s="125">
        <f t="shared" si="20"/>
        <v>0</v>
      </c>
      <c r="X25" s="185">
        <f t="shared" si="20"/>
        <v>0</v>
      </c>
      <c r="Y25" s="172">
        <f t="shared" si="20"/>
        <v>0</v>
      </c>
      <c r="Z25" s="172">
        <f t="shared" si="20"/>
        <v>0</v>
      </c>
      <c r="AA25" s="172">
        <f t="shared" si="20"/>
        <v>0</v>
      </c>
      <c r="AB25" s="172">
        <f t="shared" si="20"/>
        <v>0</v>
      </c>
      <c r="AC25" s="172">
        <f t="shared" si="20"/>
        <v>0</v>
      </c>
      <c r="AD25" s="172">
        <f t="shared" si="20"/>
        <v>0</v>
      </c>
      <c r="AE25" s="172">
        <f t="shared" si="20"/>
        <v>0</v>
      </c>
      <c r="AF25" s="172">
        <f t="shared" si="20"/>
        <v>0</v>
      </c>
      <c r="AG25" s="172">
        <f t="shared" si="20"/>
        <v>0</v>
      </c>
      <c r="AH25" s="185">
        <f t="shared" si="20"/>
        <v>0</v>
      </c>
      <c r="AI25" s="99"/>
    </row>
    <row r="26" spans="1:37" s="20" customFormat="1">
      <c r="A26" s="20" t="s">
        <v>382</v>
      </c>
      <c r="B26" s="33"/>
      <c r="C26" s="297">
        <f>C31/C14</f>
        <v>7.3104644675360902E-2</v>
      </c>
      <c r="D26" s="297">
        <f t="shared" ref="D26:G26" si="21">C26+($N$26-$C$26)/($N$11-$C$11)</f>
        <v>7.3786203871919573E-2</v>
      </c>
      <c r="E26" s="297">
        <f t="shared" si="21"/>
        <v>7.4467763068478243E-2</v>
      </c>
      <c r="F26" s="297">
        <f t="shared" si="21"/>
        <v>7.5149322265036914E-2</v>
      </c>
      <c r="G26" s="297">
        <f t="shared" si="21"/>
        <v>7.5830881461595584E-2</v>
      </c>
      <c r="H26" s="249">
        <f>H31/H14</f>
        <v>8.2996045108356176E-2</v>
      </c>
      <c r="I26" s="91">
        <f>H26+($N$26-$H$26)/($N$11-$H$11)</f>
        <v>8.2597003563214519E-2</v>
      </c>
      <c r="J26" s="172">
        <f t="shared" ref="J26:M26" si="22">I26+($N$26-$H$26)/($N$11-$H$11)</f>
        <v>8.2197962018072862E-2</v>
      </c>
      <c r="K26" s="172">
        <f t="shared" si="22"/>
        <v>8.1798920472931205E-2</v>
      </c>
      <c r="L26" s="172">
        <f t="shared" si="22"/>
        <v>8.1399878927789548E-2</v>
      </c>
      <c r="M26" s="172">
        <f t="shared" si="22"/>
        <v>8.1000837382647892E-2</v>
      </c>
      <c r="N26" s="180">
        <f>Inputs!C35</f>
        <v>8.0601795837506221E-2</v>
      </c>
      <c r="O26" s="91">
        <f t="shared" ref="O26:W26" si="23">N26+($X$26-$N$26)/($X$11-$N$11)</f>
        <v>7.9988672362054439E-2</v>
      </c>
      <c r="P26" s="91">
        <f t="shared" si="23"/>
        <v>7.9375548886602657E-2</v>
      </c>
      <c r="Q26" s="91">
        <f t="shared" si="23"/>
        <v>7.8762425411150874E-2</v>
      </c>
      <c r="R26" s="91">
        <f t="shared" si="23"/>
        <v>7.8149301935699092E-2</v>
      </c>
      <c r="S26" s="22">
        <f t="shared" si="23"/>
        <v>7.753617846024731E-2</v>
      </c>
      <c r="T26" s="91">
        <f t="shared" si="23"/>
        <v>7.6923054984795528E-2</v>
      </c>
      <c r="U26" s="91">
        <f t="shared" si="23"/>
        <v>7.6309931509343745E-2</v>
      </c>
      <c r="V26" s="91">
        <f t="shared" si="23"/>
        <v>7.5696808033891963E-2</v>
      </c>
      <c r="W26" s="91">
        <f t="shared" si="23"/>
        <v>7.5083684558440181E-2</v>
      </c>
      <c r="X26" s="185">
        <f>Inputs!F35</f>
        <v>7.4470561082988357E-2</v>
      </c>
      <c r="Y26" s="172">
        <f>X26+($AH$26-$X$26)/($AH$11-$X$11)</f>
        <v>7.4169648331805588E-2</v>
      </c>
      <c r="Z26" s="172">
        <f t="shared" ref="Z26:AG26" si="24">Y26+($AH$26-$X$26)/($AH$11-$X$11)</f>
        <v>7.3868735580622819E-2</v>
      </c>
      <c r="AA26" s="172">
        <f t="shared" si="24"/>
        <v>7.3567822829440049E-2</v>
      </c>
      <c r="AB26" s="172">
        <f t="shared" si="24"/>
        <v>7.326691007825728E-2</v>
      </c>
      <c r="AC26" s="172">
        <f t="shared" si="24"/>
        <v>7.2965997327074511E-2</v>
      </c>
      <c r="AD26" s="172">
        <f t="shared" si="24"/>
        <v>7.2665084575891742E-2</v>
      </c>
      <c r="AE26" s="172">
        <f t="shared" si="24"/>
        <v>7.2364171824708973E-2</v>
      </c>
      <c r="AF26" s="172">
        <f t="shared" si="24"/>
        <v>7.2063259073526204E-2</v>
      </c>
      <c r="AG26" s="172">
        <f t="shared" si="24"/>
        <v>7.1762346322343434E-2</v>
      </c>
      <c r="AH26" s="185">
        <f>Inputs!H35</f>
        <v>7.1461433571160679E-2</v>
      </c>
      <c r="AI26" s="99"/>
    </row>
    <row r="27" spans="1:37" s="1" customFormat="1">
      <c r="B27" s="33"/>
      <c r="C27" s="303"/>
      <c r="D27" s="294"/>
      <c r="E27" s="357"/>
      <c r="F27" s="357"/>
      <c r="G27" s="357"/>
      <c r="H27" s="366"/>
      <c r="I27" s="25"/>
      <c r="J27" s="25"/>
      <c r="K27" s="24"/>
      <c r="L27" s="24"/>
      <c r="M27" s="24"/>
      <c r="N27" s="181" t="s">
        <v>0</v>
      </c>
      <c r="O27" s="26"/>
      <c r="P27" s="13"/>
      <c r="Q27" s="13"/>
      <c r="R27" s="13"/>
      <c r="S27" s="169">
        <f>SUM(S18,S24,S26)</f>
        <v>0.35523296581803859</v>
      </c>
      <c r="T27" s="13"/>
      <c r="U27" s="13"/>
      <c r="V27" s="13"/>
      <c r="W27" s="13"/>
      <c r="X27" s="176"/>
      <c r="Y27"/>
      <c r="Z27"/>
      <c r="AA27"/>
      <c r="AB27"/>
      <c r="AC27"/>
      <c r="AD27"/>
      <c r="AE27"/>
      <c r="AF27"/>
      <c r="AG27"/>
      <c r="AH27" s="245"/>
      <c r="AI27" s="24"/>
    </row>
    <row r="28" spans="1:37" s="1" customFormat="1">
      <c r="A28" s="1" t="s">
        <v>378</v>
      </c>
      <c r="B28" s="33"/>
      <c r="C28" s="293">
        <v>2009</v>
      </c>
      <c r="D28" s="293">
        <v>2010</v>
      </c>
      <c r="E28" s="293">
        <v>2011</v>
      </c>
      <c r="F28" s="293">
        <v>2012</v>
      </c>
      <c r="G28" s="293">
        <v>2013</v>
      </c>
      <c r="H28" s="365">
        <v>2014</v>
      </c>
      <c r="I28" s="13">
        <v>2015</v>
      </c>
      <c r="J28" s="13">
        <v>2016</v>
      </c>
      <c r="K28" s="13">
        <v>2017</v>
      </c>
      <c r="L28" s="13">
        <v>2018</v>
      </c>
      <c r="M28" s="13">
        <v>2019</v>
      </c>
      <c r="N28" s="176">
        <v>2020</v>
      </c>
      <c r="O28" s="13">
        <v>2021</v>
      </c>
      <c r="P28" s="13">
        <v>2022</v>
      </c>
      <c r="Q28" s="13">
        <v>2023</v>
      </c>
      <c r="R28" s="13">
        <v>2024</v>
      </c>
      <c r="S28" s="13">
        <v>2025</v>
      </c>
      <c r="T28" s="13">
        <v>2026</v>
      </c>
      <c r="U28" s="13">
        <v>2027</v>
      </c>
      <c r="V28" s="13">
        <v>2028</v>
      </c>
      <c r="W28" s="13">
        <v>2029</v>
      </c>
      <c r="X28" s="176">
        <v>2030</v>
      </c>
      <c r="Y28" s="13">
        <v>2031</v>
      </c>
      <c r="Z28" s="13">
        <v>2032</v>
      </c>
      <c r="AA28" s="13">
        <v>2033</v>
      </c>
      <c r="AB28" s="13">
        <v>2034</v>
      </c>
      <c r="AC28" s="13">
        <v>2035</v>
      </c>
      <c r="AD28" s="13">
        <v>2036</v>
      </c>
      <c r="AE28" s="13">
        <v>2037</v>
      </c>
      <c r="AF28" s="13">
        <v>2038</v>
      </c>
      <c r="AG28" s="13">
        <v>2039</v>
      </c>
      <c r="AH28" s="176">
        <v>2040</v>
      </c>
      <c r="AK28" s="77"/>
    </row>
    <row r="29" spans="1:37">
      <c r="A29" s="9" t="s">
        <v>282</v>
      </c>
      <c r="B29" s="35">
        <v>0</v>
      </c>
      <c r="C29" s="295" t="s">
        <v>377</v>
      </c>
      <c r="D29" s="295">
        <f t="shared" ref="D29:AH29" si="25">D13-D14</f>
        <v>0</v>
      </c>
      <c r="E29" s="295">
        <f t="shared" si="25"/>
        <v>0</v>
      </c>
      <c r="F29" s="295">
        <f t="shared" si="25"/>
        <v>0</v>
      </c>
      <c r="G29" s="295">
        <f t="shared" si="25"/>
        <v>0</v>
      </c>
      <c r="H29" s="251">
        <f t="shared" si="25"/>
        <v>0</v>
      </c>
      <c r="I29" s="50">
        <f t="shared" si="25"/>
        <v>0</v>
      </c>
      <c r="J29" s="50">
        <f t="shared" si="25"/>
        <v>0</v>
      </c>
      <c r="K29" s="50">
        <f t="shared" si="25"/>
        <v>0</v>
      </c>
      <c r="L29" s="50">
        <f t="shared" si="25"/>
        <v>0</v>
      </c>
      <c r="M29" s="50">
        <f t="shared" si="25"/>
        <v>0</v>
      </c>
      <c r="N29" s="177">
        <f t="shared" si="25"/>
        <v>0</v>
      </c>
      <c r="O29" s="50">
        <f t="shared" si="25"/>
        <v>0</v>
      </c>
      <c r="P29" s="50">
        <f t="shared" si="25"/>
        <v>0</v>
      </c>
      <c r="Q29" s="50">
        <f t="shared" si="25"/>
        <v>0</v>
      </c>
      <c r="R29" s="50">
        <f t="shared" si="25"/>
        <v>0</v>
      </c>
      <c r="S29" s="50">
        <f t="shared" si="25"/>
        <v>0</v>
      </c>
      <c r="T29" s="50">
        <f t="shared" si="25"/>
        <v>0</v>
      </c>
      <c r="U29" s="50">
        <f t="shared" si="25"/>
        <v>0</v>
      </c>
      <c r="V29" s="50">
        <f t="shared" si="25"/>
        <v>0</v>
      </c>
      <c r="W29" s="50">
        <f t="shared" si="25"/>
        <v>0</v>
      </c>
      <c r="X29" s="184">
        <f t="shared" si="25"/>
        <v>0</v>
      </c>
      <c r="Y29" s="174">
        <f t="shared" si="25"/>
        <v>0</v>
      </c>
      <c r="Z29" s="174">
        <f t="shared" si="25"/>
        <v>0</v>
      </c>
      <c r="AA29" s="174">
        <f t="shared" si="25"/>
        <v>0</v>
      </c>
      <c r="AB29" s="174">
        <f t="shared" si="25"/>
        <v>0</v>
      </c>
      <c r="AC29" s="174">
        <f t="shared" si="25"/>
        <v>0</v>
      </c>
      <c r="AD29" s="174">
        <f t="shared" si="25"/>
        <v>0</v>
      </c>
      <c r="AE29" s="174">
        <f t="shared" si="25"/>
        <v>0</v>
      </c>
      <c r="AF29" s="174">
        <f t="shared" si="25"/>
        <v>0</v>
      </c>
      <c r="AG29" s="174">
        <f t="shared" si="25"/>
        <v>0</v>
      </c>
      <c r="AH29" s="184">
        <f t="shared" si="25"/>
        <v>0</v>
      </c>
      <c r="AI29" s="127"/>
    </row>
    <row r="30" spans="1:37" s="20" customFormat="1">
      <c r="A30" s="20" t="s">
        <v>122</v>
      </c>
      <c r="B30" s="35">
        <v>0</v>
      </c>
      <c r="C30" s="295">
        <f>C23*C47</f>
        <v>0</v>
      </c>
      <c r="D30" s="295">
        <f t="shared" ref="D30:AH30" si="26">D24*D14</f>
        <v>0</v>
      </c>
      <c r="E30" s="295">
        <f t="shared" si="26"/>
        <v>0</v>
      </c>
      <c r="F30" s="295">
        <f t="shared" si="26"/>
        <v>0</v>
      </c>
      <c r="G30" s="295">
        <f t="shared" si="26"/>
        <v>0</v>
      </c>
      <c r="H30" s="251">
        <f t="shared" si="26"/>
        <v>0</v>
      </c>
      <c r="I30" s="118">
        <f t="shared" si="26"/>
        <v>0</v>
      </c>
      <c r="J30" s="118">
        <f t="shared" si="26"/>
        <v>0</v>
      </c>
      <c r="K30" s="118">
        <f t="shared" si="26"/>
        <v>0</v>
      </c>
      <c r="L30" s="118">
        <f t="shared" si="26"/>
        <v>0</v>
      </c>
      <c r="M30" s="118">
        <f t="shared" si="26"/>
        <v>0</v>
      </c>
      <c r="N30" s="177">
        <f t="shared" si="26"/>
        <v>0</v>
      </c>
      <c r="O30" s="118">
        <f t="shared" si="26"/>
        <v>0</v>
      </c>
      <c r="P30" s="118">
        <f t="shared" si="26"/>
        <v>0</v>
      </c>
      <c r="Q30" s="118">
        <f t="shared" si="26"/>
        <v>0</v>
      </c>
      <c r="R30" s="118">
        <f t="shared" si="26"/>
        <v>0</v>
      </c>
      <c r="S30" s="118">
        <f t="shared" si="26"/>
        <v>0</v>
      </c>
      <c r="T30" s="118">
        <f t="shared" si="26"/>
        <v>0</v>
      </c>
      <c r="U30" s="118">
        <f t="shared" si="26"/>
        <v>0</v>
      </c>
      <c r="V30" s="118">
        <f t="shared" si="26"/>
        <v>0</v>
      </c>
      <c r="W30" s="118">
        <f t="shared" si="26"/>
        <v>0</v>
      </c>
      <c r="X30" s="184">
        <f t="shared" si="26"/>
        <v>0</v>
      </c>
      <c r="Y30" s="174">
        <f t="shared" si="26"/>
        <v>0</v>
      </c>
      <c r="Z30" s="174">
        <f t="shared" si="26"/>
        <v>0</v>
      </c>
      <c r="AA30" s="174">
        <f t="shared" si="26"/>
        <v>0</v>
      </c>
      <c r="AB30" s="174">
        <f t="shared" si="26"/>
        <v>0</v>
      </c>
      <c r="AC30" s="174">
        <f t="shared" si="26"/>
        <v>0</v>
      </c>
      <c r="AD30" s="174">
        <f t="shared" si="26"/>
        <v>0</v>
      </c>
      <c r="AE30" s="174">
        <f t="shared" si="26"/>
        <v>0</v>
      </c>
      <c r="AF30" s="174">
        <f t="shared" si="26"/>
        <v>0</v>
      </c>
      <c r="AG30" s="174">
        <f t="shared" si="26"/>
        <v>0</v>
      </c>
      <c r="AH30" s="184">
        <f t="shared" si="26"/>
        <v>0</v>
      </c>
      <c r="AI30" s="127"/>
    </row>
    <row r="31" spans="1:37">
      <c r="A31" s="9" t="s">
        <v>49</v>
      </c>
      <c r="B31" s="35">
        <v>0</v>
      </c>
      <c r="C31" s="295">
        <f>'Output - Jobs vs Yr (BAU)'!C7</f>
        <v>4192.99</v>
      </c>
      <c r="D31" s="295">
        <f t="shared" ref="D31:AH31" si="27">D26*D14</f>
        <v>4500.9584361870948</v>
      </c>
      <c r="E31" s="295">
        <f t="shared" si="27"/>
        <v>4231.4115574540974</v>
      </c>
      <c r="F31" s="295">
        <f t="shared" si="27"/>
        <v>4073.4946995467949</v>
      </c>
      <c r="G31" s="295">
        <f t="shared" si="27"/>
        <v>4189.2682865780462</v>
      </c>
      <c r="H31" s="251">
        <f>'Output - Jobs vs Yr (BAU)'!H7</f>
        <v>4618.549245976189</v>
      </c>
      <c r="I31" s="174">
        <f t="shared" si="27"/>
        <v>4619.5232789914608</v>
      </c>
      <c r="J31" s="174">
        <f t="shared" si="27"/>
        <v>4677.545911045102</v>
      </c>
      <c r="K31" s="174">
        <f t="shared" si="27"/>
        <v>4773.69885636042</v>
      </c>
      <c r="L31" s="174">
        <f t="shared" si="27"/>
        <v>4820.9579643716397</v>
      </c>
      <c r="M31" s="174">
        <f t="shared" si="27"/>
        <v>4844.1602721956506</v>
      </c>
      <c r="N31" s="184">
        <f t="shared" si="27"/>
        <v>4853.0937643410971</v>
      </c>
      <c r="O31" s="174">
        <f t="shared" si="27"/>
        <v>4860.6617592910488</v>
      </c>
      <c r="P31" s="174">
        <f t="shared" si="27"/>
        <v>4867.8303348016088</v>
      </c>
      <c r="Q31" s="174">
        <f t="shared" si="27"/>
        <v>4897.7057005254073</v>
      </c>
      <c r="R31" s="174">
        <f t="shared" si="27"/>
        <v>4917.1216682671575</v>
      </c>
      <c r="S31" s="174">
        <f t="shared" si="27"/>
        <v>4941.7572349089669</v>
      </c>
      <c r="T31" s="174">
        <f t="shared" si="27"/>
        <v>4928.0545625547447</v>
      </c>
      <c r="U31" s="174">
        <f t="shared" si="27"/>
        <v>4912.1229731536278</v>
      </c>
      <c r="V31" s="174">
        <f t="shared" si="27"/>
        <v>4899.5303808021672</v>
      </c>
      <c r="W31" s="174">
        <f t="shared" si="27"/>
        <v>4899.7170844497577</v>
      </c>
      <c r="X31" s="184">
        <f t="shared" si="27"/>
        <v>4885.6661053851894</v>
      </c>
      <c r="Y31" s="174">
        <f t="shared" si="27"/>
        <v>4876.5559006209587</v>
      </c>
      <c r="Z31" s="174">
        <f t="shared" si="27"/>
        <v>4872.8024214484258</v>
      </c>
      <c r="AA31" s="174">
        <f t="shared" si="27"/>
        <v>4864.0209861353142</v>
      </c>
      <c r="AB31" s="174">
        <f t="shared" si="27"/>
        <v>4859.3703912265055</v>
      </c>
      <c r="AC31" s="174">
        <f t="shared" si="27"/>
        <v>4861.847579585944</v>
      </c>
      <c r="AD31" s="174">
        <f t="shared" si="27"/>
        <v>4863.4550068642939</v>
      </c>
      <c r="AE31" s="174">
        <f t="shared" si="27"/>
        <v>4873.9473976573445</v>
      </c>
      <c r="AF31" s="174">
        <f t="shared" si="27"/>
        <v>4888.7548445785651</v>
      </c>
      <c r="AG31" s="174">
        <f t="shared" si="27"/>
        <v>4897.7793937749484</v>
      </c>
      <c r="AH31" s="184">
        <f t="shared" si="27"/>
        <v>4900.9639719247734</v>
      </c>
      <c r="AI31" s="127"/>
    </row>
    <row r="32" spans="1:37">
      <c r="A32" s="9" t="s">
        <v>59</v>
      </c>
      <c r="B32" s="35">
        <v>0</v>
      </c>
      <c r="C32" s="295">
        <f>EIA_electricity_aeo2014!E52*1000</f>
        <v>15170</v>
      </c>
      <c r="D32" s="295">
        <f t="shared" ref="D32:AH32" si="28">D18*D14</f>
        <v>16267.92870841193</v>
      </c>
      <c r="E32" s="295">
        <f t="shared" si="28"/>
        <v>15278.670322074391</v>
      </c>
      <c r="F32" s="295">
        <f t="shared" si="28"/>
        <v>14694.263295733301</v>
      </c>
      <c r="G32" s="295">
        <f t="shared" si="28"/>
        <v>15097.545737234925</v>
      </c>
      <c r="H32" s="251">
        <f>EIA_electricity_aeo2014!J52*1000</f>
        <v>14936.715923877196</v>
      </c>
      <c r="I32" s="174">
        <f t="shared" si="28"/>
        <v>15200.906589309518</v>
      </c>
      <c r="J32" s="174">
        <f t="shared" si="28"/>
        <v>15658.720321509341</v>
      </c>
      <c r="K32" s="174">
        <f t="shared" si="28"/>
        <v>16255.634653400546</v>
      </c>
      <c r="L32" s="174">
        <f t="shared" si="28"/>
        <v>16697.038957386831</v>
      </c>
      <c r="M32" s="174">
        <f t="shared" si="28"/>
        <v>17062.00036220445</v>
      </c>
      <c r="N32" s="184">
        <f t="shared" si="28"/>
        <v>17381.415667714529</v>
      </c>
      <c r="O32" s="174">
        <f t="shared" si="28"/>
        <v>17408.520535739706</v>
      </c>
      <c r="P32" s="174">
        <f t="shared" si="28"/>
        <v>17434.194878075712</v>
      </c>
      <c r="Q32" s="174">
        <f t="shared" si="28"/>
        <v>17541.1938719311</v>
      </c>
      <c r="R32" s="174">
        <f t="shared" si="28"/>
        <v>17610.732401845762</v>
      </c>
      <c r="S32" s="174">
        <f t="shared" si="28"/>
        <v>17698.964990129396</v>
      </c>
      <c r="T32" s="174">
        <f t="shared" si="28"/>
        <v>17649.888698692943</v>
      </c>
      <c r="U32" s="174">
        <f t="shared" si="28"/>
        <v>17592.829513135304</v>
      </c>
      <c r="V32" s="174">
        <f t="shared" si="28"/>
        <v>17547.728987033159</v>
      </c>
      <c r="W32" s="174">
        <f t="shared" si="28"/>
        <v>17548.397668468762</v>
      </c>
      <c r="X32" s="184">
        <f t="shared" si="28"/>
        <v>17498.073912217827</v>
      </c>
      <c r="Y32" s="174">
        <f t="shared" si="28"/>
        <v>17465.445600564635</v>
      </c>
      <c r="Z32" s="174">
        <f t="shared" si="28"/>
        <v>17452.00246823176</v>
      </c>
      <c r="AA32" s="174">
        <f t="shared" si="28"/>
        <v>17420.55164845617</v>
      </c>
      <c r="AB32" s="174">
        <f t="shared" si="28"/>
        <v>17403.895484957728</v>
      </c>
      <c r="AC32" s="174">
        <f t="shared" si="28"/>
        <v>17412.767565872171</v>
      </c>
      <c r="AD32" s="174">
        <f t="shared" si="28"/>
        <v>17418.524586658772</v>
      </c>
      <c r="AE32" s="174">
        <f t="shared" si="28"/>
        <v>17456.103214762385</v>
      </c>
      <c r="AF32" s="174">
        <f t="shared" si="28"/>
        <v>17509.136270048988</v>
      </c>
      <c r="AG32" s="174">
        <f t="shared" si="28"/>
        <v>17541.457805220765</v>
      </c>
      <c r="AH32" s="184">
        <f t="shared" si="28"/>
        <v>17552.86341146622</v>
      </c>
      <c r="AI32" s="128"/>
    </row>
    <row r="33" spans="1:36">
      <c r="A33" s="9"/>
      <c r="B33" s="35"/>
      <c r="C33" s="295"/>
      <c r="D33" s="295"/>
      <c r="E33" s="295"/>
      <c r="F33" s="295"/>
      <c r="G33" s="295"/>
      <c r="H33" s="251"/>
      <c r="I33" s="118"/>
      <c r="J33" s="118"/>
      <c r="K33" s="118"/>
      <c r="L33" s="118"/>
      <c r="M33" s="118"/>
      <c r="N33" s="184"/>
      <c r="O33" s="118"/>
      <c r="P33" s="118"/>
      <c r="Q33" s="118"/>
      <c r="R33" s="118"/>
      <c r="S33" s="118"/>
      <c r="T33" s="118"/>
      <c r="U33" s="118"/>
      <c r="V33" s="118"/>
      <c r="W33" s="118"/>
      <c r="X33" s="184"/>
      <c r="AI33" s="128"/>
    </row>
    <row r="34" spans="1:36">
      <c r="A34" s="9" t="s">
        <v>121</v>
      </c>
      <c r="B34" s="35">
        <v>1</v>
      </c>
      <c r="C34" s="295">
        <f>EIA_RE_aeo2014!E76*1000</f>
        <v>1529</v>
      </c>
      <c r="D34" s="295">
        <f>MAX(D58*D$14,'Output - Jobs vs Yr (BAU)'!D10)</f>
        <v>1952.2213638426881</v>
      </c>
      <c r="E34" s="295">
        <f>MAX(E58*E$14,'Output - Jobs vs Yr (BAU)'!E10)</f>
        <v>2183.166117297093</v>
      </c>
      <c r="F34" s="295">
        <f>MAX(F58*F$14,'Output - Jobs vs Yr (BAU)'!F10)</f>
        <v>2500.2446513255909</v>
      </c>
      <c r="G34" s="295">
        <f>MAX(G58*G$14,'Output - Jobs vs Yr (BAU)'!G10)</f>
        <v>3059.166298176609</v>
      </c>
      <c r="H34" s="251">
        <f>'Output - Jobs vs Yr (BAU)'!H10</f>
        <v>1811.1388138442055</v>
      </c>
      <c r="I34" s="251">
        <f>MAX(I58*I$14,'Output - Jobs vs Yr (BAU)'!I10)</f>
        <v>2185.2796505177485</v>
      </c>
      <c r="J34" s="251">
        <f>MAX(J58*J$14,'Output - Jobs vs Yr (BAU)'!J10)</f>
        <v>2669.3268789959079</v>
      </c>
      <c r="K34" s="251">
        <f>MAX(K58*K$14,'Output - Jobs vs Yr (BAU)'!K10)</f>
        <v>3286.4179487989882</v>
      </c>
      <c r="L34" s="251">
        <f>MAX(L58*L$14,'Output - Jobs vs Yr (BAU)'!L10)</f>
        <v>4004.0134718146855</v>
      </c>
      <c r="M34" s="251">
        <f>MAX(M58*M$14,'Output - Jobs vs Yr (BAU)'!M10)</f>
        <v>4853.8408902859255</v>
      </c>
      <c r="N34" s="252">
        <f>MAX(Inputs!$E17*N$21,'Output - Jobs vs Yr (BAU)'!N10)</f>
        <v>5866.7975475950525</v>
      </c>
      <c r="O34" s="251">
        <f>MAX(O58*O$14,'Output - Jobs vs Yr (BAU)'!O10)</f>
        <v>6123.6005516276155</v>
      </c>
      <c r="P34" s="251">
        <f>MAX(P58*P$14,'Output - Jobs vs Yr (BAU)'!P10)</f>
        <v>6391.4800273677174</v>
      </c>
      <c r="Q34" s="251">
        <f>MAX(Q58*Q$14,'Output - Jobs vs Yr (BAU)'!Q10)</f>
        <v>6702.5359526208831</v>
      </c>
      <c r="R34" s="251">
        <f>MAX(R58*R$14,'Output - Jobs vs Yr (BAU)'!R10)</f>
        <v>7013.9748363785384</v>
      </c>
      <c r="S34" s="251">
        <f>MAX(S58*S$14,'Output - Jobs vs Yr (BAU)'!S10)</f>
        <v>7347.9834638078737</v>
      </c>
      <c r="T34" s="251">
        <f>MAX(T58*T$14,'Output - Jobs vs Yr (BAU)'!T10)</f>
        <v>7638.7613657319889</v>
      </c>
      <c r="U34" s="251">
        <f>MAX(U58*U$14,'Output - Jobs vs Yr (BAU)'!U10)</f>
        <v>7937.8873181205809</v>
      </c>
      <c r="V34" s="251">
        <f>MAX(V58*V$14,'Output - Jobs vs Yr (BAU)'!V10)</f>
        <v>8254.7980819010609</v>
      </c>
      <c r="W34" s="251">
        <f>MAX(W58*W$14,'Output - Jobs vs Yr (BAU)'!W10)</f>
        <v>8607.3169898092328</v>
      </c>
      <c r="X34" s="252">
        <f>Inputs!F17*'Output -Jobs vs Yr'!$X$14</f>
        <v>8949.4084706289341</v>
      </c>
      <c r="Y34" s="251">
        <f>MAX(Y58*Y$14,'Output - Jobs vs Yr (BAU)'!Y10)</f>
        <v>9294.6353594686298</v>
      </c>
      <c r="Z34" s="251">
        <f>MAX(Z58*Z$14,'Output - Jobs vs Yr (BAU)'!Z10)</f>
        <v>9663.9283752999472</v>
      </c>
      <c r="AA34" s="251">
        <f>MAX(AA58*AA$14,'Output - Jobs vs Yr (BAU)'!AA10)</f>
        <v>10037.678877974067</v>
      </c>
      <c r="AB34" s="251">
        <f>MAX(AB58*AB$14,'Output - Jobs vs Yr (BAU)'!AB10)</f>
        <v>10434.89502292667</v>
      </c>
      <c r="AC34" s="251">
        <f>MAX(AC58*AC$14,'Output - Jobs vs Yr (BAU)'!AC10)</f>
        <v>10863.930281829264</v>
      </c>
      <c r="AD34" s="251">
        <f>MAX(AD58*AD$14,'Output - Jobs vs Yr (BAU)'!AD10)</f>
        <v>11308.772528160642</v>
      </c>
      <c r="AE34" s="251">
        <f>MAX(AE58*AE$14,'Output - Jobs vs Yr (BAU)'!AE10)</f>
        <v>11793.529207828376</v>
      </c>
      <c r="AF34" s="251">
        <f>MAX(AF58*AF$14,'Output - Jobs vs Yr (BAU)'!AF10)</f>
        <v>12310.086410021888</v>
      </c>
      <c r="AG34" s="251">
        <f>MAX(AG58*AG$14,'Output - Jobs vs Yr (BAU)'!AG10)</f>
        <v>12834.221409448341</v>
      </c>
      <c r="AH34" s="252">
        <f>Inputs!I17*'Output -Jobs vs Yr'!$AH$14</f>
        <v>13364.937097798802</v>
      </c>
      <c r="AI34" s="127"/>
    </row>
    <row r="35" spans="1:36" s="20" customFormat="1">
      <c r="A35" s="9" t="s">
        <v>50</v>
      </c>
      <c r="B35" s="35">
        <v>1</v>
      </c>
      <c r="C35" s="295">
        <f>EIA_RE_aeo2014!E74*1000</f>
        <v>0</v>
      </c>
      <c r="D35" s="295">
        <f>MAX(D59*D$14,'Output - Jobs vs Yr (BAU)'!D11)</f>
        <v>0</v>
      </c>
      <c r="E35" s="295">
        <f>MAX(E59*E$14,'Output - Jobs vs Yr (BAU)'!E11)</f>
        <v>4.0118829999999999E-3</v>
      </c>
      <c r="F35" s="295">
        <f>MAX(F59*F$14,'Output - Jobs vs Yr (BAU)'!F11)</f>
        <v>3.7581989999999998E-3</v>
      </c>
      <c r="G35" s="295">
        <f>MAX(G59*G$14,'Output - Jobs vs Yr (BAU)'!G11)</f>
        <v>4.109054E-3</v>
      </c>
      <c r="H35" s="251">
        <f>'Output - Jobs vs Yr (BAU)'!H11</f>
        <v>4.1090699999999994E-3</v>
      </c>
      <c r="I35" s="251">
        <f>MAX(I59*I$14,'Output - Jobs vs Yr (BAU)'!I11)</f>
        <v>4.855007295180412E-3</v>
      </c>
      <c r="J35" s="251">
        <f>MAX(J59*J$14,'Output - Jobs vs Yr (BAU)'!J11)</f>
        <v>5.8073190731453058E-3</v>
      </c>
      <c r="K35" s="251">
        <f>MAX(K59*K$14,'Output - Jobs vs Yr (BAU)'!K11)</f>
        <v>7.0014466807024316E-3</v>
      </c>
      <c r="L35" s="251">
        <f>MAX(L59*L$14,'Output - Jobs vs Yr (BAU)'!L11)</f>
        <v>8.3531751029860182E-3</v>
      </c>
      <c r="M35" s="251">
        <f>MAX(M59*M$14,'Output - Jobs vs Yr (BAU)'!M11)</f>
        <v>9.9159117897419016E-3</v>
      </c>
      <c r="N35" s="252">
        <f>MAX(Inputs!$E19*N$21,'Output - Jobs vs Yr (BAU)'!N11)</f>
        <v>1.1736518397010561E-2</v>
      </c>
      <c r="O35" s="251">
        <f>MAX(O59*O$14,'Output - Jobs vs Yr (BAU)'!O11)</f>
        <v>1.2250252364611211E-2</v>
      </c>
      <c r="P35" s="251">
        <f>MAX(P59*P$14,'Output - Jobs vs Yr (BAU)'!P11)</f>
        <v>1.2786144794799814E-2</v>
      </c>
      <c r="Q35" s="251">
        <f>MAX(Q59*Q$14,'Output - Jobs vs Yr (BAU)'!Q11)</f>
        <v>1.3408411637931198E-2</v>
      </c>
      <c r="R35" s="251">
        <f>MAX(R59*R$14,'Output - Jobs vs Yr (BAU)'!R11)</f>
        <v>1.4031444588891729E-2</v>
      </c>
      <c r="S35" s="251">
        <f>MAX(S59*S$14,'Output - Jobs vs Yr (BAU)'!S11)</f>
        <v>1.469962827322418E-2</v>
      </c>
      <c r="T35" s="251">
        <f>MAX(T59*T$14,'Output - Jobs vs Yr (BAU)'!T11)</f>
        <v>1.5281328965584949E-2</v>
      </c>
      <c r="U35" s="251">
        <f>MAX(U59*U$14,'Output - Jobs vs Yr (BAU)'!U11)</f>
        <v>1.5879729918532638E-2</v>
      </c>
      <c r="V35" s="251">
        <f>MAX(V59*V$14,'Output - Jobs vs Yr (BAU)'!V11)</f>
        <v>1.6513709356061536E-2</v>
      </c>
      <c r="W35" s="251">
        <f>MAX(W59*W$14,'Output - Jobs vs Yr (BAU)'!W11)</f>
        <v>1.7218922824635094E-2</v>
      </c>
      <c r="X35" s="252">
        <f>Inputs!F19*'Output -Jobs vs Yr'!$X$14</f>
        <v>1.7903276243264106E-2</v>
      </c>
      <c r="Y35" s="251">
        <f>MAX(Y59*Y$14,'Output - Jobs vs Yr (BAU)'!Y11)</f>
        <v>1.8593902040240983E-2</v>
      </c>
      <c r="Z35" s="251">
        <f>MAX(Z59*Z$14,'Output - Jobs vs Yr (BAU)'!Z11)</f>
        <v>1.9332672082845996E-2</v>
      </c>
      <c r="AA35" s="251">
        <f>MAX(AA59*AA$14,'Output - Jobs vs Yr (BAU)'!AA11)</f>
        <v>2.008035932020855E-2</v>
      </c>
      <c r="AB35" s="251">
        <f>MAX(AB59*AB$14,'Output - Jobs vs Yr (BAU)'!AB11)</f>
        <v>2.0874989534564063E-2</v>
      </c>
      <c r="AC35" s="251">
        <f>MAX(AC59*AC$14,'Output - Jobs vs Yr (BAU)'!AC11)</f>
        <v>2.1733273831614778E-2</v>
      </c>
      <c r="AD35" s="251">
        <f>MAX(AD59*AD$14,'Output - Jobs vs Yr (BAU)'!AD11)</f>
        <v>2.2623179979812426E-2</v>
      </c>
      <c r="AE35" s="251">
        <f>MAX(AE59*AE$14,'Output - Jobs vs Yr (BAU)'!AE11)</f>
        <v>2.3592934883205394E-2</v>
      </c>
      <c r="AF35" s="251">
        <f>MAX(AF59*AF$14,'Output - Jobs vs Yr (BAU)'!AF11)</f>
        <v>2.4626306677181423E-2</v>
      </c>
      <c r="AG35" s="251">
        <f>MAX(AG59*AG$14,'Output - Jobs vs Yr (BAU)'!AG11)</f>
        <v>2.5674837841480305E-2</v>
      </c>
      <c r="AH35" s="252">
        <f>Inputs!I19*'Output -Jobs vs Yr'!$AH$14</f>
        <v>2.6736533662646077E-2</v>
      </c>
      <c r="AI35" s="127"/>
    </row>
    <row r="36" spans="1:36">
      <c r="A36" s="9" t="s">
        <v>119</v>
      </c>
      <c r="B36" s="35">
        <v>1</v>
      </c>
      <c r="C36" s="295">
        <v>0</v>
      </c>
      <c r="D36" s="295">
        <v>0</v>
      </c>
      <c r="E36" s="295">
        <v>0</v>
      </c>
      <c r="F36" s="295">
        <v>0</v>
      </c>
      <c r="G36" s="295">
        <v>0</v>
      </c>
      <c r="H36" s="251">
        <v>0</v>
      </c>
      <c r="I36" s="118">
        <v>0</v>
      </c>
      <c r="J36" s="118">
        <v>0</v>
      </c>
      <c r="K36" s="118">
        <v>0</v>
      </c>
      <c r="L36" s="118">
        <v>0</v>
      </c>
      <c r="M36" s="118">
        <v>0</v>
      </c>
      <c r="N36" s="184">
        <v>0</v>
      </c>
      <c r="O36" s="118">
        <v>0</v>
      </c>
      <c r="P36" s="118">
        <v>0</v>
      </c>
      <c r="Q36" s="118">
        <v>0</v>
      </c>
      <c r="R36" s="118">
        <v>0</v>
      </c>
      <c r="S36" s="118">
        <v>0</v>
      </c>
      <c r="T36" s="118">
        <v>0</v>
      </c>
      <c r="U36" s="118">
        <v>0</v>
      </c>
      <c r="V36" s="118">
        <v>0</v>
      </c>
      <c r="W36" s="118">
        <v>0</v>
      </c>
      <c r="X36" s="184">
        <v>0</v>
      </c>
      <c r="Y36" s="174">
        <v>0</v>
      </c>
      <c r="Z36" s="174">
        <v>0</v>
      </c>
      <c r="AA36" s="174">
        <v>0</v>
      </c>
      <c r="AB36" s="174">
        <v>0</v>
      </c>
      <c r="AC36" s="174">
        <v>0</v>
      </c>
      <c r="AD36" s="174">
        <v>0</v>
      </c>
      <c r="AE36" s="174">
        <v>0</v>
      </c>
      <c r="AF36" s="174">
        <v>0</v>
      </c>
      <c r="AG36" s="174">
        <v>0</v>
      </c>
      <c r="AH36" s="184">
        <v>0</v>
      </c>
      <c r="AI36" s="127"/>
    </row>
    <row r="37" spans="1:36">
      <c r="A37" s="9" t="s">
        <v>51</v>
      </c>
      <c r="B37" s="35">
        <v>1</v>
      </c>
      <c r="C37" s="295">
        <f>EIA_RE_aeo2014!E75*1000</f>
        <v>34</v>
      </c>
      <c r="D37" s="295">
        <f>MAX(D61*D$14,'Output - Jobs vs Yr (BAU)'!D12)</f>
        <v>41.734762666032914</v>
      </c>
      <c r="E37" s="295">
        <f>MAX(E61*E$14,'Output - Jobs vs Yr (BAU)'!E12)</f>
        <v>66.167474119653107</v>
      </c>
      <c r="F37" s="295">
        <f>MAX(F61*F$14,'Output - Jobs vs Yr (BAU)'!F12)</f>
        <v>68.513453740798525</v>
      </c>
      <c r="G37" s="295">
        <f>MAX(G61*G$14,'Output - Jobs vs Yr (BAU)'!G12)</f>
        <v>58.11180154746615</v>
      </c>
      <c r="H37" s="251">
        <f>'Output - Jobs vs Yr (BAU)'!H12</f>
        <v>59.963598767152476</v>
      </c>
      <c r="I37" s="118">
        <f>MAX(I61*I$14,'Output - Jobs vs Yr (BAU)'!I12)</f>
        <v>69.556933702081082</v>
      </c>
      <c r="J37" s="118">
        <f>MAX(J61*J$14,'Output - Jobs vs Yr (BAU)'!J12)</f>
        <v>81.683177217503527</v>
      </c>
      <c r="K37" s="118">
        <f>MAX(K61*K$14,'Output - Jobs vs Yr (BAU)'!K12)</f>
        <v>96.68322126392296</v>
      </c>
      <c r="L37" s="118">
        <f>MAX(L61*L$14,'Output - Jobs vs Yr (BAU)'!L12)</f>
        <v>113.24559117967898</v>
      </c>
      <c r="M37" s="118">
        <f>MAX(M61*M$14,'Output - Jobs vs Yr (BAU)'!M12)</f>
        <v>131.98019467947253</v>
      </c>
      <c r="N37" s="184">
        <f>MAX(Inputs!$E20*N$21,'Output - Jobs vs Yr (BAU)'!N12)</f>
        <v>153.36342038716998</v>
      </c>
      <c r="O37" s="174">
        <f>MAX(O61*O$14,'Output - Jobs vs Yr (BAU)'!O12)</f>
        <v>160.0764843278676</v>
      </c>
      <c r="P37" s="174">
        <f>MAX(P61*P$14,'Output - Jobs vs Yr (BAU)'!P12)</f>
        <v>167.079097306709</v>
      </c>
      <c r="Q37" s="174">
        <f>MAX(Q61*Q$14,'Output - Jobs vs Yr (BAU)'!Q12)</f>
        <v>175.21038192007987</v>
      </c>
      <c r="R37" s="174">
        <f>MAX(R61*R$14,'Output - Jobs vs Yr (BAU)'!R12)</f>
        <v>183.35167741683952</v>
      </c>
      <c r="S37" s="174">
        <f>MAX(S61*S$14,'Output - Jobs vs Yr (BAU)'!S12)</f>
        <v>192.08296652743533</v>
      </c>
      <c r="T37" s="174">
        <f>MAX(T61*T$14,'Output - Jobs vs Yr (BAU)'!T12)</f>
        <v>199.68416517973375</v>
      </c>
      <c r="U37" s="174">
        <f>MAX(U61*U$14,'Output - Jobs vs Yr (BAU)'!U12)</f>
        <v>207.50358945894541</v>
      </c>
      <c r="V37" s="174">
        <f>MAX(V61*V$14,'Output - Jobs vs Yr (BAU)'!V12)</f>
        <v>215.78792487304335</v>
      </c>
      <c r="W37" s="174">
        <f>MAX(W61*W$14,'Output - Jobs vs Yr (BAU)'!W12)</f>
        <v>225.00308953985706</v>
      </c>
      <c r="X37" s="184">
        <f>Inputs!F20*'Output -Jobs vs Yr'!$X$14</f>
        <v>233.94567178480398</v>
      </c>
      <c r="Y37" s="174">
        <f>MAX(Y61*Y$14,'Output - Jobs vs Yr (BAU)'!Y12)</f>
        <v>242.97021644525179</v>
      </c>
      <c r="Z37" s="174">
        <f>MAX(Z61*Z$14,'Output - Jobs vs Yr (BAU)'!Z12)</f>
        <v>252.6238715396228</v>
      </c>
      <c r="AA37" s="174">
        <f>MAX(AA61*AA$14,'Output - Jobs vs Yr (BAU)'!AA12)</f>
        <v>262.39404939159652</v>
      </c>
      <c r="AB37" s="174">
        <f>MAX(AB61*AB$14,'Output - Jobs vs Yr (BAU)'!AB12)</f>
        <v>272.77764046129499</v>
      </c>
      <c r="AC37" s="174">
        <f>MAX(AC61*AC$14,'Output - Jobs vs Yr (BAU)'!AC12)</f>
        <v>283.99301209091078</v>
      </c>
      <c r="AD37" s="174">
        <f>MAX(AD61*AD$14,'Output - Jobs vs Yr (BAU)'!AD12)</f>
        <v>295.62159273931888</v>
      </c>
      <c r="AE37" s="174">
        <f>MAX(AE61*AE$14,'Output - Jobs vs Yr (BAU)'!AE12)</f>
        <v>308.29357295446152</v>
      </c>
      <c r="AF37" s="174">
        <f>MAX(AF61*AF$14,'Output - Jobs vs Yr (BAU)'!AF12)</f>
        <v>321.79684773279411</v>
      </c>
      <c r="AG37" s="174">
        <f>MAX(AG61*AG$14,'Output - Jobs vs Yr (BAU)'!AG12)</f>
        <v>335.49821301846333</v>
      </c>
      <c r="AH37" s="184">
        <f>Inputs!I20*'Output -Jobs vs Yr'!$AH$14</f>
        <v>349.37160349397459</v>
      </c>
      <c r="AI37" s="127"/>
    </row>
    <row r="38" spans="1:36" s="20" customFormat="1">
      <c r="A38" s="9" t="s">
        <v>347</v>
      </c>
      <c r="B38" s="35">
        <v>1</v>
      </c>
      <c r="C38" s="295">
        <f>'Output - Jobs vs Yr (BAU)'!C13</f>
        <v>0</v>
      </c>
      <c r="D38" s="295">
        <f>MAX(D62*D$14,'Output - Jobs vs Yr (BAU)'!D13)</f>
        <v>0</v>
      </c>
      <c r="E38" s="295">
        <f>MAX(E62*E$14,'Output - Jobs vs Yr (BAU)'!E13)</f>
        <v>0.2</v>
      </c>
      <c r="F38" s="295">
        <f>MAX(F62*F$14,'Output - Jobs vs Yr (BAU)'!F13)</f>
        <v>0.2</v>
      </c>
      <c r="G38" s="295">
        <f>MAX(G62*G$14,'Output - Jobs vs Yr (BAU)'!G13)</f>
        <v>0.2</v>
      </c>
      <c r="H38" s="251">
        <f>'Output - Jobs vs Yr (BAU)'!H13</f>
        <v>0.2</v>
      </c>
      <c r="I38" s="118">
        <f>MAX(I62*I$14,'Output - Jobs vs Yr (BAU)'!I13)</f>
        <v>0.22936272293734131</v>
      </c>
      <c r="J38" s="118">
        <f>MAX(J62*J$14,'Output - Jobs vs Yr (BAU)'!J13)</f>
        <v>0.26629016716789389</v>
      </c>
      <c r="K38" s="118">
        <f>MAX(K62*K$14,'Output - Jobs vs Yr (BAU)'!K13)</f>
        <v>0.31161167508376242</v>
      </c>
      <c r="L38" s="118">
        <f>MAX(L62*L$14,'Output - Jobs vs Yr (BAU)'!L13)</f>
        <v>0.36084775986655004</v>
      </c>
      <c r="M38" s="118">
        <f>MAX(M62*M$14,'Output - Jobs vs Yr (BAU)'!M13)</f>
        <v>0.4157684935786109</v>
      </c>
      <c r="N38" s="184">
        <f>MAX(Inputs!$E21*N$21,'Output - Jobs vs Yr (BAU)'!N13)</f>
        <v>0.47764440859056806</v>
      </c>
      <c r="O38" s="174">
        <f>MAX(O62*O$14,'Output - Jobs vs Yr (BAU)'!O13)</f>
        <v>0.49855198516711074</v>
      </c>
      <c r="P38" s="174">
        <f>MAX(P62*P$14,'Output - Jobs vs Yr (BAU)'!P13)</f>
        <v>0.52036135096257485</v>
      </c>
      <c r="Q38" s="174">
        <f>MAX(Q62*Q$14,'Output - Jobs vs Yr (BAU)'!Q13)</f>
        <v>0.5456859206704634</v>
      </c>
      <c r="R38" s="174">
        <f>MAX(R62*R$14,'Output - Jobs vs Yr (BAU)'!R13)</f>
        <v>0.57104166888534957</v>
      </c>
      <c r="S38" s="174">
        <f>MAX(S62*S$14,'Output - Jobs vs Yr (BAU)'!S13)</f>
        <v>0.59823492926605437</v>
      </c>
      <c r="T38" s="174">
        <f>MAX(T62*T$14,'Output - Jobs vs Yr (BAU)'!T13)</f>
        <v>0.62190856686288665</v>
      </c>
      <c r="U38" s="174">
        <f>MAX(U62*U$14,'Output - Jobs vs Yr (BAU)'!U13)</f>
        <v>0.64626185968808536</v>
      </c>
      <c r="V38" s="174">
        <f>MAX(V62*V$14,'Output - Jobs vs Yr (BAU)'!V13)</f>
        <v>0.67206310016279069</v>
      </c>
      <c r="W38" s="174">
        <f>MAX(W62*W$14,'Output - Jobs vs Yr (BAU)'!W13)</f>
        <v>0.70076337214572537</v>
      </c>
      <c r="X38" s="184">
        <f>Inputs!F21*'Output -Jobs vs Yr'!$X$14</f>
        <v>0.72861469677631141</v>
      </c>
      <c r="Y38" s="174">
        <f>MAX(Y62*Y$14,'Output - Jobs vs Yr (BAU)'!Y13)</f>
        <v>0.75672129016250955</v>
      </c>
      <c r="Z38" s="174">
        <f>MAX(Z62*Z$14,'Output - Jobs vs Yr (BAU)'!Z13)</f>
        <v>0.7867872235294594</v>
      </c>
      <c r="AA38" s="174">
        <f>MAX(AA62*AA$14,'Output - Jobs vs Yr (BAU)'!AA13)</f>
        <v>0.81721606249346745</v>
      </c>
      <c r="AB38" s="174">
        <f>MAX(AB62*AB$14,'Output - Jobs vs Yr (BAU)'!AB13)</f>
        <v>0.84955535306883179</v>
      </c>
      <c r="AC38" s="174">
        <f>MAX(AC62*AC$14,'Output - Jobs vs Yr (BAU)'!AC13)</f>
        <v>0.88448519185064478</v>
      </c>
      <c r="AD38" s="174">
        <f>MAX(AD62*AD$14,'Output - Jobs vs Yr (BAU)'!AD13)</f>
        <v>0.92070195405205224</v>
      </c>
      <c r="AE38" s="174">
        <f>MAX(AE62*AE$14,'Output - Jobs vs Yr (BAU)'!AE13)</f>
        <v>0.96016834362691283</v>
      </c>
      <c r="AF38" s="174">
        <f>MAX(AF62*AF$14,'Output - Jobs vs Yr (BAU)'!AF13)</f>
        <v>1.0022237677903152</v>
      </c>
      <c r="AG38" s="174">
        <f>MAX(AG62*AG$14,'Output - Jobs vs Yr (BAU)'!AG13)</f>
        <v>1.0448961371352044</v>
      </c>
      <c r="AH38" s="184">
        <f>Inputs!I21*'Output -Jobs vs Yr'!$AH$14</f>
        <v>1.0881042722439067</v>
      </c>
      <c r="AI38" s="127"/>
    </row>
    <row r="39" spans="1:36" s="20" customFormat="1">
      <c r="A39" s="9" t="s">
        <v>348</v>
      </c>
      <c r="B39" s="35">
        <v>1</v>
      </c>
      <c r="C39" s="295">
        <f>'Output - Jobs vs Yr (BAU)'!C14</f>
        <v>0</v>
      </c>
      <c r="D39" s="295">
        <f>MAX(D63*D$14,'Output - Jobs vs Yr (BAU)'!D14)</f>
        <v>0</v>
      </c>
      <c r="E39" s="295">
        <f>MAX(E63*E$14,'Output - Jobs vs Yr (BAU)'!E14)</f>
        <v>0.1</v>
      </c>
      <c r="F39" s="295">
        <f>MAX(F63*F$14,'Output - Jobs vs Yr (BAU)'!F14)</f>
        <v>0.1</v>
      </c>
      <c r="G39" s="295">
        <f>MAX(G63*G$14,'Output - Jobs vs Yr (BAU)'!G14)</f>
        <v>0.1</v>
      </c>
      <c r="H39" s="251">
        <f>'Output - Jobs vs Yr (BAU)'!H14</f>
        <v>0.1</v>
      </c>
      <c r="I39" s="118">
        <f>MAX(I63*I$14,'Output - Jobs vs Yr (BAU)'!I14)</f>
        <v>0.11468136146867065</v>
      </c>
      <c r="J39" s="118">
        <f>MAX(J63*J$14,'Output - Jobs vs Yr (BAU)'!J14)</f>
        <v>0.13314508358394694</v>
      </c>
      <c r="K39" s="118">
        <f>MAX(K63*K$14,'Output - Jobs vs Yr (BAU)'!K14)</f>
        <v>0.15580583754188121</v>
      </c>
      <c r="L39" s="118">
        <f>MAX(L63*L$14,'Output - Jobs vs Yr (BAU)'!L14)</f>
        <v>0.18042387993327502</v>
      </c>
      <c r="M39" s="118">
        <f>MAX(M63*M$14,'Output - Jobs vs Yr (BAU)'!M14)</f>
        <v>0.20788424678930545</v>
      </c>
      <c r="N39" s="184">
        <f>MAX(Inputs!$E22*N$21,'Output - Jobs vs Yr (BAU)'!N14)</f>
        <v>0.23882220429528403</v>
      </c>
      <c r="O39" s="174">
        <f>MAX(O63*O$14,'Output - Jobs vs Yr (BAU)'!O14)</f>
        <v>0.24927599258355537</v>
      </c>
      <c r="P39" s="174">
        <f>MAX(P63*P$14,'Output - Jobs vs Yr (BAU)'!P14)</f>
        <v>0.26018067548128743</v>
      </c>
      <c r="Q39" s="174">
        <f>MAX(Q63*Q$14,'Output - Jobs vs Yr (BAU)'!Q14)</f>
        <v>0.2728429603352317</v>
      </c>
      <c r="R39" s="174">
        <f>MAX(R63*R$14,'Output - Jobs vs Yr (BAU)'!R14)</f>
        <v>0.28552083444267479</v>
      </c>
      <c r="S39" s="174">
        <f>MAX(S63*S$14,'Output - Jobs vs Yr (BAU)'!S14)</f>
        <v>0.29911746463302719</v>
      </c>
      <c r="T39" s="174">
        <f>MAX(T63*T$14,'Output - Jobs vs Yr (BAU)'!T14)</f>
        <v>0.31095428343144332</v>
      </c>
      <c r="U39" s="174">
        <f>MAX(U63*U$14,'Output - Jobs vs Yr (BAU)'!U14)</f>
        <v>0.32313092984404268</v>
      </c>
      <c r="V39" s="174">
        <f>MAX(V63*V$14,'Output - Jobs vs Yr (BAU)'!V14)</f>
        <v>0.33603155008139535</v>
      </c>
      <c r="W39" s="174">
        <f>MAX(W63*W$14,'Output - Jobs vs Yr (BAU)'!W14)</f>
        <v>0.35038168607286269</v>
      </c>
      <c r="X39" s="184">
        <f>Inputs!F22*'Output -Jobs vs Yr'!$X$14</f>
        <v>0.36430734838815571</v>
      </c>
      <c r="Y39" s="174">
        <f>MAX(Y63*Y$14,'Output - Jobs vs Yr (BAU)'!Y14)</f>
        <v>0.37836064508125478</v>
      </c>
      <c r="Z39" s="174">
        <f>MAX(Z63*Z$14,'Output - Jobs vs Yr (BAU)'!Z14)</f>
        <v>0.3933936117647297</v>
      </c>
      <c r="AA39" s="174">
        <f>MAX(AA63*AA$14,'Output - Jobs vs Yr (BAU)'!AA14)</f>
        <v>0.40860803124673373</v>
      </c>
      <c r="AB39" s="174">
        <f>MAX(AB63*AB$14,'Output - Jobs vs Yr (BAU)'!AB14)</f>
        <v>0.42477767653441589</v>
      </c>
      <c r="AC39" s="174">
        <f>MAX(AC63*AC$14,'Output - Jobs vs Yr (BAU)'!AC14)</f>
        <v>0.44224259592532239</v>
      </c>
      <c r="AD39" s="174">
        <f>MAX(AD63*AD$14,'Output - Jobs vs Yr (BAU)'!AD14)</f>
        <v>0.46035097702602612</v>
      </c>
      <c r="AE39" s="174">
        <f>MAX(AE63*AE$14,'Output - Jobs vs Yr (BAU)'!AE14)</f>
        <v>0.48008417181345642</v>
      </c>
      <c r="AF39" s="174">
        <f>MAX(AF63*AF$14,'Output - Jobs vs Yr (BAU)'!AF14)</f>
        <v>0.50111188389515759</v>
      </c>
      <c r="AG39" s="174">
        <f>MAX(AG63*AG$14,'Output - Jobs vs Yr (BAU)'!AG14)</f>
        <v>0.52244806856760218</v>
      </c>
      <c r="AH39" s="184">
        <f>Inputs!I22*'Output -Jobs vs Yr'!$AH$14</f>
        <v>0.54405213612195336</v>
      </c>
      <c r="AI39" s="127"/>
    </row>
    <row r="40" spans="1:36" s="20" customFormat="1">
      <c r="A40" s="9" t="s">
        <v>344</v>
      </c>
      <c r="B40" s="35">
        <v>1</v>
      </c>
      <c r="C40" s="295">
        <f>'Output - Jobs vs Yr (BAU)'!C15</f>
        <v>0.01</v>
      </c>
      <c r="D40" s="295">
        <f>MAX(D64*D$14,'Output - Jobs vs Yr (BAU)'!D15)</f>
        <v>1.2135540727858199E-2</v>
      </c>
      <c r="E40" s="295">
        <f>MAX(E64*E$14,'Output - Jobs vs Yr (BAU)'!E15)</f>
        <v>1.2898951503409823E-2</v>
      </c>
      <c r="F40" s="295">
        <f>MAX(F64*F$14,'Output - Jobs vs Yr (BAU)'!F15)</f>
        <v>1.4040665428379636E-2</v>
      </c>
      <c r="G40" s="295">
        <f>MAX(G64*G$14,'Output - Jobs vs Yr (BAU)'!G15)</f>
        <v>1.6328482550674969E-2</v>
      </c>
      <c r="H40" s="251">
        <f>'Output - Jobs vs Yr (BAU)'!H15</f>
        <v>0.01</v>
      </c>
      <c r="I40" s="118">
        <f>MAX(I64*I$14,'Output - Jobs vs Yr (BAU)'!I15)</f>
        <v>1.1468136146867066E-2</v>
      </c>
      <c r="J40" s="118">
        <f>MAX(J64*J$14,'Output - Jobs vs Yr (BAU)'!J15)</f>
        <v>1.3314508358394693E-2</v>
      </c>
      <c r="K40" s="118">
        <f>MAX(K64*K$14,'Output - Jobs vs Yr (BAU)'!K15)</f>
        <v>1.5580583754188118E-2</v>
      </c>
      <c r="L40" s="118">
        <f>MAX(L64*L$14,'Output - Jobs vs Yr (BAU)'!L15)</f>
        <v>1.80423879933275E-2</v>
      </c>
      <c r="M40" s="118">
        <f>MAX(M64*M$14,'Output - Jobs vs Yr (BAU)'!M15)</f>
        <v>2.0788424678930544E-2</v>
      </c>
      <c r="N40" s="184">
        <f>MAX(Inputs!$E18*N$21,'Output - Jobs vs Yr (BAU)'!N15)</f>
        <v>2.3882220429528402E-2</v>
      </c>
      <c r="O40" s="174">
        <f>MAX(O64*O$14,'Output - Jobs vs Yr (BAU)'!O15)</f>
        <v>2.4927599258355533E-2</v>
      </c>
      <c r="P40" s="174">
        <f>MAX(P64*P$14,'Output - Jobs vs Yr (BAU)'!P15)</f>
        <v>2.6018067548128739E-2</v>
      </c>
      <c r="Q40" s="174">
        <f>MAX(Q64*Q$14,'Output - Jobs vs Yr (BAU)'!Q15)</f>
        <v>2.728429603352317E-2</v>
      </c>
      <c r="R40" s="174">
        <f>MAX(R64*R$14,'Output - Jobs vs Yr (BAU)'!R15)</f>
        <v>2.8552083444267479E-2</v>
      </c>
      <c r="S40" s="174">
        <f>MAX(S64*S$14,'Output - Jobs vs Yr (BAU)'!S15)</f>
        <v>2.9911746463302715E-2</v>
      </c>
      <c r="T40" s="174">
        <f>MAX(T64*T$14,'Output - Jobs vs Yr (BAU)'!T15)</f>
        <v>3.1095428343144337E-2</v>
      </c>
      <c r="U40" s="174">
        <f>MAX(U64*U$14,'Output - Jobs vs Yr (BAU)'!U15)</f>
        <v>3.2313092984404268E-2</v>
      </c>
      <c r="V40" s="174">
        <f>MAX(V64*V$14,'Output - Jobs vs Yr (BAU)'!V15)</f>
        <v>3.360315500813954E-2</v>
      </c>
      <c r="W40" s="174">
        <f>MAX(W64*W$14,'Output - Jobs vs Yr (BAU)'!W15)</f>
        <v>3.5038168607286278E-2</v>
      </c>
      <c r="X40" s="184">
        <f>Inputs!F18*'Output -Jobs vs Yr'!$X$14</f>
        <v>3.6430734838815565E-2</v>
      </c>
      <c r="Y40" s="174">
        <f>MAX(Y64*Y$14,'Output - Jobs vs Yr (BAU)'!Y15)</f>
        <v>3.7836064508125482E-2</v>
      </c>
      <c r="Z40" s="174">
        <f>MAX(Z64*Z$14,'Output - Jobs vs Yr (BAU)'!Z15)</f>
        <v>3.9339361176472964E-2</v>
      </c>
      <c r="AA40" s="174">
        <f>MAX(AA64*AA$14,'Output - Jobs vs Yr (BAU)'!AA15)</f>
        <v>4.086080312467337E-2</v>
      </c>
      <c r="AB40" s="174">
        <f>MAX(AB64*AB$14,'Output - Jobs vs Yr (BAU)'!AB15)</f>
        <v>4.2477767653441585E-2</v>
      </c>
      <c r="AC40" s="174">
        <f>MAX(AC64*AC$14,'Output - Jobs vs Yr (BAU)'!AC15)</f>
        <v>4.4224259592532233E-2</v>
      </c>
      <c r="AD40" s="174">
        <f>MAX(AD64*AD$14,'Output - Jobs vs Yr (BAU)'!AD15)</f>
        <v>4.6035097702602605E-2</v>
      </c>
      <c r="AE40" s="174">
        <f>MAX(AE64*AE$14,'Output - Jobs vs Yr (BAU)'!AE15)</f>
        <v>4.8008417181345645E-2</v>
      </c>
      <c r="AF40" s="174">
        <f>MAX(AF64*AF$14,'Output - Jobs vs Yr (BAU)'!AF15)</f>
        <v>5.0111188389515761E-2</v>
      </c>
      <c r="AG40" s="174">
        <f>MAX(AG64*AG$14,'Output - Jobs vs Yr (BAU)'!AG15)</f>
        <v>5.2244806856760216E-2</v>
      </c>
      <c r="AH40" s="184">
        <f>Inputs!I18*'Output -Jobs vs Yr'!$AH$14</f>
        <v>5.440521361219533E-2</v>
      </c>
      <c r="AI40" s="127"/>
    </row>
    <row r="41" spans="1:36" s="217" customFormat="1">
      <c r="A41" s="10" t="s">
        <v>120</v>
      </c>
      <c r="B41" s="37">
        <v>1</v>
      </c>
      <c r="C41" s="295">
        <v>0</v>
      </c>
      <c r="D41" s="295">
        <v>0</v>
      </c>
      <c r="E41" s="295">
        <v>0</v>
      </c>
      <c r="F41" s="295">
        <v>0</v>
      </c>
      <c r="G41" s="295">
        <v>0</v>
      </c>
      <c r="H41" s="251">
        <v>1</v>
      </c>
      <c r="I41" s="251">
        <v>2</v>
      </c>
      <c r="J41" s="251">
        <v>3</v>
      </c>
      <c r="K41" s="251">
        <v>4</v>
      </c>
      <c r="L41" s="251">
        <v>5</v>
      </c>
      <c r="M41" s="251">
        <v>6</v>
      </c>
      <c r="N41" s="252">
        <v>7</v>
      </c>
      <c r="O41" s="251">
        <v>8</v>
      </c>
      <c r="P41" s="251">
        <v>9</v>
      </c>
      <c r="Q41" s="251">
        <v>10</v>
      </c>
      <c r="R41" s="251">
        <v>11</v>
      </c>
      <c r="S41" s="251">
        <v>12</v>
      </c>
      <c r="T41" s="251">
        <v>13</v>
      </c>
      <c r="U41" s="251">
        <v>14</v>
      </c>
      <c r="V41" s="251">
        <v>15</v>
      </c>
      <c r="W41" s="251">
        <v>16</v>
      </c>
      <c r="X41" s="252">
        <v>17</v>
      </c>
      <c r="Y41" s="217">
        <v>18</v>
      </c>
      <c r="Z41" s="217">
        <v>19</v>
      </c>
      <c r="AA41" s="217">
        <v>20</v>
      </c>
      <c r="AB41" s="217">
        <v>21</v>
      </c>
      <c r="AC41" s="217">
        <v>22</v>
      </c>
      <c r="AD41" s="197">
        <v>23</v>
      </c>
      <c r="AE41" s="217">
        <v>24</v>
      </c>
      <c r="AF41" s="217">
        <v>25</v>
      </c>
      <c r="AG41" s="217">
        <v>26</v>
      </c>
      <c r="AH41" s="252">
        <v>27</v>
      </c>
      <c r="AI41" s="217">
        <f>EXP(0.01)</f>
        <v>1.0100501670841679</v>
      </c>
      <c r="AJ41" s="390">
        <v>0.01</v>
      </c>
    </row>
    <row r="42" spans="1:36" s="20" customFormat="1">
      <c r="A42" s="9" t="s">
        <v>53</v>
      </c>
      <c r="B42" s="35">
        <v>1</v>
      </c>
      <c r="C42" s="295">
        <f>EIA_RE_aeo2014!E78*1000</f>
        <v>0</v>
      </c>
      <c r="D42" s="295">
        <f>MAX(D66*D$14,'Output - Jobs vs Yr (BAU)'!D16)</f>
        <v>0</v>
      </c>
      <c r="E42" s="295">
        <f>MAX(E66*E$14,'Output - Jobs vs Yr (BAU)'!E16)</f>
        <v>3.8983921000000005E-2</v>
      </c>
      <c r="F42" s="295">
        <f>MAX(F66*F$14,'Output - Jobs vs Yr (BAU)'!F16)</f>
        <v>4.3605923000000005E-2</v>
      </c>
      <c r="G42" s="295">
        <f>MAX(G66*G$14,'Output - Jobs vs Yr (BAU)'!G16)</f>
        <v>4.6780897999999994E-2</v>
      </c>
      <c r="H42" s="251">
        <f>'Output - Jobs vs Yr (BAU)'!H16</f>
        <v>4.7040753000000005E-2</v>
      </c>
      <c r="I42" s="118">
        <f>MAX(I66*I$14,'Output - Jobs vs Yr (BAU)'!I16)</f>
        <v>5.9372953999999999E-2</v>
      </c>
      <c r="J42" s="118">
        <f>MAX(J66*J$14,'Output - Jobs vs Yr (BAU)'!J16)</f>
        <v>7.060482888069318E-2</v>
      </c>
      <c r="K42" s="118">
        <f>MAX(K66*K$14,'Output - Jobs vs Yr (BAU)'!K16)</f>
        <v>8.7722398571466978E-2</v>
      </c>
      <c r="L42" s="118">
        <f>MAX(L66*L$14,'Output - Jobs vs Yr (BAU)'!L16)</f>
        <v>0.10785450579467167</v>
      </c>
      <c r="M42" s="118">
        <f>MAX(M66*M$14,'Output - Jobs vs Yr (BAU)'!M16)</f>
        <v>0.1319420896860708</v>
      </c>
      <c r="N42" s="184">
        <f>MAX(Inputs!$E23*N$21,'Output - Jobs vs Yr (BAU)'!N16)</f>
        <v>0.16093628903726406</v>
      </c>
      <c r="O42" s="174">
        <f>MAX(O66*O$14,'Output - Jobs vs Yr (BAU)'!O16)</f>
        <v>0.16798083457464405</v>
      </c>
      <c r="P42" s="174">
        <f>MAX(P66*P$14,'Output - Jobs vs Yr (BAU)'!P16)</f>
        <v>0.17532922667188497</v>
      </c>
      <c r="Q42" s="174">
        <f>MAX(Q66*Q$14,'Output - Jobs vs Yr (BAU)'!Q16)</f>
        <v>0.18386202261160817</v>
      </c>
      <c r="R42" s="174">
        <f>MAX(R66*R$14,'Output - Jobs vs Yr (BAU)'!R16)</f>
        <v>0.19240532375797398</v>
      </c>
      <c r="S42" s="174">
        <f>MAX(S66*S$14,'Output - Jobs vs Yr (BAU)'!S16)</f>
        <v>0.20156775156783466</v>
      </c>
      <c r="T42" s="174">
        <f>MAX(T66*T$14,'Output - Jobs vs Yr (BAU)'!T16)</f>
        <v>0.20954428665193547</v>
      </c>
      <c r="U42" s="174">
        <f>MAX(U66*U$14,'Output - Jobs vs Yr (BAU)'!U16)</f>
        <v>0.2177498230355612</v>
      </c>
      <c r="V42" s="174">
        <f>MAX(V66*V$14,'Output - Jobs vs Yr (BAU)'!V16)</f>
        <v>0.22644322720794524</v>
      </c>
      <c r="W42" s="174">
        <f>MAX(W66*W$14,'Output - Jobs vs Yr (BAU)'!W16)</f>
        <v>0.2361134236641817</v>
      </c>
      <c r="X42" s="184">
        <f>Inputs!F23*'Output -Jobs vs Yr'!$X$14</f>
        <v>0.24549757796433361</v>
      </c>
      <c r="Y42" s="174">
        <f>MAX(Y66*Y$14,'Output - Jobs vs Yr (BAU)'!Y16)</f>
        <v>0.25496774186806609</v>
      </c>
      <c r="Z42" s="174">
        <f>MAX(Z66*Z$14,'Output - Jobs vs Yr (BAU)'!Z16)</f>
        <v>0.26509808078859609</v>
      </c>
      <c r="AA42" s="174">
        <f>MAX(AA66*AA$14,'Output - Jobs vs Yr (BAU)'!AA16)</f>
        <v>0.27535069619558961</v>
      </c>
      <c r="AB42" s="174">
        <f>MAX(AB66*AB$14,'Output - Jobs vs Yr (BAU)'!AB16)</f>
        <v>0.28624701429686189</v>
      </c>
      <c r="AC42" s="174">
        <f>MAX(AC66*AC$14,'Output - Jobs vs Yr (BAU)'!AC16)</f>
        <v>0.29801618510491706</v>
      </c>
      <c r="AD42" s="174">
        <f>MAX(AD66*AD$14,'Output - Jobs vs Yr (BAU)'!AD16)</f>
        <v>0.31021896860831566</v>
      </c>
      <c r="AE42" s="174">
        <f>MAX(AE66*AE$14,'Output - Jobs vs Yr (BAU)'!AE16)</f>
        <v>0.32351667327237582</v>
      </c>
      <c r="AF42" s="174">
        <f>MAX(AF66*AF$14,'Output - Jobs vs Yr (BAU)'!AF16)</f>
        <v>0.33768672064866095</v>
      </c>
      <c r="AG42" s="174">
        <f>MAX(AG66*AG$14,'Output - Jobs vs Yr (BAU)'!AG16)</f>
        <v>0.35206463996118609</v>
      </c>
      <c r="AH42" s="184">
        <f>Inputs!I23*'Output -Jobs vs Yr'!$AH$14</f>
        <v>0.36662307882396772</v>
      </c>
      <c r="AI42" s="127"/>
    </row>
    <row r="43" spans="1:36">
      <c r="A43" s="10" t="s">
        <v>332</v>
      </c>
      <c r="B43" s="37"/>
      <c r="C43" s="295">
        <f>SUM(C31:C42)</f>
        <v>20925.999999999996</v>
      </c>
      <c r="D43" s="295">
        <f t="shared" ref="D43:AG43" si="29">SUM(D31:D42)</f>
        <v>22762.855406648472</v>
      </c>
      <c r="E43" s="295">
        <f t="shared" si="29"/>
        <v>21759.771365700737</v>
      </c>
      <c r="F43" s="295">
        <f t="shared" si="29"/>
        <v>21336.877505133914</v>
      </c>
      <c r="G43" s="295">
        <f t="shared" si="29"/>
        <v>22404.459341971597</v>
      </c>
      <c r="H43" s="251">
        <f t="shared" si="29"/>
        <v>21427.728732287742</v>
      </c>
      <c r="I43" s="83">
        <f t="shared" si="29"/>
        <v>22077.686192702655</v>
      </c>
      <c r="J43" s="83">
        <f t="shared" si="29"/>
        <v>23090.76545067492</v>
      </c>
      <c r="K43" s="83">
        <f t="shared" si="29"/>
        <v>24417.012401765507</v>
      </c>
      <c r="L43" s="83">
        <f t="shared" si="29"/>
        <v>25640.931506461526</v>
      </c>
      <c r="M43" s="83">
        <f t="shared" si="29"/>
        <v>26898.768018532021</v>
      </c>
      <c r="N43" s="184">
        <f t="shared" si="29"/>
        <v>28262.583421678599</v>
      </c>
      <c r="O43" s="83">
        <f t="shared" si="29"/>
        <v>28561.81231765019</v>
      </c>
      <c r="P43" s="83">
        <f t="shared" si="29"/>
        <v>28870.579013017206</v>
      </c>
      <c r="Q43" s="83">
        <f t="shared" si="29"/>
        <v>29327.688990608753</v>
      </c>
      <c r="R43" s="83">
        <f t="shared" si="29"/>
        <v>29737.272135263414</v>
      </c>
      <c r="S43" s="83">
        <f t="shared" si="29"/>
        <v>30193.932186893879</v>
      </c>
      <c r="T43" s="83">
        <f t="shared" si="29"/>
        <v>30430.577576053664</v>
      </c>
      <c r="U43" s="83">
        <f t="shared" si="29"/>
        <v>30665.578729303925</v>
      </c>
      <c r="V43" s="83">
        <f t="shared" si="29"/>
        <v>30934.130029351247</v>
      </c>
      <c r="W43" s="83">
        <f t="shared" si="29"/>
        <v>31297.774347840917</v>
      </c>
      <c r="X43" s="184">
        <f t="shared" si="29"/>
        <v>31585.486913650966</v>
      </c>
      <c r="Y43" s="174">
        <f t="shared" si="29"/>
        <v>31899.053556743136</v>
      </c>
      <c r="Z43" s="174">
        <f t="shared" si="29"/>
        <v>32261.861087469097</v>
      </c>
      <c r="AA43" s="174">
        <f t="shared" si="29"/>
        <v>32606.207677909533</v>
      </c>
      <c r="AB43" s="174">
        <f t="shared" si="29"/>
        <v>32993.562472373276</v>
      </c>
      <c r="AC43" s="174">
        <f t="shared" si="29"/>
        <v>33446.229140884592</v>
      </c>
      <c r="AD43" s="174">
        <f t="shared" si="29"/>
        <v>33911.133644600399</v>
      </c>
      <c r="AE43" s="174">
        <f t="shared" si="29"/>
        <v>34457.708763743343</v>
      </c>
      <c r="AF43" s="174">
        <f t="shared" si="29"/>
        <v>35056.690132249634</v>
      </c>
      <c r="AG43" s="174">
        <f t="shared" si="29"/>
        <v>35636.954149952879</v>
      </c>
      <c r="AH43" s="184">
        <f>SUM(AH31:AH42)</f>
        <v>36197.216005918228</v>
      </c>
      <c r="AI43" s="127"/>
    </row>
    <row r="44" spans="1:36">
      <c r="A44" s="10" t="s">
        <v>124</v>
      </c>
      <c r="B44" s="37"/>
      <c r="C44" s="296">
        <f>SUMPRODUCT($B34:$B42,C34:C42)</f>
        <v>1563.01</v>
      </c>
      <c r="D44" s="296">
        <f>SUMPRODUCT($B34:$B42,D34:D42)</f>
        <v>1993.9682620494491</v>
      </c>
      <c r="E44" s="296">
        <f t="shared" ref="E44:AG44" si="30">SUMPRODUCT($B34:$B42*E34:E42)</f>
        <v>2249.6894861722494</v>
      </c>
      <c r="F44" s="296">
        <f t="shared" si="30"/>
        <v>2569.1195098538174</v>
      </c>
      <c r="G44" s="296">
        <f t="shared" si="30"/>
        <v>3117.6453181586257</v>
      </c>
      <c r="H44" s="367">
        <f t="shared" si="30"/>
        <v>1872.4635624343578</v>
      </c>
      <c r="I44" s="14">
        <f>SUMPRODUCT($B34:$B42*I34:I42)</f>
        <v>2257.2563244016778</v>
      </c>
      <c r="J44" s="14">
        <f t="shared" si="30"/>
        <v>2754.4992181204757</v>
      </c>
      <c r="K44" s="14">
        <f t="shared" si="30"/>
        <v>3387.6788920045428</v>
      </c>
      <c r="L44" s="14">
        <f t="shared" si="30"/>
        <v>4122.9345847030554</v>
      </c>
      <c r="M44" s="14">
        <f t="shared" si="30"/>
        <v>4992.6073841319212</v>
      </c>
      <c r="N44" s="182">
        <f t="shared" si="30"/>
        <v>6028.0739896229725</v>
      </c>
      <c r="O44" s="14">
        <f t="shared" si="30"/>
        <v>6292.6300226194307</v>
      </c>
      <c r="P44" s="14">
        <f t="shared" si="30"/>
        <v>6568.5538001398845</v>
      </c>
      <c r="Q44" s="14">
        <f t="shared" si="30"/>
        <v>6888.7894181522524</v>
      </c>
      <c r="R44" s="14">
        <f t="shared" si="30"/>
        <v>7209.4180651504967</v>
      </c>
      <c r="S44" s="14">
        <f t="shared" si="30"/>
        <v>7553.2099618555112</v>
      </c>
      <c r="T44" s="14">
        <f t="shared" si="30"/>
        <v>7852.6343148059786</v>
      </c>
      <c r="U44" s="14">
        <f t="shared" si="30"/>
        <v>8160.6262430149973</v>
      </c>
      <c r="V44" s="14">
        <f t="shared" si="30"/>
        <v>8486.8706615159208</v>
      </c>
      <c r="W44" s="14">
        <f t="shared" si="30"/>
        <v>8849.6595949224047</v>
      </c>
      <c r="X44" s="187">
        <f t="shared" si="30"/>
        <v>9201.7468960479491</v>
      </c>
      <c r="Y44" s="14">
        <f t="shared" si="30"/>
        <v>9557.0520555575422</v>
      </c>
      <c r="Z44" s="14">
        <f t="shared" si="30"/>
        <v>9937.056197788912</v>
      </c>
      <c r="AA44" s="14">
        <f t="shared" si="30"/>
        <v>10321.635043318043</v>
      </c>
      <c r="AB44" s="14">
        <f t="shared" si="30"/>
        <v>10730.296596189051</v>
      </c>
      <c r="AC44" s="14">
        <f t="shared" si="30"/>
        <v>11171.61399542648</v>
      </c>
      <c r="AD44" s="14">
        <f t="shared" si="30"/>
        <v>11629.15405107733</v>
      </c>
      <c r="AE44" s="14">
        <f t="shared" si="30"/>
        <v>12127.658151323616</v>
      </c>
      <c r="AF44" s="14">
        <f t="shared" si="30"/>
        <v>12658.799017622081</v>
      </c>
      <c r="AG44" s="14">
        <f t="shared" si="30"/>
        <v>13197.716950957167</v>
      </c>
      <c r="AH44" s="187">
        <f>SUMPRODUCT($B34:$B42*AH34:AH42)</f>
        <v>13743.38862252724</v>
      </c>
      <c r="AI44" s="127"/>
    </row>
    <row r="45" spans="1:36">
      <c r="A45" s="10" t="s">
        <v>117</v>
      </c>
      <c r="B45" s="37"/>
      <c r="C45" s="297">
        <f t="shared" ref="C45:AG45" si="31">C44/C14</f>
        <v>2.7251028663086686E-2</v>
      </c>
      <c r="D45" s="297">
        <f t="shared" si="31"/>
        <v>3.2688004295892602E-2</v>
      </c>
      <c r="E45" s="297">
        <f t="shared" si="31"/>
        <v>3.9591833920952509E-2</v>
      </c>
      <c r="F45" s="297">
        <f t="shared" si="31"/>
        <v>4.7396057740023166E-2</v>
      </c>
      <c r="G45" s="297">
        <f t="shared" si="31"/>
        <v>5.6433194626858564E-2</v>
      </c>
      <c r="H45" s="249">
        <f t="shared" si="31"/>
        <v>3.3648460158122229E-2</v>
      </c>
      <c r="I45" s="23">
        <f t="shared" si="31"/>
        <v>4.0359707573634787E-2</v>
      </c>
      <c r="J45" s="23">
        <f t="shared" si="31"/>
        <v>4.8404489536969748E-2</v>
      </c>
      <c r="K45" s="23">
        <f t="shared" si="31"/>
        <v>5.8049006569756964E-2</v>
      </c>
      <c r="L45" s="23">
        <f t="shared" si="31"/>
        <v>6.9614043205159473E-2</v>
      </c>
      <c r="M45" s="23">
        <f t="shared" si="31"/>
        <v>8.34830715983262E-2</v>
      </c>
      <c r="N45" s="178">
        <f t="shared" si="31"/>
        <v>0.10011625832886402</v>
      </c>
      <c r="O45" s="23">
        <f t="shared" si="31"/>
        <v>0.10355362008327593</v>
      </c>
      <c r="P45" s="23">
        <f t="shared" si="31"/>
        <v>0.10710779288048715</v>
      </c>
      <c r="Q45" s="207">
        <f t="shared" si="31"/>
        <v>0.110782026503172</v>
      </c>
      <c r="R45" s="207">
        <f t="shared" si="31"/>
        <v>0.11458146191299785</v>
      </c>
      <c r="S45" s="207">
        <f t="shared" si="31"/>
        <v>0.11850987568006971</v>
      </c>
      <c r="T45" s="207">
        <f t="shared" si="31"/>
        <v>0.12257344424777809</v>
      </c>
      <c r="U45" s="207">
        <f t="shared" si="31"/>
        <v>0.12677549668061849</v>
      </c>
      <c r="V45" s="207">
        <f t="shared" si="31"/>
        <v>0.13112052979413505</v>
      </c>
      <c r="W45" s="207">
        <f t="shared" si="31"/>
        <v>0.13561294213976996</v>
      </c>
      <c r="X45" s="185">
        <f t="shared" si="31"/>
        <v>0.1402591252678965</v>
      </c>
      <c r="Y45" s="172">
        <f t="shared" si="31"/>
        <v>0.14535733917439597</v>
      </c>
      <c r="Z45" s="172">
        <f t="shared" si="31"/>
        <v>0.15063975783078595</v>
      </c>
      <c r="AA45" s="172">
        <f t="shared" si="31"/>
        <v>0.15611368050043958</v>
      </c>
      <c r="AB45" s="172">
        <f t="shared" si="31"/>
        <v>0.16178550152205676</v>
      </c>
      <c r="AC45" s="172">
        <f t="shared" si="31"/>
        <v>0.16766217854135573</v>
      </c>
      <c r="AD45" s="172">
        <f t="shared" si="31"/>
        <v>0.1737516768377472</v>
      </c>
      <c r="AE45" s="172">
        <f t="shared" si="31"/>
        <v>0.18006101968099519</v>
      </c>
      <c r="AF45" s="172">
        <f t="shared" si="31"/>
        <v>0.18659849842506024</v>
      </c>
      <c r="AG45" s="172">
        <f t="shared" si="31"/>
        <v>0.19337317146268543</v>
      </c>
      <c r="AH45" s="185">
        <f>AH44/AH14</f>
        <v>0.20039368963278939</v>
      </c>
      <c r="AI45" s="127"/>
    </row>
    <row r="46" spans="1:36" s="217" customFormat="1">
      <c r="A46" s="10" t="s">
        <v>333</v>
      </c>
      <c r="B46" s="37"/>
      <c r="C46" s="295">
        <f>SUM(EIA_electricity_aeo2014!E50,EIA_electricity_aeo2014!E55)*1000</f>
        <v>111.99999999999999</v>
      </c>
      <c r="D46" s="295">
        <f>SUM(EIA_electricity_aeo2014!F50,EIA_electricity_aeo2014!F55)*1000</f>
        <v>73</v>
      </c>
      <c r="E46" s="295">
        <f>SUM(EIA_electricity_aeo2014!G50,EIA_electricity_aeo2014!G55)*1000</f>
        <v>104.93552021966765</v>
      </c>
      <c r="F46" s="295">
        <f>SUM(EIA_electricity_aeo2014!H50,EIA_electricity_aeo2014!H55)*1000</f>
        <v>73.064577507444454</v>
      </c>
      <c r="G46" s="295">
        <f>SUM(EIA_electricity_aeo2014!I50,EIA_electricity_aeo2014!I55)*1000</f>
        <v>27.856719100823089</v>
      </c>
      <c r="H46" s="251">
        <f>SUM(EIA_electricity_aeo2014!J50,EIA_electricity_aeo2014!J55)*1000</f>
        <v>28.534476795146883</v>
      </c>
      <c r="I46" s="251">
        <f>SUM(EIA_electricity_aeo2014!K50,EIA_electricity_aeo2014!K55)*1000</f>
        <v>27.131330891766876</v>
      </c>
      <c r="J46" s="251">
        <f>SUM(EIA_electricity_aeo2014!L50,EIA_electricity_aeo2014!L55)*1000</f>
        <v>25.155177110284018</v>
      </c>
      <c r="K46" s="251">
        <f>SUM(EIA_electricity_aeo2014!M50,EIA_electricity_aeo2014!M55)*1000</f>
        <v>8.2204188225104033</v>
      </c>
      <c r="L46" s="251">
        <f>SUM(EIA_electricity_aeo2014!N50,EIA_electricity_aeo2014!N55)*1000</f>
        <v>8.6690977807158855</v>
      </c>
      <c r="M46" s="251">
        <f>SUM(EIA_electricity_aeo2014!O50,EIA_electricity_aeo2014!O55)*1000</f>
        <v>8.9145069198945723</v>
      </c>
      <c r="N46" s="251">
        <f>SUM(EIA_electricity_aeo2014!P50,EIA_electricity_aeo2014!P55)*1000</f>
        <v>8.908453616257459</v>
      </c>
      <c r="O46" s="251">
        <f>SUM(EIA_electricity_aeo2014!Q50,EIA_electricity_aeo2014!Q55)*1000</f>
        <v>9.1760552743760169</v>
      </c>
      <c r="P46" s="251">
        <f>SUM(EIA_electricity_aeo2014!R50,EIA_electricity_aeo2014!R55)*1000</f>
        <v>9.376384427760394</v>
      </c>
      <c r="Q46" s="251">
        <f>SUM(EIA_electricity_aeo2014!S50,EIA_electricity_aeo2014!S55)*1000</f>
        <v>9.5016573402762656</v>
      </c>
      <c r="R46" s="251">
        <f>SUM(EIA_electricity_aeo2014!T50,EIA_electricity_aeo2014!T55)*1000</f>
        <v>9.8469788022197271</v>
      </c>
      <c r="S46" s="251">
        <f>SUM(EIA_electricity_aeo2014!U50,EIA_electricity_aeo2014!U55)*1000</f>
        <v>10.293976073855429</v>
      </c>
      <c r="T46" s="251">
        <f>SUM(EIA_electricity_aeo2014!V50,EIA_electricity_aeo2014!V55)*1000</f>
        <v>10.058786870990383</v>
      </c>
      <c r="U46" s="251">
        <f>SUM(EIA_electricity_aeo2014!W50,EIA_electricity_aeo2014!W55)*1000</f>
        <v>10.021954863678948</v>
      </c>
      <c r="V46" s="251">
        <f>SUM(EIA_electricity_aeo2014!X50,EIA_electricity_aeo2014!X55)*1000</f>
        <v>10.100834512365624</v>
      </c>
      <c r="W46" s="251">
        <f>SUM(EIA_electricity_aeo2014!Y50,EIA_electricity_aeo2014!Y55)*1000</f>
        <v>10.116524946384569</v>
      </c>
      <c r="X46" s="251">
        <f>SUM(EIA_electricity_aeo2014!Z50,EIA_electricity_aeo2014!Z55)*1000</f>
        <v>10.164711303682957</v>
      </c>
      <c r="Y46" s="251">
        <f>SUM(EIA_electricity_aeo2014!AA50,EIA_electricity_aeo2014!AA55)*1000</f>
        <v>10.175316825963451</v>
      </c>
      <c r="Z46" s="251">
        <f>SUM(EIA_electricity_aeo2014!AB50,EIA_electricity_aeo2014!AB55)*1000</f>
        <v>10.178931537524988</v>
      </c>
      <c r="AA46" s="251">
        <f>SUM(EIA_electricity_aeo2014!AC50,EIA_electricity_aeo2014!AC55)*1000</f>
        <v>10.159537205084705</v>
      </c>
      <c r="AB46" s="251">
        <f>SUM(EIA_electricity_aeo2014!AD50,EIA_electricity_aeo2014!AD55)*1000</f>
        <v>10.149241205554983</v>
      </c>
      <c r="AC46" s="251">
        <f>SUM(EIA_electricity_aeo2014!AE50,EIA_electricity_aeo2014!AE55)*1000</f>
        <v>10.133930515178591</v>
      </c>
      <c r="AD46" s="251">
        <f>SUM(EIA_electricity_aeo2014!AF50,EIA_electricity_aeo2014!AF55)*1000</f>
        <v>10.119918002616579</v>
      </c>
      <c r="AE46" s="251">
        <f>SUM(EIA_electricity_aeo2014!AG50,EIA_electricity_aeo2014!AG55)*1000</f>
        <v>10.116565788627483</v>
      </c>
      <c r="AF46" s="251">
        <f>SUM(EIA_electricity_aeo2014!AH50,EIA_electricity_aeo2014!AH55)*1000</f>
        <v>10.100436227535447</v>
      </c>
      <c r="AG46" s="251">
        <f>SUM(EIA_electricity_aeo2014!AI50,EIA_electricity_aeo2014!AI55)*1000</f>
        <v>10.105612727490863</v>
      </c>
      <c r="AH46" s="251">
        <f>SUM(EIA_electricity_aeo2014!AJ50,EIA_electricity_aeo2014!AJ55)*1000</f>
        <v>10.121507462138895</v>
      </c>
      <c r="AI46" s="257"/>
    </row>
    <row r="47" spans="1:36" s="217" customFormat="1">
      <c r="A47" s="10" t="s">
        <v>142</v>
      </c>
      <c r="B47" s="37"/>
      <c r="C47" s="295">
        <f>(C$14-C$43-C$46)*0.7</f>
        <v>25422.6</v>
      </c>
      <c r="D47" s="295">
        <f>(D$14-D$30-D$43-D$46)*EIA_electricity_aeo2014!F60</f>
        <v>26449.299588686456</v>
      </c>
      <c r="E47" s="295">
        <f>(E$14-E$30-E$43-E$46)*EIA_electricity_aeo2014!G60</f>
        <v>24927.391487613731</v>
      </c>
      <c r="F47" s="295">
        <f>(F$14-F$30-F$43-F$46)*EIA_electricity_aeo2014!H60</f>
        <v>21086.225467852848</v>
      </c>
      <c r="G47" s="295">
        <f>(G$14-G$30-G$43-G$46)*EIA_electricity_aeo2014!I60</f>
        <v>22419.029810415177</v>
      </c>
      <c r="H47" s="251">
        <f>(H$14-H$30-H$43-H$46)*EIA_electricity_aeo2014!J60</f>
        <v>23927.668967880341</v>
      </c>
      <c r="I47" s="251">
        <f>(I$14-I$30-I$43-I$46)*EIA_electricity_aeo2014!K60</f>
        <v>22725.619984500765</v>
      </c>
      <c r="J47" s="251">
        <f>(J$14-J$30-J$43-J$46)*EIA_electricity_aeo2014!L60</f>
        <v>21734.940188291865</v>
      </c>
      <c r="K47" s="251">
        <f>(K$14-K$30-K$43-K$46)*EIA_electricity_aeo2014!M60</f>
        <v>22573.75044284379</v>
      </c>
      <c r="L47" s="251">
        <f>(L$14-L$30-L$43-L$46)*EIA_electricity_aeo2014!N60</f>
        <v>22559.309456235769</v>
      </c>
      <c r="M47" s="251">
        <f>(M$14-M$30-M$43-M$46)*EIA_electricity_aeo2014!O60</f>
        <v>22049.841458489853</v>
      </c>
      <c r="N47" s="252">
        <f>(N$14-N$43-N$46)*EIA_electricity_aeo2014!P60 - N30</f>
        <v>21177.921442308008</v>
      </c>
      <c r="O47" s="251">
        <f>(O$14-O$43-O$46)*EIA_electricity_aeo2014!Q60 - O30</f>
        <v>21299.708911795016</v>
      </c>
      <c r="P47" s="251">
        <f>(P$14-P$43-P$46)*EIA_electricity_aeo2014!R60 - P30</f>
        <v>21370.455629158248</v>
      </c>
      <c r="Q47" s="251">
        <f>(Q$14-Q$43-Q$46)*EIA_electricity_aeo2014!S60 - Q30</f>
        <v>21357.50370352883</v>
      </c>
      <c r="R47" s="251">
        <f>(R$14-R$43-R$46)*EIA_electricity_aeo2014!T60 - R30</f>
        <v>21497.111896602837</v>
      </c>
      <c r="S47" s="251">
        <f>(S$14-S$43-S$46)*EIA_electricity_aeo2014!U60 - S30</f>
        <v>21712.28424427862</v>
      </c>
      <c r="T47" s="251">
        <f>(T$14-T$43-T$46)*EIA_electricity_aeo2014!V60 - T30</f>
        <v>21643.753867363135</v>
      </c>
      <c r="U47" s="251">
        <f>(U$14-U$43-U$46)*EIA_electricity_aeo2014!W60 - U30</f>
        <v>21571.480240636425</v>
      </c>
      <c r="V47" s="251">
        <f>(V$14-V$43-V$46)*EIA_electricity_aeo2014!X60 - V30</f>
        <v>21487.286296151746</v>
      </c>
      <c r="W47" s="251">
        <f>(W$14-W$43-W$46)*EIA_electricity_aeo2014!Y60 - W30</f>
        <v>21500.212045948439</v>
      </c>
      <c r="X47" s="252">
        <f>(X$14-X$43-X$46)*EIA_electricity_aeo2014!Z60 - X30</f>
        <v>21423.051353311748</v>
      </c>
      <c r="Y47" s="251">
        <f>(Y$14-Y$43-Y$46)*EIA_electricity_aeo2014!AA60 - Y30</f>
        <v>21260.539280519839</v>
      </c>
      <c r="Z47" s="251">
        <f>(Z$14-Z$43-Z$46)*EIA_electricity_aeo2014!AB60 - Z30</f>
        <v>21080.454470657653</v>
      </c>
      <c r="AA47" s="251">
        <f>(AA$14-AA$43-AA$46)*EIA_electricity_aeo2014!AC60 - AA30</f>
        <v>20890.073412724316</v>
      </c>
      <c r="AB47" s="251">
        <f>(AB$14-AB$43-AB$46)*EIA_electricity_aeo2014!AD60 - AB30</f>
        <v>20688.07704319854</v>
      </c>
      <c r="AC47" s="251">
        <f>(AC$14-AC$43-AC$46)*EIA_electricity_aeo2014!AE60 - AC30</f>
        <v>20460.514214846815</v>
      </c>
      <c r="AD47" s="251">
        <f>(AD$14-AD$43-AD$46)*EIA_electricity_aeo2014!AF60 - AD30</f>
        <v>20236.033443498491</v>
      </c>
      <c r="AE47" s="251">
        <f>(AE$14-AE$43-AE$46)*EIA_electricity_aeo2014!AG60 - AE30</f>
        <v>19975.473264919994</v>
      </c>
      <c r="AF47" s="251">
        <f>(AF$14-AF$43-AF$46)*EIA_electricity_aeo2014!AH60 - AF30</f>
        <v>19707.14445394127</v>
      </c>
      <c r="AG47" s="251">
        <f>(AG$14-AG$43-AG$46)*EIA_electricity_aeo2014!AI60 - AG30</f>
        <v>19458.090699412849</v>
      </c>
      <c r="AH47" s="252">
        <f>(AH$14-AH$43-AH$46)*EIA_electricity_aeo2014!AJ60 - AH30</f>
        <v>19209.898493908291</v>
      </c>
      <c r="AI47" s="257"/>
      <c r="AJ47" s="363"/>
    </row>
    <row r="48" spans="1:36" s="217" customFormat="1">
      <c r="A48" s="10" t="s">
        <v>222</v>
      </c>
      <c r="B48" s="37"/>
      <c r="C48" s="295">
        <f>(C$14-C$43-C$46)* 0.3</f>
        <v>10895.4</v>
      </c>
      <c r="D48" s="295">
        <f t="shared" ref="D48:AH48" si="32">(D$14-SUM(D30:D42,D46:D47))</f>
        <v>11714.845004665076</v>
      </c>
      <c r="E48" s="295">
        <f t="shared" si="32"/>
        <v>10029.959696922779</v>
      </c>
      <c r="F48" s="295">
        <f>(F$14-SUM(F30:F42,F46:F47))</f>
        <v>11709.174251263874</v>
      </c>
      <c r="G48" s="295">
        <f t="shared" si="32"/>
        <v>10393.5386113559</v>
      </c>
      <c r="H48" s="251">
        <f t="shared" si="32"/>
        <v>10263.891040955212</v>
      </c>
      <c r="I48" s="251">
        <f t="shared" si="32"/>
        <v>11098.023328331772</v>
      </c>
      <c r="J48" s="251">
        <f t="shared" si="32"/>
        <v>12055.001521685641</v>
      </c>
      <c r="K48" s="251">
        <f t="shared" si="32"/>
        <v>11359.963636608591</v>
      </c>
      <c r="L48" s="251">
        <f t="shared" si="32"/>
        <v>11016.705847972516</v>
      </c>
      <c r="M48" s="251">
        <f t="shared" si="32"/>
        <v>10846.305565521303</v>
      </c>
      <c r="N48" s="252">
        <f t="shared" si="32"/>
        <v>10761.326578626838</v>
      </c>
      <c r="O48" s="251">
        <f t="shared" si="32"/>
        <v>10896.179021091964</v>
      </c>
      <c r="P48" s="251">
        <f t="shared" si="32"/>
        <v>11076.161237556858</v>
      </c>
      <c r="Q48" s="251">
        <f t="shared" si="32"/>
        <v>11488.582445277687</v>
      </c>
      <c r="R48" s="251">
        <f t="shared" si="32"/>
        <v>11675.354276388134</v>
      </c>
      <c r="S48" s="251">
        <f t="shared" si="32"/>
        <v>11818.346443386261</v>
      </c>
      <c r="T48" s="251">
        <f t="shared" si="32"/>
        <v>11980.337354034164</v>
      </c>
      <c r="U48" s="251">
        <f t="shared" si="32"/>
        <v>12123.609442702909</v>
      </c>
      <c r="V48" s="251">
        <f t="shared" si="32"/>
        <v>12294.202563972023</v>
      </c>
      <c r="W48" s="251">
        <f t="shared" si="32"/>
        <v>12448.645112005099</v>
      </c>
      <c r="X48" s="252">
        <f t="shared" si="32"/>
        <v>12586.63199350467</v>
      </c>
      <c r="Y48" s="251">
        <f t="shared" si="32"/>
        <v>12578.904116880738</v>
      </c>
      <c r="Z48" s="251">
        <f t="shared" si="32"/>
        <v>12613.199699456993</v>
      </c>
      <c r="AA48" s="251">
        <f t="shared" si="32"/>
        <v>12609.706337826763</v>
      </c>
      <c r="AB48" s="251">
        <f t="shared" si="32"/>
        <v>12632.427537265234</v>
      </c>
      <c r="AC48" s="251">
        <f t="shared" si="32"/>
        <v>12714.810865597858</v>
      </c>
      <c r="AD48" s="251">
        <f t="shared" si="32"/>
        <v>12772.450091842409</v>
      </c>
      <c r="AE48" s="251">
        <f t="shared" si="32"/>
        <v>12909.747460766208</v>
      </c>
      <c r="AF48" s="251">
        <f t="shared" si="32"/>
        <v>13065.833917126256</v>
      </c>
      <c r="AG48" s="251">
        <f t="shared" si="32"/>
        <v>13144.839188119891</v>
      </c>
      <c r="AH48" s="252">
        <f t="shared" si="32"/>
        <v>13164.707105347567</v>
      </c>
      <c r="AI48" s="257"/>
    </row>
    <row r="49" spans="1:35" s="217" customFormat="1">
      <c r="A49" s="10" t="s">
        <v>334</v>
      </c>
      <c r="B49" s="37"/>
      <c r="C49" s="295">
        <f>SUM(C43,C46:C48)</f>
        <v>57355.999999999993</v>
      </c>
      <c r="D49" s="295">
        <f t="shared" ref="D49:M49" si="33">SUM(D43,D46:D48)+D30</f>
        <v>61000.000000000007</v>
      </c>
      <c r="E49" s="295">
        <f t="shared" si="33"/>
        <v>56822.058070456915</v>
      </c>
      <c r="F49" s="295">
        <f t="shared" si="33"/>
        <v>54205.341801758084</v>
      </c>
      <c r="G49" s="295">
        <f t="shared" si="33"/>
        <v>55244.884482843496</v>
      </c>
      <c r="H49" s="251">
        <f>SUM(H43,H46:H48)+H30</f>
        <v>55647.823217918442</v>
      </c>
      <c r="I49" s="251">
        <f t="shared" si="33"/>
        <v>55928.460836426959</v>
      </c>
      <c r="J49" s="251">
        <f t="shared" si="33"/>
        <v>56905.862337762708</v>
      </c>
      <c r="K49" s="251">
        <f t="shared" si="33"/>
        <v>58358.946900040399</v>
      </c>
      <c r="L49" s="251">
        <f t="shared" si="33"/>
        <v>59225.615908450527</v>
      </c>
      <c r="M49" s="251">
        <f t="shared" si="33"/>
        <v>59803.829549463066</v>
      </c>
      <c r="N49" s="252">
        <f t="shared" ref="N49:AH49" si="34">SUM(N43,N46:N48)+N30</f>
        <v>60210.739896229708</v>
      </c>
      <c r="O49" s="251">
        <f t="shared" si="34"/>
        <v>60766.876305811551</v>
      </c>
      <c r="P49" s="251">
        <f t="shared" si="34"/>
        <v>61326.572264160073</v>
      </c>
      <c r="Q49" s="251">
        <f t="shared" si="34"/>
        <v>62183.276796755541</v>
      </c>
      <c r="R49" s="251">
        <f t="shared" si="34"/>
        <v>62919.585287056609</v>
      </c>
      <c r="S49" s="251">
        <f t="shared" si="34"/>
        <v>63734.856850632619</v>
      </c>
      <c r="T49" s="251">
        <f t="shared" si="34"/>
        <v>64064.727584321954</v>
      </c>
      <c r="U49" s="251">
        <f t="shared" si="34"/>
        <v>64370.690367506941</v>
      </c>
      <c r="V49" s="251">
        <f t="shared" si="34"/>
        <v>64725.719723987379</v>
      </c>
      <c r="W49" s="251">
        <f t="shared" si="34"/>
        <v>65256.74803074084</v>
      </c>
      <c r="X49" s="252">
        <f t="shared" si="34"/>
        <v>65605.334971771066</v>
      </c>
      <c r="Y49" s="251">
        <f t="shared" si="34"/>
        <v>65748.672270969677</v>
      </c>
      <c r="Z49" s="251">
        <f t="shared" si="34"/>
        <v>65965.694189121263</v>
      </c>
      <c r="AA49" s="251">
        <f t="shared" si="34"/>
        <v>66116.146965665699</v>
      </c>
      <c r="AB49" s="251">
        <f t="shared" si="34"/>
        <v>66324.216294042606</v>
      </c>
      <c r="AC49" s="251">
        <f t="shared" si="34"/>
        <v>66631.688151844442</v>
      </c>
      <c r="AD49" s="251">
        <f t="shared" si="34"/>
        <v>66929.737097943915</v>
      </c>
      <c r="AE49" s="251">
        <f t="shared" si="34"/>
        <v>67353.046055218176</v>
      </c>
      <c r="AF49" s="251">
        <f t="shared" si="34"/>
        <v>67839.768939544694</v>
      </c>
      <c r="AG49" s="251">
        <f t="shared" si="34"/>
        <v>68249.989650213116</v>
      </c>
      <c r="AH49" s="252">
        <f t="shared" si="34"/>
        <v>68581.943112636218</v>
      </c>
      <c r="AI49" s="257"/>
    </row>
    <row r="50" spans="1:35">
      <c r="A50" s="10"/>
      <c r="B50" s="37"/>
      <c r="C50" s="297" t="b">
        <f t="shared" ref="C50:AH50" si="35">(C49=C14)</f>
        <v>1</v>
      </c>
      <c r="D50" s="297" t="b">
        <f t="shared" si="35"/>
        <v>1</v>
      </c>
      <c r="E50" s="297" t="b">
        <f t="shared" si="35"/>
        <v>1</v>
      </c>
      <c r="F50" s="297" t="b">
        <f t="shared" si="35"/>
        <v>1</v>
      </c>
      <c r="G50" s="297" t="b">
        <f t="shared" si="35"/>
        <v>1</v>
      </c>
      <c r="H50" s="249" t="b">
        <f t="shared" si="35"/>
        <v>1</v>
      </c>
      <c r="I50" s="91" t="b">
        <f t="shared" si="35"/>
        <v>1</v>
      </c>
      <c r="J50" s="91" t="b">
        <f t="shared" si="35"/>
        <v>1</v>
      </c>
      <c r="K50" s="91" t="b">
        <f t="shared" si="35"/>
        <v>1</v>
      </c>
      <c r="L50" s="91" t="b">
        <f t="shared" si="35"/>
        <v>1</v>
      </c>
      <c r="M50" s="91" t="b">
        <f t="shared" si="35"/>
        <v>1</v>
      </c>
      <c r="N50" s="185" t="b">
        <f t="shared" si="35"/>
        <v>1</v>
      </c>
      <c r="O50" s="91" t="b">
        <f t="shared" si="35"/>
        <v>1</v>
      </c>
      <c r="P50" s="91" t="b">
        <f t="shared" si="35"/>
        <v>1</v>
      </c>
      <c r="Q50" s="91" t="b">
        <f t="shared" si="35"/>
        <v>1</v>
      </c>
      <c r="R50" s="91" t="b">
        <f t="shared" si="35"/>
        <v>1</v>
      </c>
      <c r="S50" s="91" t="b">
        <f t="shared" si="35"/>
        <v>1</v>
      </c>
      <c r="T50" s="91" t="b">
        <f t="shared" si="35"/>
        <v>1</v>
      </c>
      <c r="U50" s="91" t="b">
        <f t="shared" si="35"/>
        <v>1</v>
      </c>
      <c r="V50" s="91" t="b">
        <f t="shared" si="35"/>
        <v>1</v>
      </c>
      <c r="W50" s="91" t="b">
        <f t="shared" si="35"/>
        <v>1</v>
      </c>
      <c r="X50" s="185" t="b">
        <f t="shared" si="35"/>
        <v>1</v>
      </c>
      <c r="Y50" s="172" t="b">
        <f t="shared" si="35"/>
        <v>1</v>
      </c>
      <c r="Z50" s="172" t="b">
        <f t="shared" si="35"/>
        <v>1</v>
      </c>
      <c r="AA50" s="172" t="b">
        <f t="shared" si="35"/>
        <v>1</v>
      </c>
      <c r="AB50" s="172" t="b">
        <f t="shared" si="35"/>
        <v>1</v>
      </c>
      <c r="AC50" s="172" t="b">
        <f t="shared" si="35"/>
        <v>1</v>
      </c>
      <c r="AD50" s="172" t="b">
        <f t="shared" si="35"/>
        <v>1</v>
      </c>
      <c r="AE50" s="172" t="b">
        <f t="shared" si="35"/>
        <v>1</v>
      </c>
      <c r="AF50" s="172" t="b">
        <f t="shared" si="35"/>
        <v>1</v>
      </c>
      <c r="AG50" s="172" t="b">
        <f t="shared" si="35"/>
        <v>1</v>
      </c>
      <c r="AH50" s="185" t="b">
        <f t="shared" si="35"/>
        <v>1</v>
      </c>
      <c r="AI50" s="127"/>
    </row>
    <row r="51" spans="1:35">
      <c r="A51" s="10" t="s">
        <v>543</v>
      </c>
      <c r="B51" s="37"/>
      <c r="C51" s="297"/>
      <c r="D51" s="297">
        <f>D44/C44-1</f>
        <v>0.27572329162925957</v>
      </c>
      <c r="E51" s="297">
        <f t="shared" ref="E51:X51" si="36">E44/D44-1</f>
        <v>0.12824738938420399</v>
      </c>
      <c r="F51" s="297">
        <f t="shared" si="36"/>
        <v>0.14198849469891273</v>
      </c>
      <c r="G51" s="297">
        <f>G44/F44-1</f>
        <v>0.2135073149384239</v>
      </c>
      <c r="H51" s="249"/>
      <c r="I51" s="164">
        <f t="shared" ref="I51:N51" si="37">I44/H44-1</f>
        <v>0.20550080102336277</v>
      </c>
      <c r="J51" s="172">
        <f t="shared" si="37"/>
        <v>0.22028641069400923</v>
      </c>
      <c r="K51" s="172">
        <f t="shared" si="37"/>
        <v>0.22987106684173075</v>
      </c>
      <c r="L51" s="172">
        <f t="shared" si="37"/>
        <v>0.21703818931417374</v>
      </c>
      <c r="M51" s="172">
        <f t="shared" si="37"/>
        <v>0.21093538632786779</v>
      </c>
      <c r="N51" s="172">
        <f t="shared" si="37"/>
        <v>0.20739996675526506</v>
      </c>
      <c r="O51" s="172">
        <f t="shared" ref="O51:R51" si="38">O44/N44-1</f>
        <v>4.3887323455531257E-2</v>
      </c>
      <c r="P51" s="172">
        <f t="shared" si="38"/>
        <v>4.3848720889138715E-2</v>
      </c>
      <c r="Q51" s="172">
        <f t="shared" si="38"/>
        <v>4.8752834757256336E-2</v>
      </c>
      <c r="R51" s="172">
        <f t="shared" si="38"/>
        <v>4.6543540168810127E-2</v>
      </c>
      <c r="S51" s="164">
        <f t="shared" si="36"/>
        <v>4.7686497522853477E-2</v>
      </c>
      <c r="T51" s="164">
        <f t="shared" si="36"/>
        <v>3.96420004822573E-2</v>
      </c>
      <c r="U51" s="164">
        <f t="shared" si="36"/>
        <v>3.9221478533427501E-2</v>
      </c>
      <c r="V51" s="164">
        <f t="shared" si="36"/>
        <v>3.9977865519839062E-2</v>
      </c>
      <c r="W51" s="164">
        <f t="shared" si="36"/>
        <v>4.274707932707944E-2</v>
      </c>
      <c r="X51" s="185">
        <f t="shared" si="36"/>
        <v>3.9785406133311385E-2</v>
      </c>
      <c r="Y51" s="172">
        <f t="shared" ref="Y51:AH51" si="39">Y44/X44-1</f>
        <v>3.861279423608055E-2</v>
      </c>
      <c r="Z51" s="172">
        <f t="shared" si="39"/>
        <v>3.9761648259558635E-2</v>
      </c>
      <c r="AA51" s="172">
        <f t="shared" si="39"/>
        <v>3.8701486423585285E-2</v>
      </c>
      <c r="AB51" s="172">
        <f t="shared" si="39"/>
        <v>3.9592714832090925E-2</v>
      </c>
      <c r="AC51" s="172">
        <f t="shared" si="39"/>
        <v>4.1128164098853226E-2</v>
      </c>
      <c r="AD51" s="172">
        <f t="shared" si="39"/>
        <v>4.0955591182989526E-2</v>
      </c>
      <c r="AE51" s="172">
        <f t="shared" si="39"/>
        <v>4.2866755230583919E-2</v>
      </c>
      <c r="AF51" s="172">
        <f t="shared" si="39"/>
        <v>4.3795830956902204E-2</v>
      </c>
      <c r="AG51" s="172">
        <f t="shared" si="39"/>
        <v>4.2572595756111387E-2</v>
      </c>
      <c r="AH51" s="185">
        <f t="shared" si="39"/>
        <v>4.1345914115130222E-2</v>
      </c>
      <c r="AI51" s="127"/>
    </row>
    <row r="52" spans="1:35">
      <c r="A52" s="10"/>
      <c r="B52" s="37"/>
      <c r="C52" s="297"/>
      <c r="D52" s="297"/>
      <c r="E52" s="297"/>
      <c r="F52" s="297"/>
      <c r="G52" s="297"/>
      <c r="H52" s="249"/>
      <c r="I52" s="172"/>
      <c r="J52" s="172"/>
      <c r="K52" s="172"/>
      <c r="L52" s="172"/>
      <c r="M52" s="172"/>
      <c r="N52" s="185"/>
      <c r="O52" s="172"/>
      <c r="P52" s="172"/>
      <c r="Q52" s="172"/>
      <c r="R52" s="172"/>
      <c r="S52" s="172"/>
      <c r="T52" s="172"/>
      <c r="U52" s="172"/>
      <c r="V52" s="172"/>
      <c r="W52" s="172"/>
      <c r="X52" s="185"/>
      <c r="Y52" s="20"/>
      <c r="Z52" s="20"/>
      <c r="AA52" s="20"/>
      <c r="AB52" s="20"/>
      <c r="AC52" s="20"/>
      <c r="AD52" s="20"/>
      <c r="AE52" s="20"/>
      <c r="AF52" s="20"/>
      <c r="AG52" s="20"/>
      <c r="AH52" s="244"/>
      <c r="AI52" s="127"/>
    </row>
    <row r="53" spans="1:35">
      <c r="A53" s="1" t="s">
        <v>542</v>
      </c>
      <c r="B53" s="37"/>
      <c r="C53" s="297"/>
      <c r="D53" s="297"/>
      <c r="E53" s="297"/>
      <c r="F53" s="297"/>
      <c r="G53" s="297"/>
      <c r="H53" s="249"/>
      <c r="I53" s="164"/>
      <c r="J53" s="164"/>
      <c r="K53" s="164"/>
      <c r="L53" s="164"/>
      <c r="M53" s="164"/>
      <c r="N53" s="184" t="s">
        <v>0</v>
      </c>
      <c r="O53" s="174" t="s">
        <v>0</v>
      </c>
      <c r="P53" s="164"/>
      <c r="Q53" s="164"/>
      <c r="R53" s="164"/>
      <c r="S53" s="164"/>
      <c r="T53" s="164"/>
      <c r="U53" s="164"/>
      <c r="V53" s="164"/>
      <c r="W53" s="164"/>
      <c r="X53" s="185"/>
      <c r="Y53" s="20"/>
      <c r="Z53" s="20"/>
      <c r="AA53" s="20"/>
      <c r="AB53" s="20"/>
      <c r="AC53" s="20"/>
      <c r="AD53" s="20"/>
      <c r="AE53" s="20"/>
      <c r="AF53" s="20"/>
      <c r="AG53" s="20"/>
      <c r="AH53" s="244"/>
      <c r="AI53" s="127"/>
    </row>
    <row r="54" spans="1:35">
      <c r="A54" s="9" t="s">
        <v>282</v>
      </c>
      <c r="B54" s="37"/>
      <c r="C54" s="297"/>
      <c r="D54" s="297"/>
      <c r="E54" s="297"/>
      <c r="F54" s="297"/>
      <c r="G54" s="297"/>
      <c r="H54" s="249"/>
      <c r="I54" s="164"/>
      <c r="J54" s="164"/>
      <c r="K54" s="164"/>
      <c r="L54" s="164"/>
      <c r="M54" s="164"/>
      <c r="N54" s="185" t="s">
        <v>0</v>
      </c>
      <c r="O54" s="164"/>
      <c r="P54" s="164"/>
      <c r="Q54" s="164"/>
      <c r="R54" s="164"/>
      <c r="S54" s="164"/>
      <c r="T54" s="164"/>
      <c r="U54" s="164"/>
      <c r="V54" s="164"/>
      <c r="W54" s="164"/>
      <c r="X54" s="185"/>
      <c r="Y54" s="20"/>
      <c r="Z54" s="20"/>
      <c r="AA54" s="20"/>
      <c r="AB54" s="20"/>
      <c r="AC54" s="20"/>
      <c r="AD54" s="20"/>
      <c r="AE54" s="20"/>
      <c r="AF54" s="20"/>
      <c r="AG54" s="20"/>
      <c r="AH54" s="244"/>
      <c r="AI54" s="127"/>
    </row>
    <row r="55" spans="1:35">
      <c r="A55" s="20" t="s">
        <v>122</v>
      </c>
      <c r="B55" s="37"/>
      <c r="C55" s="297"/>
      <c r="D55" s="297"/>
      <c r="E55" s="297"/>
      <c r="F55" s="297"/>
      <c r="G55" s="297"/>
      <c r="H55" s="249"/>
      <c r="I55" s="164"/>
      <c r="J55" s="164"/>
      <c r="K55" s="164"/>
      <c r="L55" s="164"/>
      <c r="M55" s="164"/>
      <c r="N55" s="185"/>
      <c r="O55" s="164"/>
      <c r="P55" s="164"/>
      <c r="Q55" s="164"/>
      <c r="R55" s="164"/>
      <c r="S55" s="164"/>
      <c r="T55" s="164"/>
      <c r="U55" s="164"/>
      <c r="V55" s="164"/>
      <c r="W55" s="164"/>
      <c r="X55" s="185"/>
      <c r="Y55" s="20"/>
      <c r="Z55" s="20"/>
      <c r="AA55" s="20"/>
      <c r="AB55" s="20"/>
      <c r="AC55" s="20"/>
      <c r="AD55" s="20"/>
      <c r="AE55" s="20"/>
      <c r="AF55" s="20"/>
      <c r="AG55" s="20"/>
      <c r="AH55" s="244"/>
      <c r="AI55" s="127"/>
    </row>
    <row r="56" spans="1:35">
      <c r="A56" s="9" t="s">
        <v>49</v>
      </c>
      <c r="B56" s="37"/>
      <c r="C56" s="301">
        <f t="shared" ref="C56:M56" si="40">C31/C$49</f>
        <v>7.3104644675360902E-2</v>
      </c>
      <c r="D56" s="301">
        <f t="shared" si="40"/>
        <v>7.3786203871919573E-2</v>
      </c>
      <c r="E56" s="301">
        <f t="shared" si="40"/>
        <v>7.4467763068478243E-2</v>
      </c>
      <c r="F56" s="301">
        <f t="shared" si="40"/>
        <v>7.5149322265036914E-2</v>
      </c>
      <c r="G56" s="301">
        <f t="shared" si="40"/>
        <v>7.5830881461595584E-2</v>
      </c>
      <c r="H56" s="361">
        <f t="shared" si="40"/>
        <v>8.2996045108356176E-2</v>
      </c>
      <c r="I56" s="173">
        <f t="shared" si="40"/>
        <v>8.2597003563214505E-2</v>
      </c>
      <c r="J56" s="173">
        <f t="shared" si="40"/>
        <v>8.2197962018072862E-2</v>
      </c>
      <c r="K56" s="173">
        <f t="shared" si="40"/>
        <v>8.1798920472931205E-2</v>
      </c>
      <c r="L56" s="173">
        <f t="shared" si="40"/>
        <v>8.1399878927789548E-2</v>
      </c>
      <c r="M56" s="173">
        <f t="shared" si="40"/>
        <v>8.1000837382647892E-2</v>
      </c>
      <c r="N56" s="178">
        <f>N26</f>
        <v>8.0601795837506221E-2</v>
      </c>
      <c r="O56" s="116">
        <f t="shared" ref="O56:AH56" si="41">O31/O$49</f>
        <v>7.9988672362054439E-2</v>
      </c>
      <c r="P56" s="116">
        <f t="shared" si="41"/>
        <v>7.9375548886602657E-2</v>
      </c>
      <c r="Q56" s="116">
        <f t="shared" si="41"/>
        <v>7.8762425411150874E-2</v>
      </c>
      <c r="R56" s="116">
        <f t="shared" si="41"/>
        <v>7.8149301935699092E-2</v>
      </c>
      <c r="S56" s="116">
        <f t="shared" si="41"/>
        <v>7.753617846024731E-2</v>
      </c>
      <c r="T56" s="116">
        <f t="shared" si="41"/>
        <v>7.6923054984795528E-2</v>
      </c>
      <c r="U56" s="116">
        <f t="shared" si="41"/>
        <v>7.6309931509343745E-2</v>
      </c>
      <c r="V56" s="116">
        <f t="shared" si="41"/>
        <v>7.5696808033891963E-2</v>
      </c>
      <c r="W56" s="116">
        <f t="shared" si="41"/>
        <v>7.5083684558440181E-2</v>
      </c>
      <c r="X56" s="178">
        <f t="shared" si="41"/>
        <v>7.4470561082988357E-2</v>
      </c>
      <c r="Y56" s="173">
        <f t="shared" si="41"/>
        <v>7.4169648331805588E-2</v>
      </c>
      <c r="Z56" s="173">
        <f t="shared" si="41"/>
        <v>7.3868735580622819E-2</v>
      </c>
      <c r="AA56" s="173">
        <f t="shared" si="41"/>
        <v>7.3567822829440049E-2</v>
      </c>
      <c r="AB56" s="173">
        <f t="shared" si="41"/>
        <v>7.326691007825728E-2</v>
      </c>
      <c r="AC56" s="173">
        <f t="shared" si="41"/>
        <v>7.2965997327074511E-2</v>
      </c>
      <c r="AD56" s="173">
        <f t="shared" si="41"/>
        <v>7.2665084575891742E-2</v>
      </c>
      <c r="AE56" s="173">
        <f t="shared" si="41"/>
        <v>7.2364171824708973E-2</v>
      </c>
      <c r="AF56" s="173">
        <f t="shared" si="41"/>
        <v>7.2063259073526204E-2</v>
      </c>
      <c r="AG56" s="173">
        <f t="shared" si="41"/>
        <v>7.1762346322343434E-2</v>
      </c>
      <c r="AH56" s="178">
        <f t="shared" si="41"/>
        <v>7.1461433571160679E-2</v>
      </c>
      <c r="AI56" s="127"/>
    </row>
    <row r="57" spans="1:35">
      <c r="A57" s="9" t="s">
        <v>59</v>
      </c>
      <c r="B57" s="37"/>
      <c r="C57" s="301">
        <f t="shared" ref="C57:M57" si="42">C32/C$49</f>
        <v>0.26448845805146803</v>
      </c>
      <c r="D57" s="301">
        <f t="shared" si="42"/>
        <v>0.26668735587560538</v>
      </c>
      <c r="E57" s="301">
        <f t="shared" si="42"/>
        <v>0.26888625369974273</v>
      </c>
      <c r="F57" s="301">
        <f t="shared" si="42"/>
        <v>0.27108515152388007</v>
      </c>
      <c r="G57" s="301">
        <f t="shared" si="42"/>
        <v>0.27328404934801742</v>
      </c>
      <c r="H57" s="361">
        <f t="shared" si="42"/>
        <v>0.26841509802431257</v>
      </c>
      <c r="I57" s="116">
        <f t="shared" si="42"/>
        <v>0.27179197070642364</v>
      </c>
      <c r="J57" s="116">
        <f t="shared" si="42"/>
        <v>0.2751688433885347</v>
      </c>
      <c r="K57" s="116">
        <f t="shared" si="42"/>
        <v>0.27854571607064577</v>
      </c>
      <c r="L57" s="116">
        <f t="shared" si="42"/>
        <v>0.28192258875275683</v>
      </c>
      <c r="M57" s="116">
        <f t="shared" si="42"/>
        <v>0.2852994614348679</v>
      </c>
      <c r="N57" s="178">
        <f>N18</f>
        <v>0.28867633411697907</v>
      </c>
      <c r="O57" s="116">
        <f t="shared" ref="O57:AH57" si="43">O32/O$49</f>
        <v>0.28648042476514152</v>
      </c>
      <c r="P57" s="116">
        <f t="shared" si="43"/>
        <v>0.28428451541330396</v>
      </c>
      <c r="Q57" s="116">
        <f t="shared" si="43"/>
        <v>0.28208860606146641</v>
      </c>
      <c r="R57" s="116">
        <f t="shared" si="43"/>
        <v>0.27989269670962885</v>
      </c>
      <c r="S57" s="116">
        <f t="shared" si="43"/>
        <v>0.2776967873577913</v>
      </c>
      <c r="T57" s="116">
        <f t="shared" si="43"/>
        <v>0.27550087800595374</v>
      </c>
      <c r="U57" s="116">
        <f t="shared" si="43"/>
        <v>0.27330496865411619</v>
      </c>
      <c r="V57" s="116">
        <f t="shared" si="43"/>
        <v>0.27110905930227863</v>
      </c>
      <c r="W57" s="116">
        <f>W32/W$49</f>
        <v>0.26891314995044108</v>
      </c>
      <c r="X57" s="178">
        <f t="shared" si="43"/>
        <v>0.2667172405986033</v>
      </c>
      <c r="Y57" s="173">
        <f t="shared" si="43"/>
        <v>0.2656395178382368</v>
      </c>
      <c r="Z57" s="173">
        <f t="shared" si="43"/>
        <v>0.26456179507787031</v>
      </c>
      <c r="AA57" s="173">
        <f t="shared" si="43"/>
        <v>0.26348407231750381</v>
      </c>
      <c r="AB57" s="173">
        <f t="shared" si="43"/>
        <v>0.26240634955713732</v>
      </c>
      <c r="AC57" s="173">
        <f t="shared" si="43"/>
        <v>0.26132862679677082</v>
      </c>
      <c r="AD57" s="173">
        <f t="shared" si="43"/>
        <v>0.26025090403640433</v>
      </c>
      <c r="AE57" s="173">
        <f t="shared" si="43"/>
        <v>0.25917318127603783</v>
      </c>
      <c r="AF57" s="173">
        <f t="shared" si="43"/>
        <v>0.25809545851567134</v>
      </c>
      <c r="AG57" s="173">
        <f t="shared" si="43"/>
        <v>0.25701773575530484</v>
      </c>
      <c r="AH57" s="178">
        <f t="shared" si="43"/>
        <v>0.25594001299493813</v>
      </c>
      <c r="AI57" s="127"/>
    </row>
    <row r="58" spans="1:35">
      <c r="A58" s="9" t="s">
        <v>121</v>
      </c>
      <c r="B58" s="37"/>
      <c r="C58" s="301">
        <f>C34/C$49</f>
        <v>2.6658065415998331E-2</v>
      </c>
      <c r="D58" s="301">
        <f t="shared" ref="D58:G59" si="44">C58*($N71)</f>
        <v>3.2003628915453899E-2</v>
      </c>
      <c r="E58" s="301">
        <f t="shared" si="44"/>
        <v>3.8421102498435743E-2</v>
      </c>
      <c r="F58" s="301">
        <f t="shared" si="44"/>
        <v>4.6125429122273305E-2</v>
      </c>
      <c r="G58" s="301">
        <f t="shared" si="44"/>
        <v>5.5374652817432257E-2</v>
      </c>
      <c r="H58" s="361">
        <f>H34/H$49</f>
        <v>3.2546444930141021E-2</v>
      </c>
      <c r="I58" s="116">
        <f t="shared" ref="I58:N59" si="45">H58*($N71)</f>
        <v>3.9072765776784014E-2</v>
      </c>
      <c r="J58" s="116">
        <f t="shared" si="45"/>
        <v>4.6907766077811351E-2</v>
      </c>
      <c r="K58" s="116">
        <f t="shared" si="45"/>
        <v>5.6313866568361827E-2</v>
      </c>
      <c r="L58" s="116">
        <f t="shared" si="45"/>
        <v>6.7606109457839819E-2</v>
      </c>
      <c r="M58" s="116">
        <f t="shared" si="45"/>
        <v>8.1162710262080606E-2</v>
      </c>
      <c r="N58" s="178">
        <f t="shared" si="45"/>
        <v>9.7437725523821725E-2</v>
      </c>
      <c r="O58" s="116">
        <f t="shared" ref="O58:W58" si="46">N58*$X71</f>
        <v>0.1007720146879094</v>
      </c>
      <c r="P58" s="116">
        <f t="shared" si="46"/>
        <v>0.10422040220733107</v>
      </c>
      <c r="Q58" s="116">
        <f t="shared" si="46"/>
        <v>0.10778679249290692</v>
      </c>
      <c r="R58" s="116">
        <f t="shared" si="46"/>
        <v>0.11147522356320116</v>
      </c>
      <c r="S58" s="116">
        <f t="shared" si="46"/>
        <v>0.11528987161653818</v>
      </c>
      <c r="T58" s="116">
        <f t="shared" si="46"/>
        <v>0.11923505575947163</v>
      </c>
      <c r="U58" s="116">
        <f t="shared" si="46"/>
        <v>0.12331524289706035</v>
      </c>
      <c r="V58" s="116">
        <f t="shared" si="46"/>
        <v>0.12753505279048799</v>
      </c>
      <c r="W58" s="116">
        <f t="shared" si="46"/>
        <v>0.13189926328775284</v>
      </c>
      <c r="X58" s="178">
        <f t="shared" ref="X58:X66" si="47">X34/X$49</f>
        <v>0.13641281573335037</v>
      </c>
      <c r="Y58" s="173">
        <f>X58*$AH71</f>
        <v>0.14136613011990107</v>
      </c>
      <c r="Z58" s="173">
        <f t="shared" ref="Z58:AG58" si="48">Y58*$AH71</f>
        <v>0.14649930534489358</v>
      </c>
      <c r="AA58" s="173">
        <f t="shared" si="48"/>
        <v>0.15181887237298722</v>
      </c>
      <c r="AB58" s="173">
        <f t="shared" si="48"/>
        <v>0.15733159931606996</v>
      </c>
      <c r="AC58" s="173">
        <f t="shared" si="48"/>
        <v>0.16304450004436122</v>
      </c>
      <c r="AD58" s="173">
        <f t="shared" si="48"/>
        <v>0.16896484311019425</v>
      </c>
      <c r="AE58" s="173">
        <f t="shared" si="48"/>
        <v>0.17510016099583181</v>
      </c>
      <c r="AF58" s="173">
        <f t="shared" si="48"/>
        <v>0.18145825969708126</v>
      </c>
      <c r="AG58" s="173">
        <f t="shared" si="48"/>
        <v>0.18804722865490228</v>
      </c>
      <c r="AH58" s="178">
        <f t="shared" ref="AH58:AH66" si="49">AH34/AH$49</f>
        <v>0.19487545104764337</v>
      </c>
      <c r="AI58" s="127"/>
    </row>
    <row r="59" spans="1:35">
      <c r="A59" s="9" t="s">
        <v>50</v>
      </c>
      <c r="B59" s="37"/>
      <c r="C59" s="301">
        <f t="shared" ref="C59:C65" si="50">C35/C$49</f>
        <v>0</v>
      </c>
      <c r="D59" s="301">
        <f t="shared" si="44"/>
        <v>0</v>
      </c>
      <c r="E59" s="301">
        <f t="shared" si="44"/>
        <v>0</v>
      </c>
      <c r="F59" s="301">
        <f t="shared" si="44"/>
        <v>0</v>
      </c>
      <c r="G59" s="301">
        <f t="shared" si="44"/>
        <v>0</v>
      </c>
      <c r="H59" s="361">
        <f>H35/H$49</f>
        <v>7.3840624167970874E-8</v>
      </c>
      <c r="I59" s="116">
        <f t="shared" si="45"/>
        <v>8.6807454068506751E-8</v>
      </c>
      <c r="J59" s="116">
        <f t="shared" si="45"/>
        <v>1.0205133240361373E-7</v>
      </c>
      <c r="K59" s="116">
        <f t="shared" si="45"/>
        <v>1.1997212171588355E-7</v>
      </c>
      <c r="L59" s="116">
        <f t="shared" si="45"/>
        <v>1.4103990266472108E-7</v>
      </c>
      <c r="M59" s="116">
        <f t="shared" si="45"/>
        <v>1.6580730472353053E-7</v>
      </c>
      <c r="N59" s="178">
        <f t="shared" si="45"/>
        <v>1.9492400221684508E-7</v>
      </c>
      <c r="O59" s="116">
        <f t="shared" ref="O59:V59" si="51">N59*$X72</f>
        <v>2.0159424195118015E-7</v>
      </c>
      <c r="P59" s="116">
        <f t="shared" si="51"/>
        <v>2.0849273524899381E-7</v>
      </c>
      <c r="Q59" s="116">
        <f t="shared" si="51"/>
        <v>2.1562729287741221E-7</v>
      </c>
      <c r="R59" s="116">
        <f t="shared" si="51"/>
        <v>2.2300599288562353E-7</v>
      </c>
      <c r="S59" s="116">
        <f t="shared" si="51"/>
        <v>2.3063718975118831E-7</v>
      </c>
      <c r="T59" s="116">
        <f t="shared" si="51"/>
        <v>2.3852952383933381E-7</v>
      </c>
      <c r="U59" s="116">
        <f t="shared" si="51"/>
        <v>2.4669193118594254E-7</v>
      </c>
      <c r="V59" s="116">
        <f t="shared" si="51"/>
        <v>2.5513365361531157E-7</v>
      </c>
      <c r="W59" s="116">
        <f>V59*$X72</f>
        <v>2.6386424920413879E-7</v>
      </c>
      <c r="X59" s="178">
        <f t="shared" si="47"/>
        <v>2.7289360310358297E-7</v>
      </c>
      <c r="Y59" s="173">
        <f>X59*$AH72</f>
        <v>2.8280270000905914E-7</v>
      </c>
      <c r="Z59" s="173">
        <f t="shared" ref="Z59:AG59" si="52">Y59*$AH72</f>
        <v>2.9307160821229173E-7</v>
      </c>
      <c r="AA59" s="173">
        <f t="shared" si="52"/>
        <v>3.0371339289684164E-7</v>
      </c>
      <c r="AB59" s="173">
        <f t="shared" si="52"/>
        <v>3.1474159365889262E-7</v>
      </c>
      <c r="AC59" s="173">
        <f t="shared" si="52"/>
        <v>3.2617024173374747E-7</v>
      </c>
      <c r="AD59" s="173">
        <f t="shared" si="52"/>
        <v>3.3801387784783951E-7</v>
      </c>
      <c r="AE59" s="173">
        <f t="shared" si="52"/>
        <v>3.502875707189717E-7</v>
      </c>
      <c r="AF59" s="173">
        <f t="shared" si="52"/>
        <v>3.6300693622832231E-7</v>
      </c>
      <c r="AG59" s="173">
        <f t="shared" si="52"/>
        <v>3.7618815728860897E-7</v>
      </c>
      <c r="AH59" s="178">
        <f t="shared" si="49"/>
        <v>3.8984800443368995E-7</v>
      </c>
      <c r="AI59" s="127"/>
    </row>
    <row r="60" spans="1:35">
      <c r="A60" s="9" t="s">
        <v>119</v>
      </c>
      <c r="B60" s="37"/>
      <c r="C60" s="301">
        <f t="shared" si="50"/>
        <v>0</v>
      </c>
      <c r="D60" s="301">
        <v>0</v>
      </c>
      <c r="E60" s="301">
        <v>0</v>
      </c>
      <c r="F60" s="301">
        <v>0</v>
      </c>
      <c r="G60" s="301">
        <v>0</v>
      </c>
      <c r="H60" s="361">
        <f t="shared" ref="H60:H66" si="53">H36/H$49</f>
        <v>0</v>
      </c>
      <c r="I60" s="173">
        <v>0</v>
      </c>
      <c r="J60" s="173">
        <v>0</v>
      </c>
      <c r="K60" s="173">
        <v>0</v>
      </c>
      <c r="L60" s="173">
        <v>0</v>
      </c>
      <c r="M60" s="173">
        <v>0</v>
      </c>
      <c r="N60" s="178">
        <v>0</v>
      </c>
      <c r="O60" s="116">
        <f t="shared" ref="O60:W60" si="54">O36/O$49</f>
        <v>0</v>
      </c>
      <c r="P60" s="116">
        <f t="shared" si="54"/>
        <v>0</v>
      </c>
      <c r="Q60" s="116">
        <f t="shared" si="54"/>
        <v>0</v>
      </c>
      <c r="R60" s="116">
        <f t="shared" si="54"/>
        <v>0</v>
      </c>
      <c r="S60" s="116">
        <f t="shared" si="54"/>
        <v>0</v>
      </c>
      <c r="T60" s="116">
        <f t="shared" si="54"/>
        <v>0</v>
      </c>
      <c r="U60" s="116">
        <f t="shared" si="54"/>
        <v>0</v>
      </c>
      <c r="V60" s="116">
        <f t="shared" si="54"/>
        <v>0</v>
      </c>
      <c r="W60" s="116">
        <f t="shared" si="54"/>
        <v>0</v>
      </c>
      <c r="X60" s="178">
        <f t="shared" si="47"/>
        <v>0</v>
      </c>
      <c r="Y60" s="173">
        <f t="shared" ref="Y60:AG66" si="55">X60*$AH73</f>
        <v>0</v>
      </c>
      <c r="Z60" s="173">
        <f t="shared" si="55"/>
        <v>0</v>
      </c>
      <c r="AA60" s="173">
        <f t="shared" si="55"/>
        <v>0</v>
      </c>
      <c r="AB60" s="173">
        <f t="shared" si="55"/>
        <v>0</v>
      </c>
      <c r="AC60" s="173">
        <f t="shared" si="55"/>
        <v>0</v>
      </c>
      <c r="AD60" s="173">
        <f t="shared" si="55"/>
        <v>0</v>
      </c>
      <c r="AE60" s="173">
        <f t="shared" si="55"/>
        <v>0</v>
      </c>
      <c r="AF60" s="173">
        <f t="shared" si="55"/>
        <v>0</v>
      </c>
      <c r="AG60" s="173">
        <f t="shared" si="55"/>
        <v>0</v>
      </c>
      <c r="AH60" s="178">
        <f t="shared" si="49"/>
        <v>0</v>
      </c>
      <c r="AI60" s="127"/>
    </row>
    <row r="61" spans="1:35">
      <c r="A61" s="9" t="s">
        <v>51</v>
      </c>
      <c r="B61" s="37"/>
      <c r="C61" s="301">
        <f t="shared" si="50"/>
        <v>5.9278889741265094E-4</v>
      </c>
      <c r="D61" s="301">
        <f t="shared" ref="D61:M61" si="56">C61*($N74)</f>
        <v>6.8417643714808053E-4</v>
      </c>
      <c r="E61" s="301">
        <f t="shared" si="56"/>
        <v>7.8965277384874914E-4</v>
      </c>
      <c r="F61" s="301">
        <f t="shared" si="56"/>
        <v>9.1138991258780326E-4</v>
      </c>
      <c r="G61" s="301">
        <f t="shared" si="56"/>
        <v>1.051894706477538E-3</v>
      </c>
      <c r="H61" s="361">
        <f t="shared" si="53"/>
        <v>1.0775551548949784E-3</v>
      </c>
      <c r="I61" s="116">
        <f t="shared" si="56"/>
        <v>1.2436768804618653E-3</v>
      </c>
      <c r="J61" s="116">
        <f t="shared" si="56"/>
        <v>1.4354088289300661E-3</v>
      </c>
      <c r="K61" s="116">
        <f t="shared" si="56"/>
        <v>1.6566992106544682E-3</v>
      </c>
      <c r="L61" s="116">
        <f t="shared" si="56"/>
        <v>1.9121049134335922E-3</v>
      </c>
      <c r="M61" s="116">
        <f t="shared" si="56"/>
        <v>2.2068853395134707E-3</v>
      </c>
      <c r="N61" s="178">
        <f>M61*($N74)</f>
        <v>2.5471107090111219E-3</v>
      </c>
      <c r="O61" s="116">
        <f t="shared" ref="O61:W61" si="57">N61*$X74</f>
        <v>2.6342720583871515E-3</v>
      </c>
      <c r="P61" s="116">
        <f t="shared" si="57"/>
        <v>2.7244160424787327E-3</v>
      </c>
      <c r="Q61" s="116">
        <f t="shared" si="57"/>
        <v>2.8176447261335316E-3</v>
      </c>
      <c r="R61" s="116">
        <f t="shared" si="57"/>
        <v>2.9140636668270824E-3</v>
      </c>
      <c r="S61" s="116">
        <f t="shared" si="57"/>
        <v>3.0137820341794453E-3</v>
      </c>
      <c r="T61" s="116">
        <f t="shared" si="57"/>
        <v>3.116912733561687E-3</v>
      </c>
      <c r="U61" s="116">
        <f t="shared" si="57"/>
        <v>3.2235725339321382E-3</v>
      </c>
      <c r="V61" s="116">
        <f t="shared" si="57"/>
        <v>3.333882200047167E-3</v>
      </c>
      <c r="W61" s="116">
        <f t="shared" si="57"/>
        <v>3.4479666291961663E-3</v>
      </c>
      <c r="X61" s="178">
        <f t="shared" si="47"/>
        <v>3.5659549926155714E-3</v>
      </c>
      <c r="Y61" s="173">
        <f t="shared" si="55"/>
        <v>3.6954391328831685E-3</v>
      </c>
      <c r="Z61" s="173">
        <f t="shared" si="55"/>
        <v>3.8296249989480786E-3</v>
      </c>
      <c r="AA61" s="173">
        <f t="shared" si="55"/>
        <v>3.9686833161626687E-3</v>
      </c>
      <c r="AB61" s="173">
        <f t="shared" si="55"/>
        <v>4.1127910091234132E-3</v>
      </c>
      <c r="AC61" s="173">
        <f t="shared" si="55"/>
        <v>4.2621314267729466E-3</v>
      </c>
      <c r="AD61" s="173">
        <f t="shared" si="55"/>
        <v>4.4168945756758457E-3</v>
      </c>
      <c r="AE61" s="173">
        <f t="shared" si="55"/>
        <v>4.5772773617649394E-3</v>
      </c>
      <c r="AF61" s="173">
        <f t="shared" si="55"/>
        <v>4.7434838408657153E-3</v>
      </c>
      <c r="AG61" s="173">
        <f t="shared" si="55"/>
        <v>4.915725478317574E-3</v>
      </c>
      <c r="AH61" s="178">
        <f t="shared" si="49"/>
        <v>5.0942214180222448E-3</v>
      </c>
      <c r="AI61" s="127"/>
    </row>
    <row r="62" spans="1:35">
      <c r="A62" s="9" t="s">
        <v>347</v>
      </c>
      <c r="B62" s="37"/>
      <c r="C62" s="304">
        <f t="shared" si="50"/>
        <v>0</v>
      </c>
      <c r="D62" s="304">
        <f t="shared" ref="D62:N62" si="58">C62*($N75)</f>
        <v>0</v>
      </c>
      <c r="E62" s="304">
        <f t="shared" si="58"/>
        <v>0</v>
      </c>
      <c r="F62" s="304">
        <f t="shared" si="58"/>
        <v>0</v>
      </c>
      <c r="G62" s="304">
        <f t="shared" si="58"/>
        <v>0</v>
      </c>
      <c r="H62" s="361">
        <f t="shared" si="53"/>
        <v>3.5940309689526286E-6</v>
      </c>
      <c r="I62" s="116">
        <f t="shared" si="58"/>
        <v>4.1010018782414675E-6</v>
      </c>
      <c r="J62" s="116">
        <f t="shared" si="58"/>
        <v>4.6794856668252931E-6</v>
      </c>
      <c r="K62" s="116">
        <f t="shared" si="58"/>
        <v>5.3395698797907317E-6</v>
      </c>
      <c r="L62" s="116">
        <f t="shared" si="58"/>
        <v>6.0927650026356747E-6</v>
      </c>
      <c r="M62" s="116">
        <f t="shared" si="58"/>
        <v>6.9522051800166661E-6</v>
      </c>
      <c r="N62" s="178">
        <f t="shared" si="58"/>
        <v>7.9328772477097154E-6</v>
      </c>
      <c r="O62" s="116">
        <f t="shared" ref="O62:W62" si="59">N62*$X75</f>
        <v>8.2043378806922611E-6</v>
      </c>
      <c r="P62" s="116">
        <f t="shared" si="59"/>
        <v>8.4850878135036382E-6</v>
      </c>
      <c r="Q62" s="116">
        <f t="shared" si="59"/>
        <v>8.7754449231426635E-6</v>
      </c>
      <c r="R62" s="116">
        <f t="shared" si="59"/>
        <v>9.0757379642618275E-6</v>
      </c>
      <c r="S62" s="116">
        <f t="shared" si="59"/>
        <v>9.3863069413972711E-6</v>
      </c>
      <c r="T62" s="116">
        <f t="shared" si="59"/>
        <v>9.7075034939363632E-6</v>
      </c>
      <c r="U62" s="116">
        <f t="shared" si="59"/>
        <v>1.0039691294258755E-5</v>
      </c>
      <c r="V62" s="116">
        <f t="shared" si="59"/>
        <v>1.0383246459501691E-5</v>
      </c>
      <c r="W62" s="116">
        <f t="shared" si="59"/>
        <v>1.0738557977415809E-5</v>
      </c>
      <c r="X62" s="178">
        <f t="shared" si="47"/>
        <v>1.1106028146793591E-5</v>
      </c>
      <c r="Y62" s="173">
        <f t="shared" si="55"/>
        <v>1.1509301466101671E-5</v>
      </c>
      <c r="Z62" s="173">
        <f t="shared" si="55"/>
        <v>1.1927218127558377E-5</v>
      </c>
      <c r="AA62" s="173">
        <f t="shared" si="55"/>
        <v>1.2360309848634253E-5</v>
      </c>
      <c r="AB62" s="173">
        <f t="shared" si="55"/>
        <v>1.2809127654104535E-5</v>
      </c>
      <c r="AC62" s="173">
        <f t="shared" si="55"/>
        <v>1.3274242577120736E-5</v>
      </c>
      <c r="AD62" s="173">
        <f t="shared" si="55"/>
        <v>1.3756246385738997E-5</v>
      </c>
      <c r="AE62" s="173">
        <f t="shared" si="55"/>
        <v>1.4255752335829567E-5</v>
      </c>
      <c r="AF62" s="173">
        <f t="shared" si="55"/>
        <v>1.4773395951325327E-5</v>
      </c>
      <c r="AG62" s="173">
        <f t="shared" si="55"/>
        <v>1.5309835832802088E-5</v>
      </c>
      <c r="AH62" s="178">
        <f t="shared" si="49"/>
        <v>1.5865754495419417E-5</v>
      </c>
      <c r="AI62" s="127"/>
    </row>
    <row r="63" spans="1:35">
      <c r="A63" s="9" t="s">
        <v>348</v>
      </c>
      <c r="B63" s="37"/>
      <c r="C63" s="304">
        <f t="shared" si="50"/>
        <v>0</v>
      </c>
      <c r="D63" s="304">
        <f t="shared" ref="D63:N63" si="60">C63*($N76)</f>
        <v>0</v>
      </c>
      <c r="E63" s="304">
        <f t="shared" si="60"/>
        <v>0</v>
      </c>
      <c r="F63" s="304">
        <f t="shared" si="60"/>
        <v>0</v>
      </c>
      <c r="G63" s="304">
        <f t="shared" si="60"/>
        <v>0</v>
      </c>
      <c r="H63" s="361">
        <f t="shared" si="53"/>
        <v>1.7970154844763143E-6</v>
      </c>
      <c r="I63" s="116">
        <f t="shared" si="60"/>
        <v>2.0505009391207338E-6</v>
      </c>
      <c r="J63" s="116">
        <f t="shared" si="60"/>
        <v>2.3397428334126466E-6</v>
      </c>
      <c r="K63" s="116">
        <f t="shared" si="60"/>
        <v>2.6697849398953659E-6</v>
      </c>
      <c r="L63" s="116">
        <f t="shared" si="60"/>
        <v>3.0463825013178374E-6</v>
      </c>
      <c r="M63" s="116">
        <f t="shared" si="60"/>
        <v>3.476102590008333E-6</v>
      </c>
      <c r="N63" s="178">
        <f t="shared" si="60"/>
        <v>3.9664386238548577E-6</v>
      </c>
      <c r="O63" s="116">
        <f t="shared" ref="O63:W63" si="61">N63*$X76</f>
        <v>4.1021689403461306E-6</v>
      </c>
      <c r="P63" s="116">
        <f t="shared" si="61"/>
        <v>4.2425439067518191E-6</v>
      </c>
      <c r="Q63" s="116">
        <f t="shared" si="61"/>
        <v>4.3877224615713318E-6</v>
      </c>
      <c r="R63" s="116">
        <f t="shared" si="61"/>
        <v>4.5378689821309137E-6</v>
      </c>
      <c r="S63" s="116">
        <f t="shared" si="61"/>
        <v>4.6931534706986355E-6</v>
      </c>
      <c r="T63" s="116">
        <f t="shared" si="61"/>
        <v>4.8537517469681816E-6</v>
      </c>
      <c r="U63" s="116">
        <f t="shared" si="61"/>
        <v>5.0198456471293774E-6</v>
      </c>
      <c r="V63" s="116">
        <f t="shared" si="61"/>
        <v>5.1916232297508454E-6</v>
      </c>
      <c r="W63" s="116">
        <f t="shared" si="61"/>
        <v>5.3692789887079044E-6</v>
      </c>
      <c r="X63" s="178">
        <f t="shared" si="47"/>
        <v>5.5530140733967957E-6</v>
      </c>
      <c r="Y63" s="173">
        <f t="shared" si="55"/>
        <v>5.7546507330508356E-6</v>
      </c>
      <c r="Z63" s="173">
        <f t="shared" si="55"/>
        <v>5.9636090637791885E-6</v>
      </c>
      <c r="AA63" s="173">
        <f t="shared" si="55"/>
        <v>6.1801549243171267E-6</v>
      </c>
      <c r="AB63" s="173">
        <f t="shared" si="55"/>
        <v>6.4045638270522677E-6</v>
      </c>
      <c r="AC63" s="173">
        <f t="shared" si="55"/>
        <v>6.6371212885603679E-6</v>
      </c>
      <c r="AD63" s="173">
        <f t="shared" si="55"/>
        <v>6.8781231928694985E-6</v>
      </c>
      <c r="AE63" s="173">
        <f t="shared" si="55"/>
        <v>7.1278761679147833E-6</v>
      </c>
      <c r="AF63" s="173">
        <f t="shared" si="55"/>
        <v>7.3866979756626634E-6</v>
      </c>
      <c r="AG63" s="173">
        <f t="shared" si="55"/>
        <v>7.6549179164010442E-6</v>
      </c>
      <c r="AH63" s="178">
        <f t="shared" si="49"/>
        <v>7.9328772477097086E-6</v>
      </c>
      <c r="AI63" s="127"/>
    </row>
    <row r="64" spans="1:35">
      <c r="A64" s="9" t="s">
        <v>344</v>
      </c>
      <c r="B64" s="37"/>
      <c r="C64" s="301">
        <f t="shared" si="50"/>
        <v>1.7434967570960321E-7</v>
      </c>
      <c r="D64" s="301">
        <f t="shared" ref="D64:N64" si="62">C64*($N77)</f>
        <v>1.9894329062062621E-7</v>
      </c>
      <c r="E64" s="301">
        <f t="shared" si="62"/>
        <v>2.2700605964352218E-7</v>
      </c>
      <c r="F64" s="301">
        <f t="shared" si="62"/>
        <v>2.5902733866580367E-7</v>
      </c>
      <c r="G64" s="301">
        <f t="shared" si="62"/>
        <v>2.955655116944962E-7</v>
      </c>
      <c r="H64" s="361">
        <f t="shared" si="53"/>
        <v>1.7970154844763143E-7</v>
      </c>
      <c r="I64" s="116">
        <f t="shared" si="62"/>
        <v>2.0505009391207337E-7</v>
      </c>
      <c r="J64" s="116">
        <f t="shared" si="62"/>
        <v>2.3397428334126465E-7</v>
      </c>
      <c r="K64" s="116">
        <f t="shared" si="62"/>
        <v>2.6697849398953656E-7</v>
      </c>
      <c r="L64" s="116">
        <f t="shared" si="62"/>
        <v>3.0463825013178373E-7</v>
      </c>
      <c r="M64" s="116">
        <f t="shared" si="62"/>
        <v>3.4761025900083328E-7</v>
      </c>
      <c r="N64" s="178">
        <f t="shared" si="62"/>
        <v>3.9664386238548572E-7</v>
      </c>
      <c r="O64" s="116">
        <f t="shared" ref="O64:W64" si="63">N64*$X77</f>
        <v>4.1021689403461303E-7</v>
      </c>
      <c r="P64" s="116">
        <f t="shared" si="63"/>
        <v>4.2425439067518187E-7</v>
      </c>
      <c r="Q64" s="116">
        <f t="shared" si="63"/>
        <v>4.3877224615713319E-7</v>
      </c>
      <c r="R64" s="116">
        <f t="shared" si="63"/>
        <v>4.5378689821309137E-7</v>
      </c>
      <c r="S64" s="116">
        <f t="shared" si="63"/>
        <v>4.6931534706986352E-7</v>
      </c>
      <c r="T64" s="116">
        <f t="shared" si="63"/>
        <v>4.853751746968182E-7</v>
      </c>
      <c r="U64" s="116">
        <f t="shared" si="63"/>
        <v>5.0198456471293782E-7</v>
      </c>
      <c r="V64" s="116">
        <f t="shared" si="63"/>
        <v>5.1916232297508459E-7</v>
      </c>
      <c r="W64" s="116">
        <f t="shared" si="63"/>
        <v>5.369278988707905E-7</v>
      </c>
      <c r="X64" s="178">
        <f t="shared" si="47"/>
        <v>5.5530140733967951E-7</v>
      </c>
      <c r="Y64" s="173">
        <f t="shared" si="55"/>
        <v>5.7546507330508356E-7</v>
      </c>
      <c r="Z64" s="173">
        <f t="shared" si="55"/>
        <v>5.9636090637791876E-7</v>
      </c>
      <c r="AA64" s="173">
        <f t="shared" si="55"/>
        <v>6.1801549243171261E-7</v>
      </c>
      <c r="AB64" s="173">
        <f t="shared" si="55"/>
        <v>6.4045638270522672E-7</v>
      </c>
      <c r="AC64" s="173">
        <f t="shared" si="55"/>
        <v>6.6371212885603674E-7</v>
      </c>
      <c r="AD64" s="173">
        <f t="shared" si="55"/>
        <v>6.8781231928694979E-7</v>
      </c>
      <c r="AE64" s="173">
        <f t="shared" si="55"/>
        <v>7.1278761679147833E-7</v>
      </c>
      <c r="AF64" s="173">
        <f t="shared" si="55"/>
        <v>7.3866979756626634E-7</v>
      </c>
      <c r="AG64" s="173">
        <f t="shared" si="55"/>
        <v>7.6549179164010438E-7</v>
      </c>
      <c r="AH64" s="178">
        <f t="shared" si="49"/>
        <v>7.9328772477097069E-7</v>
      </c>
      <c r="AI64" s="127"/>
    </row>
    <row r="65" spans="1:35">
      <c r="A65" s="9" t="s">
        <v>120</v>
      </c>
      <c r="B65" s="37"/>
      <c r="C65" s="301">
        <f t="shared" si="50"/>
        <v>0</v>
      </c>
      <c r="D65" s="301">
        <v>0</v>
      </c>
      <c r="E65" s="301">
        <v>0</v>
      </c>
      <c r="F65" s="301">
        <v>0</v>
      </c>
      <c r="G65" s="301">
        <v>0</v>
      </c>
      <c r="H65" s="361">
        <f t="shared" si="53"/>
        <v>1.7970154844763143E-5</v>
      </c>
      <c r="I65" s="173">
        <v>0</v>
      </c>
      <c r="J65" s="173">
        <v>0</v>
      </c>
      <c r="K65" s="173">
        <v>0</v>
      </c>
      <c r="L65" s="173">
        <v>0</v>
      </c>
      <c r="M65" s="173">
        <v>0</v>
      </c>
      <c r="N65" s="178">
        <v>0</v>
      </c>
      <c r="O65" s="116">
        <f t="shared" ref="O65:AG65" si="64">O41/O$49</f>
        <v>1.3165067033789435E-4</v>
      </c>
      <c r="P65" s="116">
        <f t="shared" si="64"/>
        <v>1.4675530798025213E-4</v>
      </c>
      <c r="Q65" s="116">
        <f t="shared" si="64"/>
        <v>1.6081494117276492E-4</v>
      </c>
      <c r="R65" s="116">
        <f t="shared" si="64"/>
        <v>1.7482632712556746E-4</v>
      </c>
      <c r="S65" s="116">
        <f t="shared" si="64"/>
        <v>1.8828001807743748E-4</v>
      </c>
      <c r="T65" s="116">
        <f t="shared" si="64"/>
        <v>2.0291977333220388E-4</v>
      </c>
      <c r="U65" s="116">
        <f t="shared" si="64"/>
        <v>2.1749028820525009E-4</v>
      </c>
      <c r="V65" s="116">
        <f t="shared" si="64"/>
        <v>2.3174713334923324E-4</v>
      </c>
      <c r="W65" s="116">
        <f t="shared" si="64"/>
        <v>2.4518537136516207E-4</v>
      </c>
      <c r="X65" s="178">
        <f t="shared" si="47"/>
        <v>2.5912526789650307E-4</v>
      </c>
      <c r="Y65" s="173">
        <f t="shared" si="64"/>
        <v>2.7376978695199639E-4</v>
      </c>
      <c r="Z65" s="173">
        <f t="shared" si="64"/>
        <v>2.8802850077689908E-4</v>
      </c>
      <c r="AA65" s="173">
        <f t="shared" si="64"/>
        <v>3.0249796634982458E-4</v>
      </c>
      <c r="AB65" s="173">
        <f t="shared" si="64"/>
        <v>3.1662643259738399E-4</v>
      </c>
      <c r="AC65" s="173">
        <f t="shared" si="64"/>
        <v>3.3017323454067422E-4</v>
      </c>
      <c r="AD65" s="173">
        <f t="shared" si="64"/>
        <v>3.4364396152254662E-4</v>
      </c>
      <c r="AE65" s="173">
        <f t="shared" si="64"/>
        <v>3.5633132286732856E-4</v>
      </c>
      <c r="AF65" s="173">
        <f t="shared" si="64"/>
        <v>3.6851540609282899E-4</v>
      </c>
      <c r="AG65" s="173">
        <f t="shared" si="64"/>
        <v>3.8095243872200078E-4</v>
      </c>
      <c r="AH65" s="178">
        <f t="shared" si="49"/>
        <v>3.9368963278943979E-4</v>
      </c>
      <c r="AI65" s="127"/>
    </row>
    <row r="66" spans="1:35">
      <c r="A66" s="9" t="s">
        <v>53</v>
      </c>
      <c r="B66" s="37"/>
      <c r="C66" s="301">
        <f>C42/C$49</f>
        <v>0</v>
      </c>
      <c r="D66" s="301">
        <f t="shared" ref="D66:N66" si="65">C66*($N79)</f>
        <v>0</v>
      </c>
      <c r="E66" s="301">
        <f t="shared" si="65"/>
        <v>0</v>
      </c>
      <c r="F66" s="301">
        <f t="shared" si="65"/>
        <v>0</v>
      </c>
      <c r="G66" s="301">
        <f t="shared" si="65"/>
        <v>0</v>
      </c>
      <c r="H66" s="361">
        <f t="shared" si="53"/>
        <v>8.453296154242564E-7</v>
      </c>
      <c r="I66" s="116">
        <f t="shared" si="65"/>
        <v>1.0241221048413449E-6</v>
      </c>
      <c r="J66" s="116">
        <f t="shared" si="65"/>
        <v>1.2407303216252264E-6</v>
      </c>
      <c r="K66" s="116">
        <f t="shared" si="65"/>
        <v>1.5031525281242909E-6</v>
      </c>
      <c r="L66" s="116">
        <f t="shared" si="65"/>
        <v>1.8210786690912672E-6</v>
      </c>
      <c r="M66" s="116">
        <f t="shared" si="65"/>
        <v>2.2062481730696357E-6</v>
      </c>
      <c r="N66" s="178">
        <f t="shared" si="65"/>
        <v>2.672883431006329E-6</v>
      </c>
      <c r="O66" s="116">
        <f t="shared" ref="O66:W66" si="66">N66*$X79</f>
        <v>2.7643486844588538E-6</v>
      </c>
      <c r="P66" s="116">
        <f t="shared" si="66"/>
        <v>2.8589438509079904E-6</v>
      </c>
      <c r="Q66" s="116">
        <f t="shared" si="66"/>
        <v>2.9567760350191343E-6</v>
      </c>
      <c r="R66" s="116">
        <f t="shared" si="66"/>
        <v>3.0579560065465705E-6</v>
      </c>
      <c r="S66" s="116">
        <f t="shared" si="66"/>
        <v>3.1625983257516949E-6</v>
      </c>
      <c r="T66" s="116">
        <f t="shared" si="66"/>
        <v>3.2708214731130077E-6</v>
      </c>
      <c r="U66" s="116">
        <f t="shared" si="66"/>
        <v>3.3827479834747437E-6</v>
      </c>
      <c r="V66" s="116">
        <f t="shared" si="66"/>
        <v>3.4985045847860273E-6</v>
      </c>
      <c r="W66" s="116">
        <f t="shared" si="66"/>
        <v>3.6182223415876392E-6</v>
      </c>
      <c r="X66" s="178">
        <f t="shared" si="47"/>
        <v>3.7420368034088587E-6</v>
      </c>
      <c r="Y66" s="173">
        <f t="shared" si="55"/>
        <v>3.8779146872695591E-6</v>
      </c>
      <c r="Z66" s="173">
        <f t="shared" si="55"/>
        <v>4.0187264614932945E-6</v>
      </c>
      <c r="AA66" s="173">
        <f t="shared" si="55"/>
        <v>4.1646512816087117E-6</v>
      </c>
      <c r="AB66" s="173">
        <f t="shared" si="55"/>
        <v>4.3158748084984651E-6</v>
      </c>
      <c r="AC66" s="173">
        <f t="shared" si="55"/>
        <v>4.4725894446164896E-6</v>
      </c>
      <c r="AD66" s="173">
        <f t="shared" si="55"/>
        <v>4.6349945787826145E-6</v>
      </c>
      <c r="AE66" s="173">
        <f t="shared" si="55"/>
        <v>4.8032968398659585E-6</v>
      </c>
      <c r="AF66" s="173">
        <f t="shared" si="55"/>
        <v>4.9777103596798801E-6</v>
      </c>
      <c r="AG66" s="173">
        <f t="shared" si="55"/>
        <v>5.1584570454229623E-6</v>
      </c>
      <c r="AH66" s="178">
        <f t="shared" si="49"/>
        <v>5.3457668620126547E-6</v>
      </c>
      <c r="AI66" s="127"/>
    </row>
    <row r="67" spans="1:35" s="1" customFormat="1">
      <c r="A67" s="11" t="s">
        <v>541</v>
      </c>
      <c r="B67" s="36"/>
      <c r="C67" s="305">
        <f t="shared" ref="C67:AG67" si="67">SUM(C58:C66)</f>
        <v>2.7251028663086693E-2</v>
      </c>
      <c r="D67" s="305">
        <f t="shared" si="67"/>
        <v>3.2688004295892602E-2</v>
      </c>
      <c r="E67" s="305">
        <f t="shared" si="67"/>
        <v>3.9210982278344138E-2</v>
      </c>
      <c r="F67" s="305">
        <f t="shared" si="67"/>
        <v>4.7037078062199776E-2</v>
      </c>
      <c r="G67" s="305">
        <f t="shared" si="67"/>
        <v>5.6426843089421495E-2</v>
      </c>
      <c r="H67" s="368">
        <f t="shared" si="67"/>
        <v>3.3648460158122236E-2</v>
      </c>
      <c r="I67" s="85">
        <f t="shared" si="67"/>
        <v>4.0323910139716056E-2</v>
      </c>
      <c r="J67" s="85">
        <f t="shared" si="67"/>
        <v>4.8351770891179022E-2</v>
      </c>
      <c r="K67" s="85">
        <f t="shared" si="67"/>
        <v>5.7980465236979813E-2</v>
      </c>
      <c r="L67" s="85">
        <f t="shared" si="67"/>
        <v>6.9529620275599238E-2</v>
      </c>
      <c r="M67" s="85">
        <f t="shared" si="67"/>
        <v>8.3382743575100893E-2</v>
      </c>
      <c r="N67" s="183">
        <f>SUM(N58:N66)</f>
        <v>0.1</v>
      </c>
      <c r="O67" s="85">
        <f t="shared" si="67"/>
        <v>0.10355362008327593</v>
      </c>
      <c r="P67" s="85">
        <f t="shared" si="67"/>
        <v>0.10710779288048715</v>
      </c>
      <c r="Q67" s="85">
        <f t="shared" si="67"/>
        <v>0.11078202650317198</v>
      </c>
      <c r="R67" s="85">
        <f t="shared" si="67"/>
        <v>0.11458146191299785</v>
      </c>
      <c r="S67" s="85">
        <f t="shared" si="67"/>
        <v>0.11850987568006974</v>
      </c>
      <c r="T67" s="85">
        <f t="shared" si="67"/>
        <v>0.12257344424777807</v>
      </c>
      <c r="U67" s="85">
        <f t="shared" si="67"/>
        <v>0.12677549668061852</v>
      </c>
      <c r="V67" s="85">
        <f t="shared" si="67"/>
        <v>0.13112052979413499</v>
      </c>
      <c r="W67" s="85">
        <f t="shared" si="67"/>
        <v>0.13561294213976996</v>
      </c>
      <c r="X67" s="183">
        <f t="shared" si="67"/>
        <v>0.14025912526789652</v>
      </c>
      <c r="Y67" s="85">
        <f t="shared" si="67"/>
        <v>0.14535733917439594</v>
      </c>
      <c r="Z67" s="85">
        <f t="shared" si="67"/>
        <v>0.15063975783078595</v>
      </c>
      <c r="AA67" s="85">
        <f t="shared" si="67"/>
        <v>0.15611368050043961</v>
      </c>
      <c r="AB67" s="85">
        <f t="shared" si="67"/>
        <v>0.16178550152205678</v>
      </c>
      <c r="AC67" s="85">
        <f t="shared" si="67"/>
        <v>0.16766217854135576</v>
      </c>
      <c r="AD67" s="85">
        <f t="shared" si="67"/>
        <v>0.17375167683774717</v>
      </c>
      <c r="AE67" s="85">
        <f t="shared" si="67"/>
        <v>0.18006101968099519</v>
      </c>
      <c r="AF67" s="85">
        <f t="shared" si="67"/>
        <v>0.18659849842506029</v>
      </c>
      <c r="AG67" s="85">
        <f t="shared" si="67"/>
        <v>0.19337317146268543</v>
      </c>
      <c r="AH67" s="183">
        <f>SUM(AH58:AH66)</f>
        <v>0.20039368963278936</v>
      </c>
      <c r="AI67" s="196"/>
    </row>
    <row r="68" spans="1:35" s="217" customFormat="1">
      <c r="A68" s="10" t="s">
        <v>549</v>
      </c>
      <c r="B68" s="37"/>
      <c r="C68" s="297"/>
      <c r="D68" s="297">
        <f>D67/C67-1</f>
        <v>0.19951451007684895</v>
      </c>
      <c r="E68" s="297">
        <f t="shared" ref="E68:W68" si="68">E67/D67-1</f>
        <v>0.19955265312025117</v>
      </c>
      <c r="F68" s="297">
        <f t="shared" si="68"/>
        <v>0.19958938361454726</v>
      </c>
      <c r="G68" s="297">
        <f t="shared" si="68"/>
        <v>0.19962475166516724</v>
      </c>
      <c r="H68" s="249"/>
      <c r="I68" s="249">
        <f t="shared" si="68"/>
        <v>0.19838797823806109</v>
      </c>
      <c r="J68" s="249">
        <f t="shared" si="68"/>
        <v>0.19908438253253924</v>
      </c>
      <c r="K68" s="249">
        <f t="shared" si="68"/>
        <v>0.19913840110367875</v>
      </c>
      <c r="L68" s="249">
        <f t="shared" si="68"/>
        <v>0.19919045132555091</v>
      </c>
      <c r="M68" s="249">
        <f t="shared" si="68"/>
        <v>0.19924060054680437</v>
      </c>
      <c r="N68" s="248">
        <f t="shared" si="68"/>
        <v>0.19928891413763972</v>
      </c>
      <c r="O68" s="249">
        <f t="shared" si="68"/>
        <v>3.5536200832759102E-2</v>
      </c>
      <c r="P68" s="249">
        <f t="shared" si="68"/>
        <v>3.4322052617310916E-2</v>
      </c>
      <c r="Q68" s="249">
        <f t="shared" si="68"/>
        <v>3.4304073717442929E-2</v>
      </c>
      <c r="R68" s="249">
        <f t="shared" si="68"/>
        <v>3.4296496731056614E-2</v>
      </c>
      <c r="S68" s="249">
        <f t="shared" si="68"/>
        <v>3.4284898285332988E-2</v>
      </c>
      <c r="T68" s="249">
        <f t="shared" si="68"/>
        <v>3.4288860269150678E-2</v>
      </c>
      <c r="U68" s="249">
        <f t="shared" si="68"/>
        <v>3.4281915292729614E-2</v>
      </c>
      <c r="V68" s="249">
        <f t="shared" si="68"/>
        <v>3.4273445794203994E-2</v>
      </c>
      <c r="W68" s="249">
        <f t="shared" si="68"/>
        <v>3.4261700686294194E-2</v>
      </c>
      <c r="X68" s="249">
        <f>X67/W67-1</f>
        <v>3.4260617422030126E-2</v>
      </c>
      <c r="Y68" s="254">
        <f t="shared" ref="Y68:AG68" si="69">Y67/X67-1</f>
        <v>3.6348536302089229E-2</v>
      </c>
      <c r="Z68" s="254">
        <f t="shared" si="69"/>
        <v>3.6340914647951195E-2</v>
      </c>
      <c r="AA68" s="254">
        <f t="shared" si="69"/>
        <v>3.6337835034244703E-2</v>
      </c>
      <c r="AB68" s="254">
        <f t="shared" si="69"/>
        <v>3.6331351637060472E-2</v>
      </c>
      <c r="AC68" s="254">
        <f t="shared" si="69"/>
        <v>3.6323879235234058E-2</v>
      </c>
      <c r="AD68" s="254">
        <f t="shared" si="69"/>
        <v>3.6320047546616774E-2</v>
      </c>
      <c r="AE68" s="254">
        <f t="shared" si="69"/>
        <v>3.6312414119259451E-2</v>
      </c>
      <c r="AF68" s="254">
        <f t="shared" si="69"/>
        <v>3.6307018341044772E-2</v>
      </c>
      <c r="AG68" s="254">
        <f t="shared" si="69"/>
        <v>3.6306149807233901E-2</v>
      </c>
      <c r="AH68" s="248">
        <f>AH67/AG67-1</f>
        <v>3.630554392318408E-2</v>
      </c>
      <c r="AI68" s="257"/>
    </row>
    <row r="69" spans="1:35">
      <c r="A69" s="10"/>
      <c r="B69" s="37"/>
      <c r="C69" s="297"/>
      <c r="D69" s="297"/>
      <c r="E69" s="297"/>
      <c r="F69" s="297"/>
      <c r="G69" s="297"/>
      <c r="H69" s="249"/>
      <c r="I69" s="164"/>
      <c r="J69" s="164"/>
      <c r="K69" s="164"/>
      <c r="L69" s="164"/>
      <c r="M69" s="164"/>
      <c r="N69" s="185"/>
      <c r="O69" s="164"/>
      <c r="P69" s="164"/>
      <c r="Q69" s="164"/>
      <c r="R69" s="164"/>
      <c r="S69" s="164"/>
      <c r="T69" s="164"/>
      <c r="U69" s="164"/>
      <c r="V69" s="164"/>
      <c r="W69" s="164"/>
      <c r="X69" s="185"/>
      <c r="Y69" s="20"/>
      <c r="Z69" s="20"/>
      <c r="AA69" s="20"/>
      <c r="AB69" s="20"/>
      <c r="AC69" s="20"/>
      <c r="AD69" s="20"/>
      <c r="AE69" s="20"/>
      <c r="AF69" s="20"/>
      <c r="AG69" s="20"/>
      <c r="AH69" s="244"/>
      <c r="AI69" s="127"/>
    </row>
    <row r="70" spans="1:35">
      <c r="A70" s="11" t="s">
        <v>546</v>
      </c>
      <c r="B70" s="37"/>
      <c r="C70" s="297"/>
      <c r="D70" s="297"/>
      <c r="E70" s="297"/>
      <c r="F70" s="297"/>
      <c r="G70" s="297"/>
      <c r="H70" s="249"/>
      <c r="I70" s="164"/>
      <c r="J70" s="164"/>
      <c r="K70" s="164"/>
      <c r="L70" s="164"/>
      <c r="M70" s="164"/>
      <c r="N70" s="199" t="s">
        <v>709</v>
      </c>
      <c r="O70" s="164"/>
      <c r="P70" s="164"/>
      <c r="Q70" s="164"/>
      <c r="R70" s="164"/>
      <c r="S70" s="164"/>
      <c r="T70" s="164"/>
      <c r="U70" s="164"/>
      <c r="V70" s="164"/>
      <c r="W70" s="164"/>
      <c r="X70" s="199" t="s">
        <v>547</v>
      </c>
      <c r="Y70" s="20"/>
      <c r="Z70" s="20"/>
      <c r="AA70" s="20"/>
      <c r="AB70" s="20"/>
      <c r="AC70" s="20"/>
      <c r="AD70" s="20"/>
      <c r="AE70" s="20"/>
      <c r="AF70" s="20"/>
      <c r="AG70" s="20"/>
      <c r="AH70" s="244" t="s">
        <v>706</v>
      </c>
      <c r="AI70" s="127"/>
    </row>
    <row r="71" spans="1:35">
      <c r="A71" s="9" t="s">
        <v>121</v>
      </c>
      <c r="B71" s="37"/>
      <c r="C71" s="297"/>
      <c r="D71" s="297"/>
      <c r="E71" s="297"/>
      <c r="F71" s="297"/>
      <c r="G71" s="297"/>
      <c r="H71" s="249"/>
      <c r="I71" s="164"/>
      <c r="J71" s="164"/>
      <c r="K71" s="360"/>
      <c r="L71" s="360"/>
      <c r="M71" s="164"/>
      <c r="N71" s="186">
        <f>(N86/H86)^(1/6)</f>
        <v>1.2005233094014216</v>
      </c>
      <c r="O71" s="164"/>
      <c r="P71" s="164"/>
      <c r="Q71" s="164"/>
      <c r="R71" s="164"/>
      <c r="S71" s="164"/>
      <c r="T71" s="164"/>
      <c r="U71" s="164"/>
      <c r="V71" s="164"/>
      <c r="W71" s="164"/>
      <c r="X71" s="186">
        <f>(X86/N86)^(1/10)</f>
        <v>1.0342196941293802</v>
      </c>
      <c r="Y71" s="20"/>
      <c r="Z71" s="20"/>
      <c r="AA71" s="20"/>
      <c r="AB71" s="20"/>
      <c r="AC71" s="20"/>
      <c r="AD71" s="20"/>
      <c r="AE71" s="20"/>
      <c r="AF71" s="20"/>
      <c r="AG71" s="20"/>
      <c r="AH71" s="186">
        <f>(AH86/X86)^(1/10)</f>
        <v>1.0363112099103142</v>
      </c>
      <c r="AI71" s="127"/>
    </row>
    <row r="72" spans="1:35">
      <c r="A72" s="9" t="s">
        <v>50</v>
      </c>
      <c r="B72" s="37"/>
      <c r="C72" s="297"/>
      <c r="D72" s="297"/>
      <c r="E72" s="297"/>
      <c r="F72" s="297"/>
      <c r="G72" s="297"/>
      <c r="H72" s="249"/>
      <c r="I72" s="164"/>
      <c r="J72" s="164"/>
      <c r="K72" s="360"/>
      <c r="L72" s="360"/>
      <c r="M72" s="164"/>
      <c r="N72" s="186">
        <f>(N87/H87)^(1/6)</f>
        <v>1.1756056377724984</v>
      </c>
      <c r="O72" s="164"/>
      <c r="P72" s="164"/>
      <c r="Q72" s="164"/>
      <c r="R72" s="164"/>
      <c r="S72" s="164"/>
      <c r="T72" s="164"/>
      <c r="U72" s="164"/>
      <c r="V72" s="164"/>
      <c r="W72" s="164"/>
      <c r="X72" s="186">
        <f>(X87/N87)^(1/10)</f>
        <v>1.0342196941293802</v>
      </c>
      <c r="Y72" s="20"/>
      <c r="Z72" s="20"/>
      <c r="AA72" s="20"/>
      <c r="AB72" s="20"/>
      <c r="AC72" s="20"/>
      <c r="AD72" s="20"/>
      <c r="AE72" s="20"/>
      <c r="AF72" s="20"/>
      <c r="AG72" s="20"/>
      <c r="AH72" s="186">
        <f>(AH87/X87)^(1/10)</f>
        <v>1.0363112099103142</v>
      </c>
      <c r="AI72" s="127"/>
    </row>
    <row r="73" spans="1:35">
      <c r="A73" s="9" t="s">
        <v>119</v>
      </c>
      <c r="B73" s="37"/>
      <c r="C73" s="297"/>
      <c r="D73" s="297"/>
      <c r="E73" s="297"/>
      <c r="F73" s="297"/>
      <c r="G73" s="297"/>
      <c r="H73" s="249"/>
      <c r="I73" s="164"/>
      <c r="J73" s="164"/>
      <c r="K73" s="360"/>
      <c r="L73" s="360"/>
      <c r="M73" s="164"/>
      <c r="N73" s="186"/>
      <c r="O73" s="164"/>
      <c r="P73" s="164"/>
      <c r="Q73" s="164"/>
      <c r="R73" s="164"/>
      <c r="S73" s="164"/>
      <c r="T73" s="164"/>
      <c r="U73" s="164"/>
      <c r="V73" s="164"/>
      <c r="W73" s="164"/>
      <c r="X73" s="186"/>
      <c r="AH73" s="186"/>
      <c r="AI73" s="127"/>
    </row>
    <row r="74" spans="1:35">
      <c r="A74" s="9" t="s">
        <v>51</v>
      </c>
      <c r="B74" s="37"/>
      <c r="C74" s="297"/>
      <c r="D74" s="297"/>
      <c r="E74" s="297"/>
      <c r="F74" s="297"/>
      <c r="G74" s="297"/>
      <c r="H74" s="249"/>
      <c r="I74" s="164"/>
      <c r="J74" s="164"/>
      <c r="K74" s="360"/>
      <c r="L74" s="360"/>
      <c r="M74" s="164"/>
      <c r="N74" s="179">
        <f>(N89/H89)^(1/6)</f>
        <v>1.1541654037960383</v>
      </c>
      <c r="O74" s="164"/>
      <c r="P74" s="164"/>
      <c r="Q74" s="164"/>
      <c r="R74" s="164"/>
      <c r="S74" s="164"/>
      <c r="T74" s="164"/>
      <c r="U74" s="164"/>
      <c r="V74" s="164"/>
      <c r="W74" s="164"/>
      <c r="X74" s="186">
        <f>(X89/N89)^(1/10)</f>
        <v>1.0342196941293802</v>
      </c>
      <c r="AH74" s="186">
        <f>(AH89/X89)^(1/10)</f>
        <v>1.0363112099103142</v>
      </c>
      <c r="AI74" s="127"/>
    </row>
    <row r="75" spans="1:35">
      <c r="A75" s="9" t="s">
        <v>347</v>
      </c>
      <c r="B75" s="37"/>
      <c r="C75" s="297"/>
      <c r="D75" s="297"/>
      <c r="E75" s="297"/>
      <c r="F75" s="297"/>
      <c r="G75" s="297"/>
      <c r="H75" s="249"/>
      <c r="I75" s="164"/>
      <c r="J75" s="164"/>
      <c r="K75" s="360"/>
      <c r="L75" s="360"/>
      <c r="M75" s="164"/>
      <c r="N75" s="179">
        <f>(N90/H90)^(1/6)</f>
        <v>1.1410591376836634</v>
      </c>
      <c r="O75" s="164"/>
      <c r="P75" s="164"/>
      <c r="Q75" s="164"/>
      <c r="R75" s="164"/>
      <c r="S75" s="164"/>
      <c r="T75" s="164"/>
      <c r="U75" s="164"/>
      <c r="V75" s="164"/>
      <c r="W75" s="164"/>
      <c r="X75" s="186">
        <f>(X90/N90)^(1/10)</f>
        <v>1.0342196941293802</v>
      </c>
      <c r="AH75" s="186">
        <f>(AH90/X90)^(1/10)</f>
        <v>1.0363112099103142</v>
      </c>
      <c r="AI75" s="127"/>
    </row>
    <row r="76" spans="1:35">
      <c r="A76" s="9" t="s">
        <v>348</v>
      </c>
      <c r="B76" s="37"/>
      <c r="C76" s="297"/>
      <c r="D76" s="297"/>
      <c r="E76" s="297"/>
      <c r="F76" s="297"/>
      <c r="G76" s="297"/>
      <c r="H76" s="249"/>
      <c r="I76" s="164"/>
      <c r="J76" s="164"/>
      <c r="K76" s="360"/>
      <c r="L76" s="360"/>
      <c r="M76" s="164"/>
      <c r="N76" s="179">
        <f>(N91/H91)^(1/6)</f>
        <v>1.1410591376836634</v>
      </c>
      <c r="O76" s="164"/>
      <c r="P76" s="164"/>
      <c r="Q76" s="164"/>
      <c r="R76" s="164"/>
      <c r="S76" s="164"/>
      <c r="T76" s="164"/>
      <c r="U76" s="164"/>
      <c r="V76" s="164"/>
      <c r="W76" s="164"/>
      <c r="X76" s="186">
        <f>(X91/N91)^(1/10)</f>
        <v>1.0342196941293802</v>
      </c>
      <c r="AH76" s="186">
        <f>(AH91/X91)^(1/10)</f>
        <v>1.0363112099103142</v>
      </c>
      <c r="AI76" s="127"/>
    </row>
    <row r="77" spans="1:35">
      <c r="A77" s="9" t="s">
        <v>344</v>
      </c>
      <c r="B77" s="37"/>
      <c r="C77" s="297"/>
      <c r="D77" s="297"/>
      <c r="E77" s="297"/>
      <c r="F77" s="297"/>
      <c r="G77" s="297"/>
      <c r="H77" s="249"/>
      <c r="I77" s="164"/>
      <c r="J77" s="164"/>
      <c r="K77" s="360"/>
      <c r="L77" s="360"/>
      <c r="M77" s="164"/>
      <c r="N77" s="179">
        <f>(N92/H92)^(1/6)</f>
        <v>1.1410591376836634</v>
      </c>
      <c r="O77" s="164"/>
      <c r="P77" s="164"/>
      <c r="Q77" s="164"/>
      <c r="R77" s="164"/>
      <c r="S77" s="164"/>
      <c r="T77" s="164"/>
      <c r="U77" s="164"/>
      <c r="V77" s="164"/>
      <c r="W77" s="164"/>
      <c r="X77" s="186">
        <f>(X92/N92)^(1/10)</f>
        <v>1.0342196941293802</v>
      </c>
      <c r="AH77" s="186">
        <f>(AH92/X92)^(1/10)</f>
        <v>1.0363112099103142</v>
      </c>
      <c r="AI77" s="127"/>
    </row>
    <row r="78" spans="1:35">
      <c r="A78" s="9" t="s">
        <v>120</v>
      </c>
      <c r="B78" s="37"/>
      <c r="C78" s="297"/>
      <c r="D78" s="297"/>
      <c r="E78" s="297"/>
      <c r="F78" s="297"/>
      <c r="G78" s="297"/>
      <c r="H78" s="249"/>
      <c r="I78" s="164"/>
      <c r="J78" s="164"/>
      <c r="K78" s="360"/>
      <c r="L78" s="360"/>
      <c r="M78" s="164"/>
      <c r="N78" s="186">
        <f t="shared" ref="N78:N79" si="70">(N93/H93)^(1/6)</f>
        <v>1.3650399947707628</v>
      </c>
      <c r="O78" s="164"/>
      <c r="P78" s="164"/>
      <c r="Q78" s="164"/>
      <c r="R78" s="164"/>
      <c r="S78" s="164"/>
      <c r="T78" s="164"/>
      <c r="U78" s="164"/>
      <c r="V78" s="164"/>
      <c r="W78" s="164"/>
      <c r="X78" s="186">
        <f t="shared" ref="X78:X79" si="71">(X93/N93)^(1/10)</f>
        <v>1.0834492388479036</v>
      </c>
      <c r="AH78" s="186">
        <f t="shared" ref="AH78:AH79" si="72">(AH93/X93)^(1/10)</f>
        <v>1.0427121195910327</v>
      </c>
      <c r="AI78" s="127"/>
    </row>
    <row r="79" spans="1:35">
      <c r="A79" s="9" t="s">
        <v>53</v>
      </c>
      <c r="B79" s="37"/>
      <c r="C79" s="297"/>
      <c r="D79" s="297"/>
      <c r="E79" s="297"/>
      <c r="F79" s="297"/>
      <c r="G79" s="297"/>
      <c r="H79" s="249"/>
      <c r="I79" s="164"/>
      <c r="J79" s="164"/>
      <c r="K79" s="360"/>
      <c r="L79" s="360"/>
      <c r="M79" s="164"/>
      <c r="N79" s="186">
        <f t="shared" si="70"/>
        <v>1.211506241062376</v>
      </c>
      <c r="O79" s="164"/>
      <c r="P79" s="164"/>
      <c r="Q79" s="164"/>
      <c r="R79" s="164"/>
      <c r="S79" s="164"/>
      <c r="T79" s="164"/>
      <c r="U79" s="164"/>
      <c r="V79" s="164"/>
      <c r="W79" s="164"/>
      <c r="X79" s="186">
        <f t="shared" si="71"/>
        <v>1.0342196941293802</v>
      </c>
      <c r="AH79" s="186">
        <f t="shared" si="72"/>
        <v>1.0363112099103142</v>
      </c>
      <c r="AI79" s="127"/>
    </row>
    <row r="80" spans="1:35">
      <c r="A80" s="10"/>
      <c r="B80" s="37"/>
      <c r="C80" s="297"/>
      <c r="D80" s="297"/>
      <c r="E80" s="297"/>
      <c r="F80" s="297"/>
      <c r="G80" s="297"/>
      <c r="H80" s="249"/>
      <c r="I80" s="164"/>
      <c r="J80" s="164"/>
      <c r="K80" s="164"/>
      <c r="L80" s="164"/>
      <c r="M80" s="164"/>
      <c r="N80" s="180"/>
      <c r="O80" s="164"/>
      <c r="P80" s="164"/>
      <c r="Q80" s="164"/>
      <c r="R80" s="164"/>
      <c r="S80" s="164"/>
      <c r="T80" s="164"/>
      <c r="U80" s="164"/>
      <c r="V80" s="164"/>
      <c r="W80" s="164"/>
      <c r="X80" s="185"/>
      <c r="AI80" s="127"/>
    </row>
    <row r="81" spans="1:35">
      <c r="A81" s="1" t="s">
        <v>548</v>
      </c>
      <c r="B81" s="37"/>
      <c r="C81" s="297"/>
      <c r="D81" s="297"/>
      <c r="E81" s="297"/>
      <c r="F81" s="297"/>
      <c r="G81" s="297"/>
      <c r="H81" s="249"/>
      <c r="I81" s="164"/>
      <c r="J81" s="164"/>
      <c r="K81" s="164"/>
      <c r="L81" s="164"/>
      <c r="M81" s="164"/>
      <c r="N81" s="184" t="s">
        <v>0</v>
      </c>
      <c r="O81" s="164"/>
      <c r="P81" s="164"/>
      <c r="Q81" s="164"/>
      <c r="R81" s="164"/>
      <c r="S81" s="164"/>
      <c r="T81" s="164"/>
      <c r="U81" s="164"/>
      <c r="V81" s="164"/>
      <c r="W81" s="164"/>
      <c r="X81" s="185"/>
      <c r="AI81" s="127"/>
    </row>
    <row r="82" spans="1:35">
      <c r="A82" s="9" t="s">
        <v>282</v>
      </c>
      <c r="B82" s="37"/>
      <c r="C82" s="297"/>
      <c r="D82" s="297"/>
      <c r="E82" s="297"/>
      <c r="F82" s="297"/>
      <c r="G82" s="297"/>
      <c r="H82" s="249"/>
      <c r="I82" s="164"/>
      <c r="J82" s="164"/>
      <c r="K82" s="164"/>
      <c r="L82" s="164"/>
      <c r="M82" s="164"/>
      <c r="N82" s="185" t="s">
        <v>0</v>
      </c>
      <c r="O82" s="164"/>
      <c r="P82" s="164"/>
      <c r="Q82" s="164"/>
      <c r="R82" s="164"/>
      <c r="S82" s="164"/>
      <c r="T82" s="164"/>
      <c r="U82" s="164"/>
      <c r="V82" s="164"/>
      <c r="W82" s="164"/>
      <c r="X82" s="185"/>
      <c r="AI82" s="127"/>
    </row>
    <row r="83" spans="1:35">
      <c r="A83" s="20" t="s">
        <v>122</v>
      </c>
      <c r="B83" s="37"/>
      <c r="C83" s="297"/>
      <c r="D83" s="297"/>
      <c r="E83" s="297"/>
      <c r="F83" s="297"/>
      <c r="G83" s="297"/>
      <c r="H83" s="249"/>
      <c r="I83" s="164"/>
      <c r="J83" s="164"/>
      <c r="K83" s="164"/>
      <c r="L83" s="164"/>
      <c r="M83" s="164"/>
      <c r="N83" s="180"/>
      <c r="O83" s="164"/>
      <c r="P83" s="164"/>
      <c r="Q83" s="164"/>
      <c r="R83" s="164"/>
      <c r="S83" s="164"/>
      <c r="T83" s="164"/>
      <c r="U83" s="164"/>
      <c r="V83" s="164"/>
      <c r="W83" s="164"/>
      <c r="X83" s="185"/>
      <c r="AI83" s="127"/>
    </row>
    <row r="84" spans="1:35">
      <c r="A84" s="9" t="s">
        <v>49</v>
      </c>
      <c r="B84" s="37"/>
      <c r="C84" s="301">
        <f t="shared" ref="C84:AH84" si="73">C31/C$49</f>
        <v>7.3104644675360902E-2</v>
      </c>
      <c r="D84" s="301">
        <f t="shared" si="73"/>
        <v>7.3786203871919573E-2</v>
      </c>
      <c r="E84" s="301">
        <f t="shared" si="73"/>
        <v>7.4467763068478243E-2</v>
      </c>
      <c r="F84" s="301">
        <f t="shared" si="73"/>
        <v>7.5149322265036914E-2</v>
      </c>
      <c r="G84" s="301">
        <f t="shared" si="73"/>
        <v>7.5830881461595584E-2</v>
      </c>
      <c r="H84" s="361">
        <f t="shared" si="73"/>
        <v>8.2996045108356176E-2</v>
      </c>
      <c r="I84" s="116">
        <f t="shared" si="73"/>
        <v>8.2597003563214505E-2</v>
      </c>
      <c r="J84" s="116">
        <f t="shared" si="73"/>
        <v>8.2197962018072862E-2</v>
      </c>
      <c r="K84" s="116">
        <f t="shared" si="73"/>
        <v>8.1798920472931205E-2</v>
      </c>
      <c r="L84" s="116">
        <f t="shared" si="73"/>
        <v>8.1399878927789548E-2</v>
      </c>
      <c r="M84" s="116">
        <f t="shared" si="73"/>
        <v>8.1000837382647892E-2</v>
      </c>
      <c r="N84" s="178">
        <f t="shared" si="73"/>
        <v>8.0601795837506221E-2</v>
      </c>
      <c r="O84" s="116">
        <f t="shared" si="73"/>
        <v>7.9988672362054439E-2</v>
      </c>
      <c r="P84" s="116">
        <f t="shared" si="73"/>
        <v>7.9375548886602657E-2</v>
      </c>
      <c r="Q84" s="116">
        <f t="shared" si="73"/>
        <v>7.8762425411150874E-2</v>
      </c>
      <c r="R84" s="116">
        <f t="shared" si="73"/>
        <v>7.8149301935699092E-2</v>
      </c>
      <c r="S84" s="116">
        <f t="shared" si="73"/>
        <v>7.753617846024731E-2</v>
      </c>
      <c r="T84" s="116">
        <f t="shared" si="73"/>
        <v>7.6923054984795528E-2</v>
      </c>
      <c r="U84" s="116">
        <f t="shared" si="73"/>
        <v>7.6309931509343745E-2</v>
      </c>
      <c r="V84" s="116">
        <f t="shared" si="73"/>
        <v>7.5696808033891963E-2</v>
      </c>
      <c r="W84" s="116">
        <f t="shared" si="73"/>
        <v>7.5083684558440181E-2</v>
      </c>
      <c r="X84" s="178">
        <f t="shared" si="73"/>
        <v>7.4470561082988357E-2</v>
      </c>
      <c r="Y84" s="173">
        <f t="shared" si="73"/>
        <v>7.4169648331805588E-2</v>
      </c>
      <c r="Z84" s="173">
        <f t="shared" si="73"/>
        <v>7.3868735580622819E-2</v>
      </c>
      <c r="AA84" s="173">
        <f t="shared" si="73"/>
        <v>7.3567822829440049E-2</v>
      </c>
      <c r="AB84" s="173">
        <f t="shared" si="73"/>
        <v>7.326691007825728E-2</v>
      </c>
      <c r="AC84" s="173">
        <f t="shared" si="73"/>
        <v>7.2965997327074511E-2</v>
      </c>
      <c r="AD84" s="173">
        <f t="shared" si="73"/>
        <v>7.2665084575891742E-2</v>
      </c>
      <c r="AE84" s="173">
        <f t="shared" si="73"/>
        <v>7.2364171824708973E-2</v>
      </c>
      <c r="AF84" s="173">
        <f t="shared" si="73"/>
        <v>7.2063259073526204E-2</v>
      </c>
      <c r="AG84" s="173">
        <f t="shared" si="73"/>
        <v>7.1762346322343434E-2</v>
      </c>
      <c r="AH84" s="178">
        <f t="shared" si="73"/>
        <v>7.1461433571160679E-2</v>
      </c>
      <c r="AI84" s="127"/>
    </row>
    <row r="85" spans="1:35">
      <c r="A85" s="9" t="s">
        <v>59</v>
      </c>
      <c r="B85" s="37"/>
      <c r="C85" s="301">
        <f t="shared" ref="C85:AH85" si="74">C32/C$49</f>
        <v>0.26448845805146803</v>
      </c>
      <c r="D85" s="301">
        <f t="shared" si="74"/>
        <v>0.26668735587560538</v>
      </c>
      <c r="E85" s="301">
        <f t="shared" si="74"/>
        <v>0.26888625369974273</v>
      </c>
      <c r="F85" s="301">
        <f t="shared" si="74"/>
        <v>0.27108515152388007</v>
      </c>
      <c r="G85" s="301">
        <f t="shared" si="74"/>
        <v>0.27328404934801742</v>
      </c>
      <c r="H85" s="361">
        <f t="shared" si="74"/>
        <v>0.26841509802431257</v>
      </c>
      <c r="I85" s="116">
        <f t="shared" si="74"/>
        <v>0.27179197070642364</v>
      </c>
      <c r="J85" s="116">
        <f t="shared" si="74"/>
        <v>0.2751688433885347</v>
      </c>
      <c r="K85" s="116">
        <f t="shared" si="74"/>
        <v>0.27854571607064577</v>
      </c>
      <c r="L85" s="116">
        <f t="shared" si="74"/>
        <v>0.28192258875275683</v>
      </c>
      <c r="M85" s="116">
        <f t="shared" si="74"/>
        <v>0.2852994614348679</v>
      </c>
      <c r="N85" s="178">
        <f t="shared" si="74"/>
        <v>0.28867633411697907</v>
      </c>
      <c r="O85" s="116">
        <f t="shared" si="74"/>
        <v>0.28648042476514152</v>
      </c>
      <c r="P85" s="116">
        <f t="shared" si="74"/>
        <v>0.28428451541330396</v>
      </c>
      <c r="Q85" s="116">
        <f t="shared" si="74"/>
        <v>0.28208860606146641</v>
      </c>
      <c r="R85" s="116">
        <f t="shared" si="74"/>
        <v>0.27989269670962885</v>
      </c>
      <c r="S85" s="116">
        <f t="shared" si="74"/>
        <v>0.2776967873577913</v>
      </c>
      <c r="T85" s="116">
        <f t="shared" si="74"/>
        <v>0.27550087800595374</v>
      </c>
      <c r="U85" s="116">
        <f t="shared" si="74"/>
        <v>0.27330496865411619</v>
      </c>
      <c r="V85" s="116">
        <f t="shared" si="74"/>
        <v>0.27110905930227863</v>
      </c>
      <c r="W85" s="116">
        <f t="shared" si="74"/>
        <v>0.26891314995044108</v>
      </c>
      <c r="X85" s="178">
        <f t="shared" si="74"/>
        <v>0.2667172405986033</v>
      </c>
      <c r="Y85" s="173">
        <f t="shared" si="74"/>
        <v>0.2656395178382368</v>
      </c>
      <c r="Z85" s="173">
        <f t="shared" si="74"/>
        <v>0.26456179507787031</v>
      </c>
      <c r="AA85" s="173">
        <f t="shared" si="74"/>
        <v>0.26348407231750381</v>
      </c>
      <c r="AB85" s="173">
        <f t="shared" si="74"/>
        <v>0.26240634955713732</v>
      </c>
      <c r="AC85" s="173">
        <f t="shared" si="74"/>
        <v>0.26132862679677082</v>
      </c>
      <c r="AD85" s="173">
        <f t="shared" si="74"/>
        <v>0.26025090403640433</v>
      </c>
      <c r="AE85" s="173">
        <f t="shared" si="74"/>
        <v>0.25917318127603783</v>
      </c>
      <c r="AF85" s="173">
        <f t="shared" si="74"/>
        <v>0.25809545851567134</v>
      </c>
      <c r="AG85" s="173">
        <f t="shared" si="74"/>
        <v>0.25701773575530484</v>
      </c>
      <c r="AH85" s="178">
        <f t="shared" si="74"/>
        <v>0.25594001299493813</v>
      </c>
      <c r="AI85" s="127"/>
    </row>
    <row r="86" spans="1:35" s="217" customFormat="1">
      <c r="A86" s="10" t="s">
        <v>121</v>
      </c>
      <c r="B86" s="37"/>
      <c r="C86" s="375">
        <f t="shared" ref="C86:AH86" si="75">C34/C$49</f>
        <v>2.6658065415998331E-2</v>
      </c>
      <c r="D86" s="301">
        <f t="shared" si="75"/>
        <v>3.2003628915453899E-2</v>
      </c>
      <c r="E86" s="301">
        <f t="shared" si="75"/>
        <v>3.8421102498435743E-2</v>
      </c>
      <c r="F86" s="301">
        <f t="shared" si="75"/>
        <v>4.6125429122273305E-2</v>
      </c>
      <c r="G86" s="301">
        <f t="shared" si="75"/>
        <v>5.537465281743225E-2</v>
      </c>
      <c r="H86" s="374">
        <f t="shared" si="75"/>
        <v>3.2546444930141021E-2</v>
      </c>
      <c r="I86" s="361">
        <f t="shared" si="75"/>
        <v>3.9072765776784014E-2</v>
      </c>
      <c r="J86" s="361">
        <f t="shared" si="75"/>
        <v>4.6907766077811344E-2</v>
      </c>
      <c r="K86" s="361">
        <f t="shared" si="75"/>
        <v>5.6313866568361827E-2</v>
      </c>
      <c r="L86" s="361">
        <f t="shared" si="75"/>
        <v>6.7606109457839819E-2</v>
      </c>
      <c r="M86" s="361">
        <f t="shared" si="75"/>
        <v>8.1162710262080606E-2</v>
      </c>
      <c r="N86" s="362">
        <f>N34/N$49</f>
        <v>9.7437725523821725E-2</v>
      </c>
      <c r="O86" s="361">
        <f t="shared" si="75"/>
        <v>0.1007720146879094</v>
      </c>
      <c r="P86" s="361">
        <f t="shared" si="75"/>
        <v>0.10422040220733107</v>
      </c>
      <c r="Q86" s="361">
        <f t="shared" si="75"/>
        <v>0.10778679249290692</v>
      </c>
      <c r="R86" s="361">
        <f t="shared" si="75"/>
        <v>0.11147522356320116</v>
      </c>
      <c r="S86" s="361">
        <f t="shared" si="75"/>
        <v>0.11528987161653818</v>
      </c>
      <c r="T86" s="361">
        <f t="shared" si="75"/>
        <v>0.11923505575947163</v>
      </c>
      <c r="U86" s="361">
        <f t="shared" si="75"/>
        <v>0.12331524289706035</v>
      </c>
      <c r="V86" s="361">
        <f t="shared" si="75"/>
        <v>0.12753505279048799</v>
      </c>
      <c r="W86" s="361">
        <f t="shared" si="75"/>
        <v>0.13189926328775284</v>
      </c>
      <c r="X86" s="362">
        <f t="shared" si="75"/>
        <v>0.13641281573335037</v>
      </c>
      <c r="Y86" s="361">
        <f>Y34/Y$49</f>
        <v>0.14136613011990107</v>
      </c>
      <c r="Z86" s="361">
        <f t="shared" si="75"/>
        <v>0.14649930534489358</v>
      </c>
      <c r="AA86" s="361">
        <f t="shared" si="75"/>
        <v>0.15181887237298722</v>
      </c>
      <c r="AB86" s="361">
        <f t="shared" si="75"/>
        <v>0.15733159931606996</v>
      </c>
      <c r="AC86" s="361">
        <f t="shared" si="75"/>
        <v>0.16304450004436122</v>
      </c>
      <c r="AD86" s="361">
        <f t="shared" si="75"/>
        <v>0.16896484311019425</v>
      </c>
      <c r="AE86" s="361">
        <f t="shared" si="75"/>
        <v>0.17510016099583181</v>
      </c>
      <c r="AF86" s="361">
        <f t="shared" si="75"/>
        <v>0.18145825969708126</v>
      </c>
      <c r="AG86" s="361">
        <f t="shared" si="75"/>
        <v>0.18804722865490228</v>
      </c>
      <c r="AH86" s="362">
        <f t="shared" si="75"/>
        <v>0.19487545104764337</v>
      </c>
      <c r="AI86" s="257"/>
    </row>
    <row r="87" spans="1:35">
      <c r="A87" s="9" t="s">
        <v>50</v>
      </c>
      <c r="B87" s="37"/>
      <c r="C87" s="375">
        <f t="shared" ref="C87:AH87" si="76">C35/C$49</f>
        <v>0</v>
      </c>
      <c r="D87" s="301">
        <f t="shared" si="76"/>
        <v>0</v>
      </c>
      <c r="E87" s="301">
        <f t="shared" si="76"/>
        <v>7.0604324028978981E-8</v>
      </c>
      <c r="F87" s="301">
        <f t="shared" si="76"/>
        <v>6.9332631712657286E-8</v>
      </c>
      <c r="G87" s="301">
        <f t="shared" si="76"/>
        <v>7.4378904734176464E-8</v>
      </c>
      <c r="H87" s="374">
        <f t="shared" si="76"/>
        <v>7.3840624167970874E-8</v>
      </c>
      <c r="I87" s="116">
        <f t="shared" si="76"/>
        <v>8.6807454068506751E-8</v>
      </c>
      <c r="J87" s="116">
        <f>J35/J$49</f>
        <v>1.0205133240361373E-7</v>
      </c>
      <c r="K87" s="116">
        <f t="shared" si="76"/>
        <v>1.1997212171588355E-7</v>
      </c>
      <c r="L87" s="116">
        <f t="shared" si="76"/>
        <v>1.4103990266472108E-7</v>
      </c>
      <c r="M87" s="116">
        <f t="shared" si="76"/>
        <v>1.6580730472353053E-7</v>
      </c>
      <c r="N87" s="178">
        <f t="shared" si="76"/>
        <v>1.9492400221684505E-7</v>
      </c>
      <c r="O87" s="116">
        <f t="shared" si="76"/>
        <v>2.0159424195118017E-7</v>
      </c>
      <c r="P87" s="116">
        <f t="shared" si="76"/>
        <v>2.0849273524899381E-7</v>
      </c>
      <c r="Q87" s="116">
        <f t="shared" si="76"/>
        <v>2.1562729287741221E-7</v>
      </c>
      <c r="R87" s="116">
        <f t="shared" si="76"/>
        <v>2.2300599288562353E-7</v>
      </c>
      <c r="S87" s="116">
        <f t="shared" si="76"/>
        <v>2.3063718975118831E-7</v>
      </c>
      <c r="T87" s="116">
        <f t="shared" si="76"/>
        <v>2.3852952383933381E-7</v>
      </c>
      <c r="U87" s="116">
        <f t="shared" si="76"/>
        <v>2.4669193118594254E-7</v>
      </c>
      <c r="V87" s="116">
        <f t="shared" si="76"/>
        <v>2.5513365361531157E-7</v>
      </c>
      <c r="W87" s="116">
        <f t="shared" si="76"/>
        <v>2.6386424920413879E-7</v>
      </c>
      <c r="X87" s="178">
        <f t="shared" si="76"/>
        <v>2.7289360310358297E-7</v>
      </c>
      <c r="Y87" s="173">
        <f t="shared" si="76"/>
        <v>2.8280270000905914E-7</v>
      </c>
      <c r="Z87" s="173">
        <f t="shared" si="76"/>
        <v>2.9307160821229173E-7</v>
      </c>
      <c r="AA87" s="173">
        <f t="shared" si="76"/>
        <v>3.0371339289684164E-7</v>
      </c>
      <c r="AB87" s="173">
        <f t="shared" si="76"/>
        <v>3.1474159365889262E-7</v>
      </c>
      <c r="AC87" s="173">
        <f t="shared" si="76"/>
        <v>3.2617024173374747E-7</v>
      </c>
      <c r="AD87" s="173">
        <f t="shared" si="76"/>
        <v>3.3801387784783951E-7</v>
      </c>
      <c r="AE87" s="173">
        <f t="shared" si="76"/>
        <v>3.502875707189717E-7</v>
      </c>
      <c r="AF87" s="173">
        <f t="shared" si="76"/>
        <v>3.6300693622832231E-7</v>
      </c>
      <c r="AG87" s="173">
        <f t="shared" si="76"/>
        <v>3.7618815728860897E-7</v>
      </c>
      <c r="AH87" s="178">
        <f t="shared" si="76"/>
        <v>3.8984800443368995E-7</v>
      </c>
      <c r="AI87" s="127"/>
    </row>
    <row r="88" spans="1:35">
      <c r="A88" s="9" t="s">
        <v>119</v>
      </c>
      <c r="B88" s="37"/>
      <c r="C88" s="375">
        <f t="shared" ref="C88:AH88" si="77">C36/C$49</f>
        <v>0</v>
      </c>
      <c r="D88" s="301">
        <f t="shared" si="77"/>
        <v>0</v>
      </c>
      <c r="E88" s="301">
        <f t="shared" si="77"/>
        <v>0</v>
      </c>
      <c r="F88" s="301">
        <f t="shared" si="77"/>
        <v>0</v>
      </c>
      <c r="G88" s="301">
        <f t="shared" si="77"/>
        <v>0</v>
      </c>
      <c r="H88" s="374">
        <f t="shared" si="77"/>
        <v>0</v>
      </c>
      <c r="I88" s="116">
        <f t="shared" si="77"/>
        <v>0</v>
      </c>
      <c r="J88" s="116">
        <f t="shared" si="77"/>
        <v>0</v>
      </c>
      <c r="K88" s="116">
        <f t="shared" si="77"/>
        <v>0</v>
      </c>
      <c r="L88" s="116">
        <f t="shared" si="77"/>
        <v>0</v>
      </c>
      <c r="M88" s="116">
        <f t="shared" si="77"/>
        <v>0</v>
      </c>
      <c r="N88" s="178">
        <f t="shared" si="77"/>
        <v>0</v>
      </c>
      <c r="O88" s="116">
        <f t="shared" si="77"/>
        <v>0</v>
      </c>
      <c r="P88" s="116">
        <f t="shared" si="77"/>
        <v>0</v>
      </c>
      <c r="Q88" s="116">
        <f t="shared" si="77"/>
        <v>0</v>
      </c>
      <c r="R88" s="116">
        <f t="shared" si="77"/>
        <v>0</v>
      </c>
      <c r="S88" s="116">
        <f t="shared" si="77"/>
        <v>0</v>
      </c>
      <c r="T88" s="116">
        <f t="shared" si="77"/>
        <v>0</v>
      </c>
      <c r="U88" s="116">
        <f t="shared" si="77"/>
        <v>0</v>
      </c>
      <c r="V88" s="116">
        <f t="shared" si="77"/>
        <v>0</v>
      </c>
      <c r="W88" s="116">
        <f t="shared" si="77"/>
        <v>0</v>
      </c>
      <c r="X88" s="178">
        <f t="shared" si="77"/>
        <v>0</v>
      </c>
      <c r="Y88" s="173">
        <f t="shared" si="77"/>
        <v>0</v>
      </c>
      <c r="Z88" s="173">
        <f t="shared" si="77"/>
        <v>0</v>
      </c>
      <c r="AA88" s="173">
        <f t="shared" si="77"/>
        <v>0</v>
      </c>
      <c r="AB88" s="173">
        <f t="shared" si="77"/>
        <v>0</v>
      </c>
      <c r="AC88" s="173">
        <f t="shared" si="77"/>
        <v>0</v>
      </c>
      <c r="AD88" s="173">
        <f t="shared" si="77"/>
        <v>0</v>
      </c>
      <c r="AE88" s="173">
        <f t="shared" si="77"/>
        <v>0</v>
      </c>
      <c r="AF88" s="173">
        <f t="shared" si="77"/>
        <v>0</v>
      </c>
      <c r="AG88" s="173">
        <f t="shared" si="77"/>
        <v>0</v>
      </c>
      <c r="AH88" s="178">
        <f t="shared" si="77"/>
        <v>0</v>
      </c>
      <c r="AI88" s="127"/>
    </row>
    <row r="89" spans="1:35">
      <c r="A89" s="9" t="s">
        <v>51</v>
      </c>
      <c r="B89" s="37"/>
      <c r="C89" s="375">
        <f t="shared" ref="C89:AH89" si="78">C37/C$49</f>
        <v>5.9278889741265094E-4</v>
      </c>
      <c r="D89" s="301">
        <f t="shared" si="78"/>
        <v>6.8417643714808053E-4</v>
      </c>
      <c r="E89" s="301">
        <f t="shared" si="78"/>
        <v>1.1644681021164048E-3</v>
      </c>
      <c r="F89" s="301">
        <f t="shared" si="78"/>
        <v>1.2639612898553178E-3</v>
      </c>
      <c r="G89" s="301">
        <f t="shared" si="78"/>
        <v>1.051894706477538E-3</v>
      </c>
      <c r="H89" s="374">
        <f t="shared" si="78"/>
        <v>1.0775551548949784E-3</v>
      </c>
      <c r="I89" s="116">
        <f t="shared" si="78"/>
        <v>1.2436768804618653E-3</v>
      </c>
      <c r="J89" s="116">
        <f t="shared" si="78"/>
        <v>1.4354088289300661E-3</v>
      </c>
      <c r="K89" s="116">
        <f t="shared" si="78"/>
        <v>1.6566992106544682E-3</v>
      </c>
      <c r="L89" s="116">
        <f t="shared" si="78"/>
        <v>1.9121049134335922E-3</v>
      </c>
      <c r="M89" s="116">
        <f t="shared" si="78"/>
        <v>2.2068853395134707E-3</v>
      </c>
      <c r="N89" s="178">
        <f t="shared" si="78"/>
        <v>2.5471107090111232E-3</v>
      </c>
      <c r="O89" s="116">
        <f t="shared" si="78"/>
        <v>2.6342720583871515E-3</v>
      </c>
      <c r="P89" s="116">
        <f t="shared" si="78"/>
        <v>2.7244160424787327E-3</v>
      </c>
      <c r="Q89" s="116">
        <f t="shared" si="78"/>
        <v>2.817644726133532E-3</v>
      </c>
      <c r="R89" s="116">
        <f t="shared" si="78"/>
        <v>2.9140636668270824E-3</v>
      </c>
      <c r="S89" s="116">
        <f t="shared" si="78"/>
        <v>3.0137820341794453E-3</v>
      </c>
      <c r="T89" s="116">
        <f t="shared" si="78"/>
        <v>3.116912733561687E-3</v>
      </c>
      <c r="U89" s="116">
        <f t="shared" si="78"/>
        <v>3.2235725339321382E-3</v>
      </c>
      <c r="V89" s="116">
        <f t="shared" si="78"/>
        <v>3.333882200047167E-3</v>
      </c>
      <c r="W89" s="116">
        <f t="shared" si="78"/>
        <v>3.4479666291961663E-3</v>
      </c>
      <c r="X89" s="178">
        <f t="shared" si="78"/>
        <v>3.5659549926155714E-3</v>
      </c>
      <c r="Y89" s="173">
        <f t="shared" si="78"/>
        <v>3.6954391328831685E-3</v>
      </c>
      <c r="Z89" s="173">
        <f t="shared" si="78"/>
        <v>3.8296249989480786E-3</v>
      </c>
      <c r="AA89" s="173">
        <f t="shared" si="78"/>
        <v>3.9686833161626687E-3</v>
      </c>
      <c r="AB89" s="173">
        <f t="shared" si="78"/>
        <v>4.1127910091234132E-3</v>
      </c>
      <c r="AC89" s="173">
        <f t="shared" si="78"/>
        <v>4.2621314267729466E-3</v>
      </c>
      <c r="AD89" s="173">
        <f t="shared" si="78"/>
        <v>4.4168945756758457E-3</v>
      </c>
      <c r="AE89" s="173">
        <f t="shared" si="78"/>
        <v>4.5772773617649394E-3</v>
      </c>
      <c r="AF89" s="173">
        <f t="shared" si="78"/>
        <v>4.7434838408657153E-3</v>
      </c>
      <c r="AG89" s="173">
        <f t="shared" si="78"/>
        <v>4.915725478317574E-3</v>
      </c>
      <c r="AH89" s="178">
        <f t="shared" si="78"/>
        <v>5.0942214180222448E-3</v>
      </c>
      <c r="AI89" s="127"/>
    </row>
    <row r="90" spans="1:35" s="217" customFormat="1">
      <c r="A90" s="10" t="s">
        <v>347</v>
      </c>
      <c r="B90" s="37"/>
      <c r="C90" s="375">
        <f t="shared" ref="C90:AH90" si="79">C38/C$49</f>
        <v>0</v>
      </c>
      <c r="D90" s="301">
        <f t="shared" si="79"/>
        <v>0</v>
      </c>
      <c r="E90" s="301">
        <f t="shared" si="79"/>
        <v>3.5197598748008846E-6</v>
      </c>
      <c r="F90" s="301">
        <f t="shared" si="79"/>
        <v>3.6896732564005945E-6</v>
      </c>
      <c r="G90" s="301">
        <f t="shared" si="79"/>
        <v>3.620244695454305E-6</v>
      </c>
      <c r="H90" s="374">
        <f t="shared" si="79"/>
        <v>3.5940309689526286E-6</v>
      </c>
      <c r="I90" s="361">
        <f t="shared" si="79"/>
        <v>4.1010018782414675E-6</v>
      </c>
      <c r="J90" s="361">
        <f t="shared" si="79"/>
        <v>4.679485666825294E-6</v>
      </c>
      <c r="K90" s="361">
        <f t="shared" si="79"/>
        <v>5.3395698797907317E-6</v>
      </c>
      <c r="L90" s="361">
        <f t="shared" si="79"/>
        <v>6.0927650026356747E-6</v>
      </c>
      <c r="M90" s="361">
        <f t="shared" si="79"/>
        <v>6.9522051800166661E-6</v>
      </c>
      <c r="N90" s="362">
        <f t="shared" si="79"/>
        <v>7.932877247709712E-6</v>
      </c>
      <c r="O90" s="361">
        <f t="shared" si="79"/>
        <v>8.2043378806922611E-6</v>
      </c>
      <c r="P90" s="361">
        <f t="shared" si="79"/>
        <v>8.4850878135036382E-6</v>
      </c>
      <c r="Q90" s="361">
        <f t="shared" si="79"/>
        <v>8.7754449231426635E-6</v>
      </c>
      <c r="R90" s="361">
        <f t="shared" si="79"/>
        <v>9.0757379642618275E-6</v>
      </c>
      <c r="S90" s="361">
        <f t="shared" si="79"/>
        <v>9.3863069413972711E-6</v>
      </c>
      <c r="T90" s="361">
        <f t="shared" si="79"/>
        <v>9.7075034939363632E-6</v>
      </c>
      <c r="U90" s="361">
        <f t="shared" si="79"/>
        <v>1.0039691294258755E-5</v>
      </c>
      <c r="V90" s="361">
        <f t="shared" si="79"/>
        <v>1.0383246459501691E-5</v>
      </c>
      <c r="W90" s="361">
        <f t="shared" si="79"/>
        <v>1.0738557977415809E-5</v>
      </c>
      <c r="X90" s="362">
        <f t="shared" si="79"/>
        <v>1.1106028146793591E-5</v>
      </c>
      <c r="Y90" s="361">
        <f t="shared" si="79"/>
        <v>1.1509301466101671E-5</v>
      </c>
      <c r="Z90" s="361">
        <f t="shared" si="79"/>
        <v>1.1927218127558377E-5</v>
      </c>
      <c r="AA90" s="361">
        <f t="shared" si="79"/>
        <v>1.2360309848634253E-5</v>
      </c>
      <c r="AB90" s="361">
        <f t="shared" si="79"/>
        <v>1.2809127654104535E-5</v>
      </c>
      <c r="AC90" s="361">
        <f t="shared" si="79"/>
        <v>1.3274242577120736E-5</v>
      </c>
      <c r="AD90" s="361">
        <f t="shared" si="79"/>
        <v>1.3756246385738997E-5</v>
      </c>
      <c r="AE90" s="361">
        <f t="shared" si="79"/>
        <v>1.4255752335829567E-5</v>
      </c>
      <c r="AF90" s="361">
        <f t="shared" si="79"/>
        <v>1.4773395951325327E-5</v>
      </c>
      <c r="AG90" s="361">
        <f t="shared" si="79"/>
        <v>1.5309835832802088E-5</v>
      </c>
      <c r="AH90" s="362">
        <f t="shared" si="79"/>
        <v>1.5865754495419417E-5</v>
      </c>
      <c r="AI90" s="257"/>
    </row>
    <row r="91" spans="1:35" s="217" customFormat="1">
      <c r="A91" s="10" t="s">
        <v>348</v>
      </c>
      <c r="B91" s="37"/>
      <c r="C91" s="375">
        <f t="shared" ref="C91:AH91" si="80">C39/C$49</f>
        <v>0</v>
      </c>
      <c r="D91" s="301">
        <f t="shared" si="80"/>
        <v>0</v>
      </c>
      <c r="E91" s="301">
        <f t="shared" si="80"/>
        <v>1.7598799374004423E-6</v>
      </c>
      <c r="F91" s="301">
        <f t="shared" si="80"/>
        <v>1.8448366282002972E-6</v>
      </c>
      <c r="G91" s="301">
        <f t="shared" si="80"/>
        <v>1.8101223477271525E-6</v>
      </c>
      <c r="H91" s="374">
        <f t="shared" si="80"/>
        <v>1.7970154844763143E-6</v>
      </c>
      <c r="I91" s="361">
        <f t="shared" si="80"/>
        <v>2.0505009391207338E-6</v>
      </c>
      <c r="J91" s="361">
        <f t="shared" si="80"/>
        <v>2.339742833412647E-6</v>
      </c>
      <c r="K91" s="361">
        <f t="shared" si="80"/>
        <v>2.6697849398953659E-6</v>
      </c>
      <c r="L91" s="361">
        <f t="shared" si="80"/>
        <v>3.0463825013178374E-6</v>
      </c>
      <c r="M91" s="361">
        <f t="shared" si="80"/>
        <v>3.476102590008333E-6</v>
      </c>
      <c r="N91" s="362">
        <f t="shared" si="80"/>
        <v>3.966438623854856E-6</v>
      </c>
      <c r="O91" s="361">
        <f t="shared" si="80"/>
        <v>4.1021689403461306E-6</v>
      </c>
      <c r="P91" s="361">
        <f t="shared" si="80"/>
        <v>4.2425439067518191E-6</v>
      </c>
      <c r="Q91" s="361">
        <f t="shared" si="80"/>
        <v>4.3877224615713318E-6</v>
      </c>
      <c r="R91" s="361">
        <f t="shared" si="80"/>
        <v>4.5378689821309137E-6</v>
      </c>
      <c r="S91" s="361">
        <f t="shared" si="80"/>
        <v>4.6931534706986355E-6</v>
      </c>
      <c r="T91" s="361">
        <f t="shared" si="80"/>
        <v>4.8537517469681816E-6</v>
      </c>
      <c r="U91" s="361">
        <f t="shared" si="80"/>
        <v>5.0198456471293774E-6</v>
      </c>
      <c r="V91" s="361">
        <f t="shared" si="80"/>
        <v>5.1916232297508454E-6</v>
      </c>
      <c r="W91" s="361">
        <f t="shared" si="80"/>
        <v>5.3692789887079044E-6</v>
      </c>
      <c r="X91" s="362">
        <f t="shared" si="80"/>
        <v>5.5530140733967957E-6</v>
      </c>
      <c r="Y91" s="361">
        <f t="shared" si="80"/>
        <v>5.7546507330508356E-6</v>
      </c>
      <c r="Z91" s="361">
        <f t="shared" si="80"/>
        <v>5.9636090637791885E-6</v>
      </c>
      <c r="AA91" s="361">
        <f t="shared" si="80"/>
        <v>6.1801549243171267E-6</v>
      </c>
      <c r="AB91" s="361">
        <f t="shared" si="80"/>
        <v>6.4045638270522677E-6</v>
      </c>
      <c r="AC91" s="361">
        <f t="shared" si="80"/>
        <v>6.6371212885603679E-6</v>
      </c>
      <c r="AD91" s="361">
        <f t="shared" si="80"/>
        <v>6.8781231928694985E-6</v>
      </c>
      <c r="AE91" s="361">
        <f t="shared" si="80"/>
        <v>7.1278761679147833E-6</v>
      </c>
      <c r="AF91" s="361">
        <f t="shared" si="80"/>
        <v>7.3866979756626634E-6</v>
      </c>
      <c r="AG91" s="361">
        <f t="shared" si="80"/>
        <v>7.6549179164010442E-6</v>
      </c>
      <c r="AH91" s="362">
        <f t="shared" si="80"/>
        <v>7.9328772477097086E-6</v>
      </c>
      <c r="AI91" s="257"/>
    </row>
    <row r="92" spans="1:35">
      <c r="A92" s="9" t="s">
        <v>344</v>
      </c>
      <c r="B92" s="37"/>
      <c r="C92" s="375">
        <f t="shared" ref="C92:AH92" si="81">C40/C$49</f>
        <v>1.7434967570960321E-7</v>
      </c>
      <c r="D92" s="301">
        <f t="shared" si="81"/>
        <v>1.9894329062062621E-7</v>
      </c>
      <c r="E92" s="301">
        <f t="shared" si="81"/>
        <v>2.2700605964352218E-7</v>
      </c>
      <c r="F92" s="301">
        <f t="shared" si="81"/>
        <v>2.5902733866580367E-7</v>
      </c>
      <c r="G92" s="301">
        <f t="shared" si="81"/>
        <v>2.9556551169449614E-7</v>
      </c>
      <c r="H92" s="374">
        <f t="shared" si="81"/>
        <v>1.7970154844763143E-7</v>
      </c>
      <c r="I92" s="116">
        <f t="shared" si="81"/>
        <v>2.0505009391207337E-7</v>
      </c>
      <c r="J92" s="116">
        <f t="shared" si="81"/>
        <v>2.3397428334126467E-7</v>
      </c>
      <c r="K92" s="116">
        <f t="shared" si="81"/>
        <v>2.6697849398953656E-7</v>
      </c>
      <c r="L92" s="116">
        <f t="shared" si="81"/>
        <v>3.0463825013178373E-7</v>
      </c>
      <c r="M92" s="116">
        <f t="shared" si="81"/>
        <v>3.4761025900083328E-7</v>
      </c>
      <c r="N92" s="178">
        <f t="shared" si="81"/>
        <v>3.9664386238548556E-7</v>
      </c>
      <c r="O92" s="116">
        <f t="shared" si="81"/>
        <v>4.1021689403461303E-7</v>
      </c>
      <c r="P92" s="116">
        <f t="shared" si="81"/>
        <v>4.2425439067518187E-7</v>
      </c>
      <c r="Q92" s="116">
        <f t="shared" si="81"/>
        <v>4.3877224615713319E-7</v>
      </c>
      <c r="R92" s="116">
        <f t="shared" si="81"/>
        <v>4.5378689821309137E-7</v>
      </c>
      <c r="S92" s="116">
        <f t="shared" si="81"/>
        <v>4.6931534706986352E-7</v>
      </c>
      <c r="T92" s="116">
        <f t="shared" si="81"/>
        <v>4.853751746968182E-7</v>
      </c>
      <c r="U92" s="116">
        <f t="shared" si="81"/>
        <v>5.0198456471293782E-7</v>
      </c>
      <c r="V92" s="116">
        <f t="shared" si="81"/>
        <v>5.1916232297508459E-7</v>
      </c>
      <c r="W92" s="116">
        <f t="shared" si="81"/>
        <v>5.369278988707905E-7</v>
      </c>
      <c r="X92" s="178">
        <f t="shared" si="81"/>
        <v>5.5530140733967951E-7</v>
      </c>
      <c r="Y92" s="173">
        <f t="shared" si="81"/>
        <v>5.7546507330508356E-7</v>
      </c>
      <c r="Z92" s="173">
        <f t="shared" si="81"/>
        <v>5.9636090637791876E-7</v>
      </c>
      <c r="AA92" s="173">
        <f t="shared" si="81"/>
        <v>6.1801549243171261E-7</v>
      </c>
      <c r="AB92" s="173">
        <f t="shared" si="81"/>
        <v>6.4045638270522672E-7</v>
      </c>
      <c r="AC92" s="173">
        <f t="shared" si="81"/>
        <v>6.6371212885603674E-7</v>
      </c>
      <c r="AD92" s="173">
        <f t="shared" si="81"/>
        <v>6.8781231928694979E-7</v>
      </c>
      <c r="AE92" s="173">
        <f t="shared" si="81"/>
        <v>7.1278761679147833E-7</v>
      </c>
      <c r="AF92" s="173">
        <f t="shared" si="81"/>
        <v>7.3866979756626634E-7</v>
      </c>
      <c r="AG92" s="173">
        <f t="shared" si="81"/>
        <v>7.6549179164010438E-7</v>
      </c>
      <c r="AH92" s="178">
        <f t="shared" si="81"/>
        <v>7.9328772477097069E-7</v>
      </c>
      <c r="AI92" s="127"/>
    </row>
    <row r="93" spans="1:35">
      <c r="A93" s="9" t="s">
        <v>120</v>
      </c>
      <c r="B93" s="37"/>
      <c r="C93" s="375">
        <f t="shared" ref="C93:AH93" si="82">C41/C$49</f>
        <v>0</v>
      </c>
      <c r="D93" s="301">
        <f t="shared" si="82"/>
        <v>0</v>
      </c>
      <c r="E93" s="301">
        <f t="shared" si="82"/>
        <v>0</v>
      </c>
      <c r="F93" s="301">
        <f t="shared" si="82"/>
        <v>0</v>
      </c>
      <c r="G93" s="301">
        <f t="shared" si="82"/>
        <v>0</v>
      </c>
      <c r="H93" s="374">
        <f t="shared" si="82"/>
        <v>1.7970154844763143E-5</v>
      </c>
      <c r="I93" s="116">
        <f t="shared" si="82"/>
        <v>3.5759968539977645E-5</v>
      </c>
      <c r="J93" s="116">
        <f t="shared" si="82"/>
        <v>5.2718645790720249E-5</v>
      </c>
      <c r="K93" s="116">
        <f t="shared" si="82"/>
        <v>6.8541332777155217E-5</v>
      </c>
      <c r="L93" s="116">
        <f t="shared" si="82"/>
        <v>8.4422929560223987E-5</v>
      </c>
      <c r="M93" s="116">
        <f t="shared" si="82"/>
        <v>1.003280232252931E-4</v>
      </c>
      <c r="N93" s="178">
        <f t="shared" si="82"/>
        <v>1.162583288639894E-4</v>
      </c>
      <c r="O93" s="116">
        <f t="shared" si="82"/>
        <v>1.3165067033789435E-4</v>
      </c>
      <c r="P93" s="116">
        <f t="shared" si="82"/>
        <v>1.4675530798025213E-4</v>
      </c>
      <c r="Q93" s="116">
        <f t="shared" si="82"/>
        <v>1.6081494117276492E-4</v>
      </c>
      <c r="R93" s="116">
        <f t="shared" si="82"/>
        <v>1.7482632712556746E-4</v>
      </c>
      <c r="S93" s="116">
        <f t="shared" si="82"/>
        <v>1.8828001807743748E-4</v>
      </c>
      <c r="T93" s="116">
        <f t="shared" si="82"/>
        <v>2.0291977333220388E-4</v>
      </c>
      <c r="U93" s="116">
        <f t="shared" si="82"/>
        <v>2.1749028820525009E-4</v>
      </c>
      <c r="V93" s="116">
        <f t="shared" si="82"/>
        <v>2.3174713334923324E-4</v>
      </c>
      <c r="W93" s="116">
        <f t="shared" si="82"/>
        <v>2.4518537136516207E-4</v>
      </c>
      <c r="X93" s="178">
        <f t="shared" si="82"/>
        <v>2.5912526789650307E-4</v>
      </c>
      <c r="Y93" s="173">
        <f t="shared" si="82"/>
        <v>2.7376978695199639E-4</v>
      </c>
      <c r="Z93" s="173">
        <f t="shared" si="82"/>
        <v>2.8802850077689908E-4</v>
      </c>
      <c r="AA93" s="173">
        <f t="shared" si="82"/>
        <v>3.0249796634982458E-4</v>
      </c>
      <c r="AB93" s="173">
        <f t="shared" si="82"/>
        <v>3.1662643259738399E-4</v>
      </c>
      <c r="AC93" s="173">
        <f t="shared" si="82"/>
        <v>3.3017323454067422E-4</v>
      </c>
      <c r="AD93" s="173">
        <f t="shared" si="82"/>
        <v>3.4364396152254662E-4</v>
      </c>
      <c r="AE93" s="173">
        <f t="shared" si="82"/>
        <v>3.5633132286732856E-4</v>
      </c>
      <c r="AF93" s="173">
        <f t="shared" si="82"/>
        <v>3.6851540609282899E-4</v>
      </c>
      <c r="AG93" s="173">
        <f t="shared" si="82"/>
        <v>3.8095243872200078E-4</v>
      </c>
      <c r="AH93" s="178">
        <f t="shared" si="82"/>
        <v>3.9368963278943979E-4</v>
      </c>
      <c r="AI93" s="127"/>
    </row>
    <row r="94" spans="1:35">
      <c r="A94" s="9" t="s">
        <v>53</v>
      </c>
      <c r="B94" s="37"/>
      <c r="C94" s="375">
        <f t="shared" ref="C94:AH94" si="83">C42/C$49</f>
        <v>0</v>
      </c>
      <c r="D94" s="301">
        <f t="shared" si="83"/>
        <v>0</v>
      </c>
      <c r="E94" s="301">
        <f t="shared" si="83"/>
        <v>6.8607020449103792E-7</v>
      </c>
      <c r="F94" s="301">
        <f t="shared" si="83"/>
        <v>8.0445803956881791E-7</v>
      </c>
      <c r="G94" s="301">
        <f t="shared" si="83"/>
        <v>8.4679148916544441E-7</v>
      </c>
      <c r="H94" s="374">
        <f t="shared" si="83"/>
        <v>8.453296154242564E-7</v>
      </c>
      <c r="I94" s="116">
        <f t="shared" si="83"/>
        <v>1.06158748358277E-6</v>
      </c>
      <c r="J94" s="116">
        <f t="shared" si="83"/>
        <v>1.2407303216252264E-6</v>
      </c>
      <c r="K94" s="116">
        <f t="shared" si="83"/>
        <v>1.5031525281242909E-6</v>
      </c>
      <c r="L94" s="116">
        <f t="shared" si="83"/>
        <v>1.8210786690912672E-6</v>
      </c>
      <c r="M94" s="116">
        <f t="shared" si="83"/>
        <v>2.2062481730696357E-6</v>
      </c>
      <c r="N94" s="178">
        <f t="shared" si="83"/>
        <v>2.6728834310063282E-6</v>
      </c>
      <c r="O94" s="116">
        <f t="shared" si="83"/>
        <v>2.7643486844588538E-6</v>
      </c>
      <c r="P94" s="116">
        <f t="shared" si="83"/>
        <v>2.8589438509079904E-6</v>
      </c>
      <c r="Q94" s="116">
        <f t="shared" si="83"/>
        <v>2.9567760350191338E-6</v>
      </c>
      <c r="R94" s="116">
        <f t="shared" si="83"/>
        <v>3.0579560065465705E-6</v>
      </c>
      <c r="S94" s="116">
        <f t="shared" si="83"/>
        <v>3.1625983257516949E-6</v>
      </c>
      <c r="T94" s="116">
        <f t="shared" si="83"/>
        <v>3.2708214731130077E-6</v>
      </c>
      <c r="U94" s="116">
        <f t="shared" si="83"/>
        <v>3.3827479834747437E-6</v>
      </c>
      <c r="V94" s="116">
        <f t="shared" si="83"/>
        <v>3.4985045847860273E-6</v>
      </c>
      <c r="W94" s="116">
        <f t="shared" si="83"/>
        <v>3.6182223415876392E-6</v>
      </c>
      <c r="X94" s="178">
        <f t="shared" si="83"/>
        <v>3.7420368034088587E-6</v>
      </c>
      <c r="Y94" s="173">
        <f t="shared" si="83"/>
        <v>3.8779146872695591E-6</v>
      </c>
      <c r="Z94" s="173">
        <f t="shared" si="83"/>
        <v>4.0187264614932945E-6</v>
      </c>
      <c r="AA94" s="173">
        <f t="shared" si="83"/>
        <v>4.1646512816087117E-6</v>
      </c>
      <c r="AB94" s="173">
        <f t="shared" si="83"/>
        <v>4.3158748084984651E-6</v>
      </c>
      <c r="AC94" s="173">
        <f t="shared" si="83"/>
        <v>4.4725894446164896E-6</v>
      </c>
      <c r="AD94" s="173">
        <f t="shared" si="83"/>
        <v>4.6349945787826145E-6</v>
      </c>
      <c r="AE94" s="173">
        <f t="shared" si="83"/>
        <v>4.8032968398659585E-6</v>
      </c>
      <c r="AF94" s="173">
        <f t="shared" si="83"/>
        <v>4.9777103596798801E-6</v>
      </c>
      <c r="AG94" s="173">
        <f t="shared" si="83"/>
        <v>5.1584570454229623E-6</v>
      </c>
      <c r="AH94" s="178">
        <f t="shared" si="83"/>
        <v>5.3457668620126547E-6</v>
      </c>
      <c r="AI94" s="127"/>
    </row>
    <row r="95" spans="1:35" s="343" customFormat="1">
      <c r="A95" s="338" t="s">
        <v>541</v>
      </c>
      <c r="B95" s="339"/>
      <c r="C95" s="340">
        <f>SUM(C86:C94)</f>
        <v>2.7251028663086693E-2</v>
      </c>
      <c r="D95" s="340">
        <f>SUM(D86:D94)</f>
        <v>3.2688004295892602E-2</v>
      </c>
      <c r="E95" s="340">
        <f>SUM(E86:E94)</f>
        <v>3.9591833920952509E-2</v>
      </c>
      <c r="F95" s="340">
        <f>SUM(F86:F94)</f>
        <v>4.7396057740023173E-2</v>
      </c>
      <c r="G95" s="340">
        <f t="shared" ref="G95:AH95" si="84">SUM(G86:G94)</f>
        <v>5.6433194626858571E-2</v>
      </c>
      <c r="H95" s="340">
        <f t="shared" si="84"/>
        <v>3.3648460158122236E-2</v>
      </c>
      <c r="I95" s="340">
        <f t="shared" si="84"/>
        <v>4.035970757363478E-2</v>
      </c>
      <c r="J95" s="340">
        <f t="shared" si="84"/>
        <v>4.8404489536969741E-2</v>
      </c>
      <c r="K95" s="340">
        <f t="shared" si="84"/>
        <v>5.8049006569756971E-2</v>
      </c>
      <c r="L95" s="340">
        <f t="shared" si="84"/>
        <v>6.9614043205159459E-2</v>
      </c>
      <c r="M95" s="340">
        <f t="shared" si="84"/>
        <v>8.3483071598326186E-2</v>
      </c>
      <c r="N95" s="341">
        <f t="shared" si="84"/>
        <v>0.10011625832886399</v>
      </c>
      <c r="O95" s="340">
        <f t="shared" si="84"/>
        <v>0.10355362008327593</v>
      </c>
      <c r="P95" s="340">
        <f t="shared" si="84"/>
        <v>0.10710779288048715</v>
      </c>
      <c r="Q95" s="340">
        <f t="shared" si="84"/>
        <v>0.11078202650317198</v>
      </c>
      <c r="R95" s="340">
        <f t="shared" si="84"/>
        <v>0.11458146191299785</v>
      </c>
      <c r="S95" s="340">
        <f t="shared" si="84"/>
        <v>0.11850987568006974</v>
      </c>
      <c r="T95" s="340">
        <f t="shared" si="84"/>
        <v>0.12257344424777807</v>
      </c>
      <c r="U95" s="340">
        <f t="shared" si="84"/>
        <v>0.12677549668061852</v>
      </c>
      <c r="V95" s="340">
        <f t="shared" si="84"/>
        <v>0.13112052979413499</v>
      </c>
      <c r="W95" s="340">
        <f t="shared" si="84"/>
        <v>0.13561294213976996</v>
      </c>
      <c r="X95" s="341">
        <f t="shared" si="84"/>
        <v>0.14025912526789652</v>
      </c>
      <c r="Y95" s="340">
        <f t="shared" si="84"/>
        <v>0.14535733917439594</v>
      </c>
      <c r="Z95" s="340">
        <f t="shared" si="84"/>
        <v>0.15063975783078595</v>
      </c>
      <c r="AA95" s="340">
        <f t="shared" si="84"/>
        <v>0.15611368050043961</v>
      </c>
      <c r="AB95" s="340">
        <f t="shared" si="84"/>
        <v>0.16178550152205678</v>
      </c>
      <c r="AC95" s="340">
        <f t="shared" si="84"/>
        <v>0.16766217854135576</v>
      </c>
      <c r="AD95" s="340">
        <f t="shared" si="84"/>
        <v>0.17375167683774717</v>
      </c>
      <c r="AE95" s="340">
        <f t="shared" si="84"/>
        <v>0.18006101968099519</v>
      </c>
      <c r="AF95" s="340">
        <f t="shared" si="84"/>
        <v>0.18659849842506029</v>
      </c>
      <c r="AG95" s="340">
        <f t="shared" si="84"/>
        <v>0.19337317146268543</v>
      </c>
      <c r="AH95" s="341">
        <f t="shared" si="84"/>
        <v>0.20039368963278936</v>
      </c>
      <c r="AI95" s="342"/>
    </row>
    <row r="96" spans="1:35">
      <c r="A96" s="10" t="s">
        <v>544</v>
      </c>
      <c r="B96" s="37"/>
      <c r="C96" s="297"/>
      <c r="D96" s="297">
        <f>D95/C95-1</f>
        <v>0.19951451007684895</v>
      </c>
      <c r="E96" s="297">
        <f t="shared" ref="E96:O96" si="85">E95/D95-1</f>
        <v>0.21120376645102823</v>
      </c>
      <c r="F96" s="297">
        <f t="shared" si="85"/>
        <v>0.19711700737713422</v>
      </c>
      <c r="G96" s="297">
        <f t="shared" si="85"/>
        <v>0.19067275460769118</v>
      </c>
      <c r="H96" s="249"/>
      <c r="I96" s="164">
        <f t="shared" si="85"/>
        <v>0.19945184367946633</v>
      </c>
      <c r="J96" s="164">
        <f t="shared" si="85"/>
        <v>0.19932706273100598</v>
      </c>
      <c r="K96" s="164">
        <f t="shared" si="85"/>
        <v>0.19924839875485234</v>
      </c>
      <c r="L96" s="164">
        <f t="shared" si="85"/>
        <v>0.19922884677629904</v>
      </c>
      <c r="M96" s="164">
        <f t="shared" si="85"/>
        <v>0.19922745116661789</v>
      </c>
      <c r="N96" s="164">
        <f t="shared" si="85"/>
        <v>0.19924023412276193</v>
      </c>
      <c r="O96" s="172">
        <f t="shared" si="85"/>
        <v>3.4333701756220414E-2</v>
      </c>
      <c r="P96" s="172">
        <f t="shared" ref="P96:AH96" si="86">P95/O95-1</f>
        <v>3.4322052617310916E-2</v>
      </c>
      <c r="Q96" s="172">
        <f t="shared" si="86"/>
        <v>3.4304073717442929E-2</v>
      </c>
      <c r="R96" s="172">
        <f t="shared" si="86"/>
        <v>3.4296496731056614E-2</v>
      </c>
      <c r="S96" s="172">
        <f t="shared" si="86"/>
        <v>3.4284898285332988E-2</v>
      </c>
      <c r="T96" s="172">
        <f t="shared" si="86"/>
        <v>3.4288860269150678E-2</v>
      </c>
      <c r="U96" s="172">
        <f t="shared" si="86"/>
        <v>3.4281915292729614E-2</v>
      </c>
      <c r="V96" s="172">
        <f t="shared" si="86"/>
        <v>3.4273445794203994E-2</v>
      </c>
      <c r="W96" s="172">
        <f t="shared" si="86"/>
        <v>3.4261700686294194E-2</v>
      </c>
      <c r="X96" s="185">
        <f t="shared" si="86"/>
        <v>3.4260617422030126E-2</v>
      </c>
      <c r="Y96" s="172">
        <f t="shared" si="86"/>
        <v>3.6348536302089229E-2</v>
      </c>
      <c r="Z96" s="172">
        <f t="shared" si="86"/>
        <v>3.6340914647951195E-2</v>
      </c>
      <c r="AA96" s="172">
        <f t="shared" si="86"/>
        <v>3.6337835034244703E-2</v>
      </c>
      <c r="AB96" s="172">
        <f t="shared" si="86"/>
        <v>3.6331351637060472E-2</v>
      </c>
      <c r="AC96" s="172">
        <f t="shared" si="86"/>
        <v>3.6323879235234058E-2</v>
      </c>
      <c r="AD96" s="172">
        <f t="shared" si="86"/>
        <v>3.6320047546616774E-2</v>
      </c>
      <c r="AE96" s="172">
        <f t="shared" si="86"/>
        <v>3.6312414119259451E-2</v>
      </c>
      <c r="AF96" s="172">
        <f t="shared" si="86"/>
        <v>3.6307018341044772E-2</v>
      </c>
      <c r="AG96" s="172">
        <f t="shared" si="86"/>
        <v>3.6306149807233901E-2</v>
      </c>
      <c r="AH96" s="185">
        <f t="shared" si="86"/>
        <v>3.630554392318408E-2</v>
      </c>
      <c r="AI96" s="127"/>
    </row>
    <row r="97" spans="1:36">
      <c r="A97" s="10"/>
      <c r="B97" s="37"/>
      <c r="C97" s="297"/>
      <c r="D97" s="297"/>
      <c r="E97" s="297"/>
      <c r="F97" s="297"/>
      <c r="G97" s="297"/>
      <c r="H97" s="249"/>
      <c r="I97" s="164"/>
      <c r="J97" s="164"/>
      <c r="K97" s="164"/>
      <c r="L97" s="164"/>
      <c r="M97" s="164"/>
      <c r="N97" s="180"/>
      <c r="O97" s="164"/>
      <c r="P97" s="164"/>
      <c r="Q97" s="164"/>
      <c r="R97" s="164"/>
      <c r="S97" s="164"/>
      <c r="T97" s="164"/>
      <c r="U97" s="164"/>
      <c r="V97" s="164"/>
      <c r="W97" s="164"/>
      <c r="X97" s="185"/>
      <c r="AI97" s="127"/>
    </row>
    <row r="98" spans="1:36">
      <c r="A98" s="10"/>
      <c r="B98" s="37"/>
      <c r="C98" s="297"/>
      <c r="D98" s="297"/>
      <c r="E98" s="297"/>
      <c r="F98" s="297"/>
      <c r="G98" s="297"/>
      <c r="H98" s="249"/>
      <c r="I98" s="172"/>
      <c r="J98" s="172"/>
      <c r="K98" s="172"/>
      <c r="L98" s="172"/>
      <c r="M98" s="172"/>
      <c r="N98" s="185"/>
      <c r="O98" s="172"/>
      <c r="P98" s="172"/>
      <c r="Q98" s="172"/>
      <c r="R98" s="172"/>
      <c r="S98" s="172"/>
      <c r="T98" s="172"/>
      <c r="U98" s="172"/>
      <c r="V98" s="172"/>
      <c r="W98" s="172"/>
      <c r="X98" s="185"/>
      <c r="AI98" s="127"/>
    </row>
    <row r="99" spans="1:36">
      <c r="A99" s="1" t="s">
        <v>139</v>
      </c>
      <c r="C99" s="293">
        <v>2009</v>
      </c>
      <c r="D99" s="293">
        <v>2010</v>
      </c>
      <c r="E99" s="293">
        <v>2011</v>
      </c>
      <c r="F99" s="293">
        <v>2012</v>
      </c>
      <c r="G99" s="293">
        <v>2013</v>
      </c>
      <c r="H99" s="365">
        <v>2014</v>
      </c>
      <c r="I99" s="13">
        <v>2015</v>
      </c>
      <c r="J99" s="13">
        <v>2016</v>
      </c>
      <c r="K99" s="13">
        <v>2017</v>
      </c>
      <c r="L99" s="13">
        <v>2018</v>
      </c>
      <c r="M99" s="13">
        <v>2019</v>
      </c>
      <c r="N99" s="176">
        <v>2020</v>
      </c>
      <c r="O99" s="13">
        <v>2021</v>
      </c>
      <c r="P99" s="13">
        <v>2022</v>
      </c>
      <c r="Q99" s="13">
        <v>2023</v>
      </c>
      <c r="R99" s="13">
        <v>2024</v>
      </c>
      <c r="S99" s="13">
        <v>2025</v>
      </c>
      <c r="T99" s="13">
        <v>2026</v>
      </c>
      <c r="U99" s="13">
        <v>2027</v>
      </c>
      <c r="V99" s="13">
        <v>2028</v>
      </c>
      <c r="W99" s="13">
        <v>2029</v>
      </c>
      <c r="X99" s="176">
        <v>2030</v>
      </c>
      <c r="Y99" s="13">
        <v>2031</v>
      </c>
      <c r="Z99" s="13">
        <v>2032</v>
      </c>
      <c r="AA99" s="13">
        <v>2033</v>
      </c>
      <c r="AB99" s="13">
        <v>2034</v>
      </c>
      <c r="AC99" s="13">
        <v>2035</v>
      </c>
      <c r="AD99" s="13">
        <v>2036</v>
      </c>
      <c r="AE99" s="13">
        <v>2037</v>
      </c>
      <c r="AF99" s="13">
        <v>2038</v>
      </c>
      <c r="AG99" s="13">
        <v>2039</v>
      </c>
      <c r="AH99" s="176">
        <v>2040</v>
      </c>
      <c r="AI99" s="1"/>
    </row>
    <row r="100" spans="1:36">
      <c r="A100" s="10" t="s">
        <v>61</v>
      </c>
      <c r="B100" s="35">
        <v>0</v>
      </c>
      <c r="C100" s="296">
        <v>0</v>
      </c>
      <c r="D100" s="296">
        <f xml:space="preserve"> IF(D29*Inputs!$C44 &gt; 0, D29*Inputs!$C44, 0)</f>
        <v>0</v>
      </c>
      <c r="E100" s="296">
        <f xml:space="preserve"> IF(E29*Inputs!$C44 &gt; 0, E29*Inputs!$C44, 0)</f>
        <v>0</v>
      </c>
      <c r="F100" s="296">
        <f xml:space="preserve"> IF(F29*Inputs!$C44 &gt; 0, F29*Inputs!$C44, 0)</f>
        <v>0</v>
      </c>
      <c r="G100" s="296">
        <f xml:space="preserve"> IF(G29*Inputs!$C44 &gt; 0, G29*Inputs!$C44, 0)</f>
        <v>0</v>
      </c>
      <c r="H100" s="367">
        <f xml:space="preserve"> IF(H29*Inputs!$C44 &gt; 0, H29*Inputs!$C44, 0)</f>
        <v>0</v>
      </c>
      <c r="I100" s="14">
        <f xml:space="preserve"> IF(I29*Inputs!$C44 &gt; 0, I29*Inputs!$C44, 0)</f>
        <v>0</v>
      </c>
      <c r="J100" s="14">
        <f xml:space="preserve"> IF(J29*Inputs!$C44 &gt; 0, J29*Inputs!$C44, 0)</f>
        <v>0</v>
      </c>
      <c r="K100" s="14">
        <f xml:space="preserve"> IF(K29*Inputs!$C44 &gt; 0, K29*Inputs!$C44, 0)</f>
        <v>0</v>
      </c>
      <c r="L100" s="14">
        <f xml:space="preserve"> IF(L29*Inputs!$C44 &gt; 0, L29*Inputs!$C44, 0)</f>
        <v>0</v>
      </c>
      <c r="M100" s="14">
        <f xml:space="preserve"> IF(M29*Inputs!$C44 &gt; 0, M29*Inputs!$C44, 0)</f>
        <v>0</v>
      </c>
      <c r="N100" s="182">
        <f xml:space="preserve"> IF(N29*Inputs!$C44 &gt; 0, N29*Inputs!$C44, 0)</f>
        <v>0</v>
      </c>
      <c r="O100" s="14">
        <f xml:space="preserve"> IF(O29*Inputs!$C44 &gt; 0, O29*Inputs!$C44, 0)</f>
        <v>0</v>
      </c>
      <c r="P100" s="14">
        <f xml:space="preserve"> IF(P29*Inputs!$C44 &gt; 0, P29*Inputs!$C44, 0)</f>
        <v>0</v>
      </c>
      <c r="Q100" s="14">
        <f xml:space="preserve"> IF(Q29*Inputs!$C44 &gt; 0, Q29*Inputs!$C44, 0)</f>
        <v>0</v>
      </c>
      <c r="R100" s="14">
        <f xml:space="preserve"> IF(R29*Inputs!$C44 &gt; 0, R29*Inputs!$C44, 0)</f>
        <v>0</v>
      </c>
      <c r="S100" s="14">
        <f xml:space="preserve"> IF(S29*Inputs!$C44 &gt; 0, S29*Inputs!$C44, 0)</f>
        <v>0</v>
      </c>
      <c r="T100" s="14">
        <f xml:space="preserve"> IF(T29*Inputs!$C44 &gt; 0, T29*Inputs!$C44, 0)</f>
        <v>0</v>
      </c>
      <c r="U100" s="14">
        <f xml:space="preserve"> IF(U29*Inputs!$C44 &gt; 0, U29*Inputs!$C44, 0)</f>
        <v>0</v>
      </c>
      <c r="V100" s="14">
        <f xml:space="preserve"> IF(V29*Inputs!$C44 &gt; 0, V29*Inputs!$C44, 0)</f>
        <v>0</v>
      </c>
      <c r="W100" s="14">
        <f xml:space="preserve"> IF(W29*Inputs!$C44 &gt; 0, W29*Inputs!$C44, 0)</f>
        <v>0</v>
      </c>
      <c r="X100" s="187">
        <f xml:space="preserve"> IF(X29*Inputs!$C44 &gt; 0, X29*Inputs!$C44, 0)</f>
        <v>0</v>
      </c>
    </row>
    <row r="101" spans="1:36">
      <c r="A101" s="10" t="s">
        <v>60</v>
      </c>
      <c r="B101" s="35">
        <v>0</v>
      </c>
      <c r="C101" s="296">
        <v>0</v>
      </c>
      <c r="D101" s="296">
        <f>D30*Inputs!$C47</f>
        <v>0</v>
      </c>
      <c r="E101" s="296">
        <f>E30*Inputs!$C47</f>
        <v>0</v>
      </c>
      <c r="F101" s="296">
        <f>F30*Inputs!$C47</f>
        <v>0</v>
      </c>
      <c r="G101" s="296">
        <f>G30*Inputs!$C47</f>
        <v>0</v>
      </c>
      <c r="H101" s="367">
        <f>H30*Inputs!$C47</f>
        <v>0</v>
      </c>
      <c r="I101" s="14">
        <f>I30*Inputs!$C47</f>
        <v>0</v>
      </c>
      <c r="J101" s="14">
        <f>J30*Inputs!$C47</f>
        <v>0</v>
      </c>
      <c r="K101" s="14">
        <f>K30*Inputs!$C47</f>
        <v>0</v>
      </c>
      <c r="L101" s="14">
        <f>L30*Inputs!$C47</f>
        <v>0</v>
      </c>
      <c r="M101" s="14">
        <f>M30*Inputs!$C47</f>
        <v>0</v>
      </c>
      <c r="N101" s="182">
        <f>N30*Inputs!$C47</f>
        <v>0</v>
      </c>
      <c r="O101" s="14">
        <f>O30*Inputs!$C47</f>
        <v>0</v>
      </c>
      <c r="P101" s="14">
        <f>P30*Inputs!$C47</f>
        <v>0</v>
      </c>
      <c r="Q101" s="14">
        <f>Q30*Inputs!$C47</f>
        <v>0</v>
      </c>
      <c r="R101" s="14">
        <f>R30*Inputs!$C47</f>
        <v>0</v>
      </c>
      <c r="S101" s="14">
        <f>S30*Inputs!$C47</f>
        <v>0</v>
      </c>
      <c r="T101" s="14">
        <f>T30*Inputs!$C47</f>
        <v>0</v>
      </c>
      <c r="U101" s="14">
        <f>U30*Inputs!$C47</f>
        <v>0</v>
      </c>
      <c r="V101" s="14">
        <f>V30*Inputs!$C47</f>
        <v>0</v>
      </c>
      <c r="W101" s="14">
        <f>W30*Inputs!$C47</f>
        <v>0</v>
      </c>
      <c r="X101" s="187">
        <f>X30*Inputs!$C47</f>
        <v>0</v>
      </c>
    </row>
    <row r="102" spans="1:36">
      <c r="A102" s="10" t="s">
        <v>49</v>
      </c>
      <c r="B102" s="35">
        <v>0</v>
      </c>
      <c r="C102" s="296">
        <f>C31*Inputs!$C$48</f>
        <v>628.94849999999997</v>
      </c>
      <c r="D102" s="296">
        <f>D31*Inputs!$C$48</f>
        <v>675.14376542806417</v>
      </c>
      <c r="E102" s="296">
        <f>E31*Inputs!$C$48</f>
        <v>634.71173361811464</v>
      </c>
      <c r="F102" s="296">
        <f>F31*Inputs!$C$48</f>
        <v>611.02420493201919</v>
      </c>
      <c r="G102" s="296">
        <f>G31*Inputs!$C$48</f>
        <v>628.39024298670688</v>
      </c>
      <c r="H102" s="367">
        <f>H31*Inputs!$C$48</f>
        <v>692.78238689642831</v>
      </c>
      <c r="I102" s="14">
        <f>I31*Inputs!$C$48</f>
        <v>692.92849184871909</v>
      </c>
      <c r="J102" s="14">
        <f>J31*Inputs!$C$48</f>
        <v>701.63188665676523</v>
      </c>
      <c r="K102" s="14">
        <f>K31*Inputs!$C$48</f>
        <v>716.054828454063</v>
      </c>
      <c r="L102" s="14">
        <f>L31*Inputs!$C$48</f>
        <v>723.14369465574589</v>
      </c>
      <c r="M102" s="14">
        <f>M31*Inputs!$C$48</f>
        <v>726.62404082934756</v>
      </c>
      <c r="N102" s="182">
        <f>N31*Inputs!$C$48</f>
        <v>727.96406465116456</v>
      </c>
      <c r="O102" s="14">
        <f>O31*Inputs!$C$48</f>
        <v>729.09926389365728</v>
      </c>
      <c r="P102" s="14">
        <f>P31*Inputs!$C$48</f>
        <v>730.17455022024126</v>
      </c>
      <c r="Q102" s="14">
        <f>Q31*Inputs!$C$48</f>
        <v>734.6558550788111</v>
      </c>
      <c r="R102" s="14">
        <f>R31*Inputs!$C$48</f>
        <v>737.56825024007355</v>
      </c>
      <c r="S102" s="14">
        <f>S31*Inputs!$C$48</f>
        <v>741.26358523634497</v>
      </c>
      <c r="T102" s="14">
        <f>T31*Inputs!$C$48</f>
        <v>739.20818438321169</v>
      </c>
      <c r="U102" s="14">
        <f>U31*Inputs!$C$48</f>
        <v>736.81844597304416</v>
      </c>
      <c r="V102" s="14">
        <f>V31*Inputs!$C$48</f>
        <v>734.92955712032506</v>
      </c>
      <c r="W102" s="14">
        <f>W31*Inputs!$C$48</f>
        <v>734.95756266746366</v>
      </c>
      <c r="X102" s="187">
        <f>X31*Inputs!$C$48</f>
        <v>732.84991580777842</v>
      </c>
      <c r="Y102" s="158">
        <f>Y31*Inputs!$C$48</f>
        <v>731.48338509314374</v>
      </c>
      <c r="Z102" s="158">
        <f>Z31*Inputs!$C$48</f>
        <v>730.9203632172638</v>
      </c>
      <c r="AA102" s="158">
        <f>AA31*Inputs!$C$48</f>
        <v>729.60314792029715</v>
      </c>
      <c r="AB102" s="158">
        <f>AB31*Inputs!$C$48</f>
        <v>728.90555868397576</v>
      </c>
      <c r="AC102" s="158">
        <f>AC31*Inputs!$C$48</f>
        <v>729.27713693789156</v>
      </c>
      <c r="AD102" s="158">
        <f>AD31*Inputs!$C$48</f>
        <v>729.51825102964403</v>
      </c>
      <c r="AE102" s="158">
        <f>AE31*Inputs!$C$48</f>
        <v>731.09210964860165</v>
      </c>
      <c r="AF102" s="158">
        <f>AF31*Inputs!$C$48</f>
        <v>733.31322668678479</v>
      </c>
      <c r="AG102" s="158">
        <f>AG31*Inputs!$C$48</f>
        <v>734.66690906624228</v>
      </c>
      <c r="AH102" s="187">
        <f>AH31*Inputs!$C$48</f>
        <v>735.14459578871595</v>
      </c>
    </row>
    <row r="103" spans="1:36">
      <c r="A103" s="10" t="s">
        <v>59</v>
      </c>
      <c r="B103" s="35">
        <v>0</v>
      </c>
      <c r="C103" s="296">
        <f>C32*Inputs!$C$53</f>
        <v>2123.8000000000002</v>
      </c>
      <c r="D103" s="296">
        <f>D32*Inputs!$C$53</f>
        <v>2277.5100191776705</v>
      </c>
      <c r="E103" s="296">
        <f>E32*Inputs!$C$53</f>
        <v>2139.0138450904151</v>
      </c>
      <c r="F103" s="296">
        <f>F32*Inputs!$C$53</f>
        <v>2057.1968614026623</v>
      </c>
      <c r="G103" s="296">
        <f>G32*Inputs!$C$53</f>
        <v>2113.6564032128895</v>
      </c>
      <c r="H103" s="367">
        <f>H32*Inputs!$C$53</f>
        <v>2091.1402293428077</v>
      </c>
      <c r="I103" s="14">
        <f>I32*Inputs!$C$53</f>
        <v>2128.1269225033325</v>
      </c>
      <c r="J103" s="14">
        <f>J32*Inputs!$C$53</f>
        <v>2192.220845011308</v>
      </c>
      <c r="K103" s="14">
        <f>K32*Inputs!$C$53</f>
        <v>2275.7888514760766</v>
      </c>
      <c r="L103" s="14">
        <f>L32*Inputs!$C$53</f>
        <v>2337.5854540341566</v>
      </c>
      <c r="M103" s="14">
        <f>M32*Inputs!$C$53</f>
        <v>2388.6800507086232</v>
      </c>
      <c r="N103" s="182">
        <f>N32*Inputs!$C$53</f>
        <v>2433.3981934800345</v>
      </c>
      <c r="O103" s="14">
        <f>O32*Inputs!$C$53</f>
        <v>2437.192875003559</v>
      </c>
      <c r="P103" s="14">
        <f>P32*Inputs!$C$53</f>
        <v>2440.7872829305998</v>
      </c>
      <c r="Q103" s="14">
        <f>Q32*Inputs!$C$53</f>
        <v>2455.7671420703541</v>
      </c>
      <c r="R103" s="14">
        <f>R32*Inputs!$C$53</f>
        <v>2465.502536258407</v>
      </c>
      <c r="S103" s="14">
        <f>S32*Inputs!$C$53</f>
        <v>2477.8550986181158</v>
      </c>
      <c r="T103" s="14">
        <f>T32*Inputs!$C$53</f>
        <v>2470.9844178170124</v>
      </c>
      <c r="U103" s="14">
        <f>U32*Inputs!$C$53</f>
        <v>2462.9961318389428</v>
      </c>
      <c r="V103" s="14">
        <f>V32*Inputs!$C$53</f>
        <v>2456.6820581846423</v>
      </c>
      <c r="W103" s="14">
        <f>W32*Inputs!$C$53</f>
        <v>2456.7756735856269</v>
      </c>
      <c r="X103" s="187">
        <f>X32*Inputs!$C$53</f>
        <v>2449.7303477104961</v>
      </c>
      <c r="Y103" s="158">
        <f>Y32*Inputs!$C$53</f>
        <v>2445.1623840790494</v>
      </c>
      <c r="Z103" s="158">
        <f>Z32*Inputs!$C$53</f>
        <v>2443.2803455524468</v>
      </c>
      <c r="AA103" s="158">
        <f>AA32*Inputs!$C$53</f>
        <v>2438.877230783864</v>
      </c>
      <c r="AB103" s="158">
        <f>AB32*Inputs!$C$53</f>
        <v>2436.5453678940821</v>
      </c>
      <c r="AC103" s="158">
        <f>AC32*Inputs!$C$53</f>
        <v>2437.7874592221042</v>
      </c>
      <c r="AD103" s="158">
        <f>AD32*Inputs!$C$53</f>
        <v>2438.5934421322281</v>
      </c>
      <c r="AE103" s="158">
        <f>AE32*Inputs!$C$53</f>
        <v>2443.854450066734</v>
      </c>
      <c r="AF103" s="158">
        <f>AF32*Inputs!$C$53</f>
        <v>2451.2790778068584</v>
      </c>
      <c r="AG103" s="158">
        <f>AG32*Inputs!$C$53</f>
        <v>2455.8040927309075</v>
      </c>
      <c r="AH103" s="187">
        <f>AH32*Inputs!$C$53</f>
        <v>2457.400877605271</v>
      </c>
    </row>
    <row r="104" spans="1:36">
      <c r="A104" s="10" t="s">
        <v>121</v>
      </c>
      <c r="B104" s="35">
        <v>1</v>
      </c>
      <c r="C104" s="296">
        <f>C34*Inputs!$C$46</f>
        <v>321.08999999999997</v>
      </c>
      <c r="D104" s="296">
        <f>D34*Inputs!$C$46</f>
        <v>409.96648640696446</v>
      </c>
      <c r="E104" s="296">
        <f>E34*Inputs!$C$46</f>
        <v>458.4648846323895</v>
      </c>
      <c r="F104" s="296">
        <f>F34*Inputs!$C$46</f>
        <v>525.05137677837411</v>
      </c>
      <c r="G104" s="296">
        <f>G34*Inputs!$C$46</f>
        <v>642.42492261708787</v>
      </c>
      <c r="H104" s="367">
        <f>H34*Inputs!$C$46</f>
        <v>380.33915090728317</v>
      </c>
      <c r="I104" s="14">
        <f>I34*Inputs!$C$46</f>
        <v>458.90872660872714</v>
      </c>
      <c r="J104" s="14">
        <f>J34*Inputs!$C$46</f>
        <v>560.55864458914061</v>
      </c>
      <c r="K104" s="14">
        <f>K34*Inputs!$C$46</f>
        <v>690.14776924778744</v>
      </c>
      <c r="L104" s="14">
        <f>L34*Inputs!$C$46</f>
        <v>840.84282908108389</v>
      </c>
      <c r="M104" s="14">
        <f>M34*Inputs!$C$46</f>
        <v>1019.3065869600443</v>
      </c>
      <c r="N104" s="182">
        <f>N34*Inputs!$C$46</f>
        <v>1232.027484994961</v>
      </c>
      <c r="O104" s="14">
        <f>O34*Inputs!$C$46</f>
        <v>1285.9561158417991</v>
      </c>
      <c r="P104" s="14">
        <f>P34*Inputs!$C$46</f>
        <v>1342.2108057472205</v>
      </c>
      <c r="Q104" s="14">
        <f>Q34*Inputs!$C$46</f>
        <v>1407.5325500503855</v>
      </c>
      <c r="R104" s="14">
        <f>R34*Inputs!$C$46</f>
        <v>1472.9347156394931</v>
      </c>
      <c r="S104" s="14">
        <f>S34*Inputs!$C$46</f>
        <v>1543.0765273996535</v>
      </c>
      <c r="T104" s="14">
        <f>T34*Inputs!$C$46</f>
        <v>1604.1398868037177</v>
      </c>
      <c r="U104" s="14">
        <f>U34*Inputs!$C$46</f>
        <v>1666.9563368053218</v>
      </c>
      <c r="V104" s="14">
        <f>V34*Inputs!$C$46</f>
        <v>1733.5075971992228</v>
      </c>
      <c r="W104" s="14">
        <f>W34*Inputs!$C$46</f>
        <v>1807.5365678599389</v>
      </c>
      <c r="X104" s="187">
        <f>X34*Inputs!$C$46</f>
        <v>1879.3757788320761</v>
      </c>
      <c r="Y104" s="158">
        <f>Y34*Inputs!$C$46</f>
        <v>1951.8734254884121</v>
      </c>
      <c r="Z104" s="158">
        <f>Z34*Inputs!$C$46</f>
        <v>2029.4249588129887</v>
      </c>
      <c r="AA104" s="158">
        <f>AA34*Inputs!$C$46</f>
        <v>2107.9125643745542</v>
      </c>
      <c r="AB104" s="158">
        <f>AB34*Inputs!$C$46</f>
        <v>2191.3279548146006</v>
      </c>
      <c r="AC104" s="158">
        <f>AC34*Inputs!$C$46</f>
        <v>2281.4253591841452</v>
      </c>
      <c r="AD104" s="158">
        <f>AD34*Inputs!$C$46</f>
        <v>2374.8422309137345</v>
      </c>
      <c r="AE104" s="158">
        <f>AE34*Inputs!$C$46</f>
        <v>2476.6411336439592</v>
      </c>
      <c r="AF104" s="158">
        <f>AF34*Inputs!$C$46</f>
        <v>2585.1181461045962</v>
      </c>
      <c r="AG104" s="158">
        <f>AG34*Inputs!$C$46</f>
        <v>2695.1864959841514</v>
      </c>
      <c r="AH104" s="187">
        <f>AH34*Inputs!$C$46</f>
        <v>2806.6367905377483</v>
      </c>
    </row>
    <row r="105" spans="1:36">
      <c r="A105" s="10" t="s">
        <v>50</v>
      </c>
      <c r="B105" s="35">
        <v>1</v>
      </c>
      <c r="C105" s="296">
        <f>C35*Inputs!$C$49</f>
        <v>0</v>
      </c>
      <c r="D105" s="296">
        <f>D35*Inputs!$C$49</f>
        <v>0</v>
      </c>
      <c r="E105" s="296">
        <f>E35*Inputs!$C$49</f>
        <v>1.00297075E-3</v>
      </c>
      <c r="F105" s="296">
        <f>F35*Inputs!$C$49</f>
        <v>9.3954974999999996E-4</v>
      </c>
      <c r="G105" s="296">
        <f>G35*Inputs!$C$49</f>
        <v>1.0272635E-3</v>
      </c>
      <c r="H105" s="367">
        <f>H35*Inputs!$C$49</f>
        <v>1.0272674999999998E-3</v>
      </c>
      <c r="I105" s="14">
        <f>I35*Inputs!$C$49</f>
        <v>1.213751823795103E-3</v>
      </c>
      <c r="J105" s="14">
        <f>J35*Inputs!$C$49</f>
        <v>1.4518297682863265E-3</v>
      </c>
      <c r="K105" s="14">
        <f>K35*Inputs!$C$49</f>
        <v>1.7503616701756079E-3</v>
      </c>
      <c r="L105" s="14">
        <f>L35*Inputs!$C$49</f>
        <v>2.0882937757465045E-3</v>
      </c>
      <c r="M105" s="14">
        <f>M35*Inputs!$C$49</f>
        <v>2.4789779474354754E-3</v>
      </c>
      <c r="N105" s="182">
        <f>N35*Inputs!$C$49</f>
        <v>2.9341295992526403E-3</v>
      </c>
      <c r="O105" s="14">
        <f>O35*Inputs!$C$49</f>
        <v>3.0625630911528027E-3</v>
      </c>
      <c r="P105" s="14">
        <f>P35*Inputs!$C$49</f>
        <v>3.1965361986999534E-3</v>
      </c>
      <c r="Q105" s="14">
        <f>Q35*Inputs!$C$49</f>
        <v>3.3521029094827994E-3</v>
      </c>
      <c r="R105" s="14">
        <f>R35*Inputs!$C$49</f>
        <v>3.5078611472229323E-3</v>
      </c>
      <c r="S105" s="14">
        <f>S35*Inputs!$C$49</f>
        <v>3.6749070683060451E-3</v>
      </c>
      <c r="T105" s="14">
        <f>T35*Inputs!$C$49</f>
        <v>3.8203322413962373E-3</v>
      </c>
      <c r="U105" s="14">
        <f>U35*Inputs!$C$49</f>
        <v>3.9699324796331594E-3</v>
      </c>
      <c r="V105" s="14">
        <f>V35*Inputs!$C$49</f>
        <v>4.128427339015384E-3</v>
      </c>
      <c r="W105" s="14">
        <f>W35*Inputs!$C$49</f>
        <v>4.3047307061587735E-3</v>
      </c>
      <c r="X105" s="187">
        <f>X35*Inputs!$C$49</f>
        <v>4.4758190608160265E-3</v>
      </c>
      <c r="Y105" s="158">
        <f>Y35*Inputs!$C$49</f>
        <v>4.6484755100602458E-3</v>
      </c>
      <c r="Z105" s="158">
        <f>Z35*Inputs!$C$49</f>
        <v>4.833168020711499E-3</v>
      </c>
      <c r="AA105" s="158">
        <f>AA35*Inputs!$C$49</f>
        <v>5.0200898300521374E-3</v>
      </c>
      <c r="AB105" s="158">
        <f>AB35*Inputs!$C$49</f>
        <v>5.2187473836410158E-3</v>
      </c>
      <c r="AC105" s="158">
        <f>AC35*Inputs!$C$49</f>
        <v>5.4333184579036945E-3</v>
      </c>
      <c r="AD105" s="158">
        <f>AD35*Inputs!$C$49</f>
        <v>5.6557949949531065E-3</v>
      </c>
      <c r="AE105" s="158">
        <f>AE35*Inputs!$C$49</f>
        <v>5.8982337208013484E-3</v>
      </c>
      <c r="AF105" s="158">
        <f>AF35*Inputs!$C$49</f>
        <v>6.1565766692953557E-3</v>
      </c>
      <c r="AG105" s="158">
        <f>AG35*Inputs!$C$49</f>
        <v>6.4187094603700761E-3</v>
      </c>
      <c r="AH105" s="187">
        <f>AH35*Inputs!$C$49</f>
        <v>6.6841334156615192E-3</v>
      </c>
    </row>
    <row r="106" spans="1:36">
      <c r="A106" s="10" t="s">
        <v>119</v>
      </c>
      <c r="B106" s="35">
        <v>1</v>
      </c>
      <c r="C106" s="296"/>
      <c r="D106" s="296"/>
      <c r="E106" s="296"/>
      <c r="F106" s="296"/>
      <c r="G106" s="296"/>
      <c r="H106" s="367"/>
      <c r="I106" s="14"/>
      <c r="J106" s="14"/>
      <c r="K106" s="14"/>
      <c r="L106" s="14"/>
      <c r="M106" s="14"/>
      <c r="N106" s="187"/>
      <c r="O106" s="14"/>
      <c r="P106" s="14"/>
      <c r="Q106" s="14"/>
      <c r="R106" s="14"/>
      <c r="S106" s="14"/>
      <c r="T106" s="14"/>
      <c r="U106" s="14"/>
      <c r="V106" s="14"/>
      <c r="W106" s="14"/>
      <c r="X106" s="187"/>
      <c r="AJ106" s="170" t="s">
        <v>0</v>
      </c>
    </row>
    <row r="107" spans="1:36">
      <c r="A107" s="10" t="s">
        <v>51</v>
      </c>
      <c r="B107" s="35">
        <v>1</v>
      </c>
      <c r="C107" s="296">
        <f>C37*Inputs!$C$52</f>
        <v>5.0999999999999996</v>
      </c>
      <c r="D107" s="296">
        <f>D37*Inputs!$C$52</f>
        <v>6.2602143999049371</v>
      </c>
      <c r="E107" s="296">
        <f>E37*Inputs!$C$52</f>
        <v>9.925121117947965</v>
      </c>
      <c r="F107" s="296">
        <f>F37*Inputs!$C$52</f>
        <v>10.277018061119778</v>
      </c>
      <c r="G107" s="296">
        <f>G37*Inputs!$C$52</f>
        <v>8.7167702321199219</v>
      </c>
      <c r="H107" s="367">
        <f>H37*Inputs!$C$52</f>
        <v>8.994539815072871</v>
      </c>
      <c r="I107" s="14">
        <f>I37*Inputs!$C$52</f>
        <v>10.433540055312163</v>
      </c>
      <c r="J107" s="14">
        <f>J37*Inputs!$C$52</f>
        <v>12.252476582625528</v>
      </c>
      <c r="K107" s="14">
        <f>K37*Inputs!$C$52</f>
        <v>14.502483189588443</v>
      </c>
      <c r="L107" s="14">
        <f>L37*Inputs!$C$52</f>
        <v>16.986838676951848</v>
      </c>
      <c r="M107" s="14">
        <f>M37*Inputs!$C$52</f>
        <v>19.797029201920878</v>
      </c>
      <c r="N107" s="182">
        <f>N37*Inputs!$C$52</f>
        <v>23.004513058075496</v>
      </c>
      <c r="O107" s="14">
        <f>O37*Inputs!$C$52</f>
        <v>24.011472649180138</v>
      </c>
      <c r="P107" s="14">
        <f>P37*Inputs!$C$52</f>
        <v>25.061864596006348</v>
      </c>
      <c r="Q107" s="14">
        <f>Q37*Inputs!$C$52</f>
        <v>26.281557288011978</v>
      </c>
      <c r="R107" s="14">
        <f>R37*Inputs!$C$52</f>
        <v>27.502751612525927</v>
      </c>
      <c r="S107" s="14">
        <f>S37*Inputs!$C$52</f>
        <v>28.812444979115298</v>
      </c>
      <c r="T107" s="14">
        <f>T37*Inputs!$C$52</f>
        <v>29.952624776960061</v>
      </c>
      <c r="U107" s="14">
        <f>U37*Inputs!$C$52</f>
        <v>31.12553841884181</v>
      </c>
      <c r="V107" s="14">
        <f>V37*Inputs!$C$52</f>
        <v>32.368188730956504</v>
      </c>
      <c r="W107" s="14">
        <f>W37*Inputs!$C$52</f>
        <v>33.750463430978556</v>
      </c>
      <c r="X107" s="187">
        <f>X37*Inputs!$C$52</f>
        <v>35.091850767720594</v>
      </c>
      <c r="Y107" s="158">
        <f>Y37*Inputs!$C$52</f>
        <v>36.445532466787768</v>
      </c>
      <c r="Z107" s="158">
        <f>Z37*Inputs!$C$52</f>
        <v>37.89358073094342</v>
      </c>
      <c r="AA107" s="158">
        <f>AA37*Inputs!$C$52</f>
        <v>39.359107408739476</v>
      </c>
      <c r="AB107" s="158">
        <f>AB37*Inputs!$C$52</f>
        <v>40.91664606919425</v>
      </c>
      <c r="AC107" s="158">
        <f>AC37*Inputs!$C$52</f>
        <v>42.598951813636617</v>
      </c>
      <c r="AD107" s="158">
        <f>AD37*Inputs!$C$52</f>
        <v>44.343238910897831</v>
      </c>
      <c r="AE107" s="158">
        <f>AE37*Inputs!$C$52</f>
        <v>46.24403594316923</v>
      </c>
      <c r="AF107" s="158">
        <f>AF37*Inputs!$C$52</f>
        <v>48.269527159919114</v>
      </c>
      <c r="AG107" s="158">
        <f>AG37*Inputs!$C$52</f>
        <v>50.324731952769497</v>
      </c>
      <c r="AH107" s="187">
        <f>AH37*Inputs!$C$52</f>
        <v>52.405740524096188</v>
      </c>
    </row>
    <row r="108" spans="1:36">
      <c r="A108" s="9" t="s">
        <v>347</v>
      </c>
      <c r="B108" s="35">
        <v>1</v>
      </c>
      <c r="C108" s="296">
        <f>C38*Inputs!$C$54</f>
        <v>0</v>
      </c>
      <c r="D108" s="296">
        <f>D38*Inputs!$C$54</f>
        <v>0</v>
      </c>
      <c r="E108" s="296">
        <f>E38*Inputs!$C$54</f>
        <v>0.15800000000000003</v>
      </c>
      <c r="F108" s="296">
        <f>F38*Inputs!$C$54</f>
        <v>0.15800000000000003</v>
      </c>
      <c r="G108" s="296">
        <f>G38*Inputs!$C$54</f>
        <v>0.15800000000000003</v>
      </c>
      <c r="H108" s="367">
        <f>H38*Inputs!$C$54</f>
        <v>0.15800000000000003</v>
      </c>
      <c r="I108" s="14">
        <f>I38*Inputs!$C$54</f>
        <v>0.18119655112049965</v>
      </c>
      <c r="J108" s="14">
        <f>J38*Inputs!$C$54</f>
        <v>0.21036923206263619</v>
      </c>
      <c r="K108" s="14">
        <f>K38*Inputs!$C$54</f>
        <v>0.24617322331617233</v>
      </c>
      <c r="L108" s="14">
        <f>L38*Inputs!$C$54</f>
        <v>0.28506973029457455</v>
      </c>
      <c r="M108" s="14">
        <f>M38*Inputs!$C$54</f>
        <v>0.32845710992710264</v>
      </c>
      <c r="N108" s="182">
        <f>N38*Inputs!$C$54</f>
        <v>0.37733908278654876</v>
      </c>
      <c r="O108" s="14">
        <f>O38*Inputs!$C$54</f>
        <v>0.39385606828201752</v>
      </c>
      <c r="P108" s="14">
        <f>P38*Inputs!$C$54</f>
        <v>0.41108546726043416</v>
      </c>
      <c r="Q108" s="14">
        <f>Q38*Inputs!$C$54</f>
        <v>0.43109187732966608</v>
      </c>
      <c r="R108" s="14">
        <f>R38*Inputs!$C$54</f>
        <v>0.4511229184194262</v>
      </c>
      <c r="S108" s="14">
        <f>S38*Inputs!$C$54</f>
        <v>0.47260559412018299</v>
      </c>
      <c r="T108" s="14">
        <f>T38*Inputs!$C$54</f>
        <v>0.49130776782168045</v>
      </c>
      <c r="U108" s="14">
        <f>U38*Inputs!$C$54</f>
        <v>0.51054686915358749</v>
      </c>
      <c r="V108" s="14">
        <f>V38*Inputs!$C$54</f>
        <v>0.53092984912860464</v>
      </c>
      <c r="W108" s="14">
        <f>W38*Inputs!$C$54</f>
        <v>0.55360306399512305</v>
      </c>
      <c r="X108" s="187">
        <f>X38*Inputs!$C$54</f>
        <v>0.57560561045328607</v>
      </c>
      <c r="Y108" s="158">
        <f>Y38*Inputs!$C$54</f>
        <v>0.59780981922838261</v>
      </c>
      <c r="Z108" s="158">
        <f>Z38*Inputs!$C$54</f>
        <v>0.62156190658827293</v>
      </c>
      <c r="AA108" s="158">
        <f>AA38*Inputs!$C$54</f>
        <v>0.64560068936983928</v>
      </c>
      <c r="AB108" s="158">
        <f>AB38*Inputs!$C$54</f>
        <v>0.67114872892437716</v>
      </c>
      <c r="AC108" s="158">
        <f>AC38*Inputs!$C$54</f>
        <v>0.69874330156200937</v>
      </c>
      <c r="AD108" s="158">
        <f>AD38*Inputs!$C$54</f>
        <v>0.72735454370112129</v>
      </c>
      <c r="AE108" s="158">
        <f>AE38*Inputs!$C$54</f>
        <v>0.75853299146526121</v>
      </c>
      <c r="AF108" s="158">
        <f>AF38*Inputs!$C$54</f>
        <v>0.79175677655434906</v>
      </c>
      <c r="AG108" s="158">
        <f>AG38*Inputs!$C$54</f>
        <v>0.82546794833681147</v>
      </c>
      <c r="AH108" s="187">
        <f>AH38*Inputs!$C$54</f>
        <v>0.85960237507268633</v>
      </c>
    </row>
    <row r="109" spans="1:36">
      <c r="A109" s="9" t="s">
        <v>348</v>
      </c>
      <c r="B109" s="35">
        <v>1</v>
      </c>
      <c r="C109" s="296">
        <f>C39*Inputs!$C$54</f>
        <v>0</v>
      </c>
      <c r="D109" s="296">
        <f>D39*Inputs!$C$55</f>
        <v>0</v>
      </c>
      <c r="E109" s="296">
        <f>E39*Inputs!$C$55</f>
        <v>2.3000000000000003E-2</v>
      </c>
      <c r="F109" s="296">
        <f>F39*Inputs!$C$55</f>
        <v>2.3000000000000003E-2</v>
      </c>
      <c r="G109" s="296">
        <f>G39*Inputs!$C$55</f>
        <v>2.3000000000000003E-2</v>
      </c>
      <c r="H109" s="367">
        <f>H39*Inputs!$C$55</f>
        <v>2.3000000000000003E-2</v>
      </c>
      <c r="I109" s="14">
        <f>I39*Inputs!$C$55</f>
        <v>2.6376713137794251E-2</v>
      </c>
      <c r="J109" s="14">
        <f>J39*Inputs!$C$55</f>
        <v>3.0623369224307799E-2</v>
      </c>
      <c r="K109" s="14">
        <f>K39*Inputs!$C$55</f>
        <v>3.5835342634632679E-2</v>
      </c>
      <c r="L109" s="14">
        <f>L39*Inputs!$C$55</f>
        <v>4.1497492384653258E-2</v>
      </c>
      <c r="M109" s="14">
        <f>M39*Inputs!$C$55</f>
        <v>4.7813376761540252E-2</v>
      </c>
      <c r="N109" s="182">
        <f>N39*Inputs!$C$55</f>
        <v>5.4929106987915331E-2</v>
      </c>
      <c r="O109" s="14">
        <f>O39*Inputs!$C$55</f>
        <v>5.7333478294217741E-2</v>
      </c>
      <c r="P109" s="14">
        <f>P39*Inputs!$C$55</f>
        <v>5.984155536069611E-2</v>
      </c>
      <c r="Q109" s="14">
        <f>Q39*Inputs!$C$55</f>
        <v>6.2753880877103291E-2</v>
      </c>
      <c r="R109" s="14">
        <f>R39*Inputs!$C$55</f>
        <v>6.5669791921815199E-2</v>
      </c>
      <c r="S109" s="14">
        <f>S39*Inputs!$C$55</f>
        <v>6.879701686559625E-2</v>
      </c>
      <c r="T109" s="14">
        <f>T39*Inputs!$C$55</f>
        <v>7.1519485189231971E-2</v>
      </c>
      <c r="U109" s="14">
        <f>U39*Inputs!$C$55</f>
        <v>7.4320113864129816E-2</v>
      </c>
      <c r="V109" s="14">
        <f>V39*Inputs!$C$55</f>
        <v>7.728725651872094E-2</v>
      </c>
      <c r="W109" s="14">
        <f>W39*Inputs!$C$55</f>
        <v>8.0587787796758417E-2</v>
      </c>
      <c r="X109" s="187">
        <f>X39*Inputs!$C$55</f>
        <v>8.3790690129275813E-2</v>
      </c>
      <c r="Y109" s="158">
        <f>Y39*Inputs!$C$55</f>
        <v>8.7022948368688596E-2</v>
      </c>
      <c r="Z109" s="158">
        <f>Z39*Inputs!$C$55</f>
        <v>9.0480530705887838E-2</v>
      </c>
      <c r="AA109" s="158">
        <f>AA39*Inputs!$C$55</f>
        <v>9.3979847186748761E-2</v>
      </c>
      <c r="AB109" s="158">
        <f>AB39*Inputs!$C$55</f>
        <v>9.7698865602915658E-2</v>
      </c>
      <c r="AC109" s="158">
        <f>AC39*Inputs!$C$55</f>
        <v>0.10171579706282416</v>
      </c>
      <c r="AD109" s="158">
        <f>AD39*Inputs!$C$55</f>
        <v>0.10588072471598602</v>
      </c>
      <c r="AE109" s="158">
        <f>AE39*Inputs!$C$55</f>
        <v>0.11041935951709499</v>
      </c>
      <c r="AF109" s="158">
        <f>AF39*Inputs!$C$55</f>
        <v>0.11525573329588625</v>
      </c>
      <c r="AG109" s="158">
        <f>AG39*Inputs!$C$55</f>
        <v>0.1201630557705485</v>
      </c>
      <c r="AH109" s="187">
        <f>AH39*Inputs!$C$55</f>
        <v>0.12513199130804928</v>
      </c>
    </row>
    <row r="110" spans="1:36">
      <c r="A110" s="9" t="s">
        <v>344</v>
      </c>
      <c r="B110" s="35">
        <v>1</v>
      </c>
      <c r="C110" s="296">
        <f>C40*Inputs!$C$51</f>
        <v>2.7000000000000001E-3</v>
      </c>
      <c r="D110" s="296">
        <f>D40*Inputs!$C$51</f>
        <v>3.2765959965217139E-3</v>
      </c>
      <c r="E110" s="296">
        <f>E40*Inputs!$C$51</f>
        <v>3.4827169059206526E-3</v>
      </c>
      <c r="F110" s="296">
        <f>F40*Inputs!$C$51</f>
        <v>3.790979665662502E-3</v>
      </c>
      <c r="G110" s="296">
        <f>G40*Inputs!$C$51</f>
        <v>4.408690288682242E-3</v>
      </c>
      <c r="H110" s="367">
        <f>H40*Inputs!$C$51</f>
        <v>2.7000000000000001E-3</v>
      </c>
      <c r="I110" s="14">
        <f>I40*Inputs!$C$51</f>
        <v>3.0963967596541078E-3</v>
      </c>
      <c r="J110" s="14">
        <f>J40*Inputs!$C$51</f>
        <v>3.5949172567665676E-3</v>
      </c>
      <c r="K110" s="14">
        <f>K40*Inputs!$C$51</f>
        <v>4.2067576136307922E-3</v>
      </c>
      <c r="L110" s="14">
        <f>L40*Inputs!$C$51</f>
        <v>4.871444758198425E-3</v>
      </c>
      <c r="M110" s="14">
        <f>M40*Inputs!$C$51</f>
        <v>5.6128746633112474E-3</v>
      </c>
      <c r="N110" s="182">
        <f>N40*Inputs!$C$51</f>
        <v>6.448199515972669E-3</v>
      </c>
      <c r="O110" s="14">
        <f>O40*Inputs!$C$51</f>
        <v>6.7304517997559942E-3</v>
      </c>
      <c r="P110" s="14">
        <f>P40*Inputs!$C$51</f>
        <v>7.0248782379947602E-3</v>
      </c>
      <c r="Q110" s="14">
        <f>Q40*Inputs!$C$51</f>
        <v>7.3667599290512566E-3</v>
      </c>
      <c r="R110" s="14">
        <f>R40*Inputs!$C$51</f>
        <v>7.7090625299522202E-3</v>
      </c>
      <c r="S110" s="14">
        <f>S40*Inputs!$C$51</f>
        <v>8.0761715450917339E-3</v>
      </c>
      <c r="T110" s="14">
        <f>T40*Inputs!$C$51</f>
        <v>8.3957656526489708E-3</v>
      </c>
      <c r="U110" s="14">
        <f>U40*Inputs!$C$51</f>
        <v>8.7245351057891538E-3</v>
      </c>
      <c r="V110" s="14">
        <f>V40*Inputs!$C$51</f>
        <v>9.0728518521976768E-3</v>
      </c>
      <c r="W110" s="14">
        <f>W40*Inputs!$C$51</f>
        <v>9.4603055239672953E-3</v>
      </c>
      <c r="X110" s="187">
        <f>X40*Inputs!$C$51</f>
        <v>9.8362984064802039E-3</v>
      </c>
      <c r="Y110" s="158">
        <f>Y40*Inputs!$C$51</f>
        <v>1.0215737417193881E-2</v>
      </c>
      <c r="Z110" s="158">
        <f>Z40*Inputs!$C$51</f>
        <v>1.0621627517647701E-2</v>
      </c>
      <c r="AA110" s="158">
        <f>AA40*Inputs!$C$51</f>
        <v>1.103241684366181E-2</v>
      </c>
      <c r="AB110" s="158">
        <f>AB40*Inputs!$C$51</f>
        <v>1.1468997266429229E-2</v>
      </c>
      <c r="AC110" s="158">
        <f>AC40*Inputs!$C$51</f>
        <v>1.1940550089983704E-2</v>
      </c>
      <c r="AD110" s="158">
        <f>AD40*Inputs!$C$51</f>
        <v>1.2429476379702703E-2</v>
      </c>
      <c r="AE110" s="158">
        <f>AE40*Inputs!$C$51</f>
        <v>1.2962272638963325E-2</v>
      </c>
      <c r="AF110" s="158">
        <f>AF40*Inputs!$C$51</f>
        <v>1.3530020865169256E-2</v>
      </c>
      <c r="AG110" s="158">
        <f>AG40*Inputs!$C$51</f>
        <v>1.410609785132526E-2</v>
      </c>
      <c r="AH110" s="187">
        <f>AH40*Inputs!$C$51</f>
        <v>1.468940767529274E-2</v>
      </c>
    </row>
    <row r="111" spans="1:36">
      <c r="A111" s="10" t="s">
        <v>120</v>
      </c>
      <c r="B111" s="35">
        <v>1</v>
      </c>
      <c r="C111" s="296"/>
      <c r="D111" s="296"/>
      <c r="E111" s="296"/>
      <c r="F111" s="296"/>
      <c r="G111" s="296"/>
      <c r="H111" s="367"/>
      <c r="I111" s="14"/>
      <c r="J111" s="14"/>
      <c r="K111" s="14"/>
      <c r="L111" s="14"/>
      <c r="M111" s="14"/>
      <c r="N111" s="187"/>
      <c r="O111" s="14"/>
      <c r="P111" s="14"/>
      <c r="Q111" s="14"/>
      <c r="R111" s="14"/>
      <c r="S111" s="14"/>
      <c r="T111" s="14"/>
      <c r="U111" s="14"/>
      <c r="V111" s="14"/>
      <c r="W111" s="14"/>
      <c r="X111" s="187"/>
    </row>
    <row r="112" spans="1:36">
      <c r="A112" s="10" t="s">
        <v>53</v>
      </c>
      <c r="B112" s="35">
        <v>1</v>
      </c>
      <c r="C112" s="296">
        <f>C42*Inputs!$C$57</f>
        <v>0</v>
      </c>
      <c r="D112" s="296">
        <f>D42*Inputs!$C$57</f>
        <v>0</v>
      </c>
      <c r="E112" s="296">
        <f>E42*Inputs!$C$57</f>
        <v>6.6272665700000009E-3</v>
      </c>
      <c r="F112" s="296">
        <f>F42*Inputs!$C$57</f>
        <v>7.4130069100000013E-3</v>
      </c>
      <c r="G112" s="296">
        <f>G42*Inputs!$C$57</f>
        <v>7.9527526599999995E-3</v>
      </c>
      <c r="H112" s="367">
        <f>H42*Inputs!$C$57</f>
        <v>7.9969280100000012E-3</v>
      </c>
      <c r="I112" s="14">
        <f>I42*Inputs!$C$57</f>
        <v>1.0093402180000001E-2</v>
      </c>
      <c r="J112" s="14">
        <f>J42*Inputs!$C$57</f>
        <v>1.2002820909717842E-2</v>
      </c>
      <c r="K112" s="14">
        <f>K42*Inputs!$C$57</f>
        <v>1.4912807757149387E-2</v>
      </c>
      <c r="L112" s="14">
        <f>L42*Inputs!$C$57</f>
        <v>1.8335265985094183E-2</v>
      </c>
      <c r="M112" s="14">
        <f>M42*Inputs!$C$57</f>
        <v>2.2430155246632038E-2</v>
      </c>
      <c r="N112" s="182">
        <f>N42*Inputs!$C$57</f>
        <v>2.7359169136334894E-2</v>
      </c>
      <c r="O112" s="14">
        <f>O42*Inputs!$C$57</f>
        <v>2.8556741877689491E-2</v>
      </c>
      <c r="P112" s="14">
        <f>P42*Inputs!$C$57</f>
        <v>2.9805968534220448E-2</v>
      </c>
      <c r="Q112" s="14">
        <f>Q42*Inputs!$C$57</f>
        <v>3.1256543843973389E-2</v>
      </c>
      <c r="R112" s="14">
        <f>R42*Inputs!$C$57</f>
        <v>3.2708905038855582E-2</v>
      </c>
      <c r="S112" s="14">
        <f>S42*Inputs!$C$57</f>
        <v>3.4266517766531897E-2</v>
      </c>
      <c r="T112" s="14">
        <f>T42*Inputs!$C$57</f>
        <v>3.562252873082903E-2</v>
      </c>
      <c r="U112" s="14">
        <f>U42*Inputs!$C$57</f>
        <v>3.701746991604541E-2</v>
      </c>
      <c r="V112" s="14">
        <f>V42*Inputs!$C$57</f>
        <v>3.8495348625350694E-2</v>
      </c>
      <c r="W112" s="14">
        <f>W42*Inputs!$C$57</f>
        <v>4.0139282022910894E-2</v>
      </c>
      <c r="X112" s="187">
        <f>X42*Inputs!$C$57</f>
        <v>4.1734588253936715E-2</v>
      </c>
      <c r="Y112" s="158">
        <f>Y42*Inputs!$C$57</f>
        <v>4.3344516117571237E-2</v>
      </c>
      <c r="Z112" s="158">
        <f>Z42*Inputs!$C$57</f>
        <v>4.5066673734061341E-2</v>
      </c>
      <c r="AA112" s="158">
        <f>AA42*Inputs!$C$57</f>
        <v>4.6809618353250239E-2</v>
      </c>
      <c r="AB112" s="158">
        <f>AB42*Inputs!$C$57</f>
        <v>4.8661992430466525E-2</v>
      </c>
      <c r="AC112" s="158">
        <f>AC42*Inputs!$C$57</f>
        <v>5.0662751467835908E-2</v>
      </c>
      <c r="AD112" s="158">
        <f>AD42*Inputs!$C$57</f>
        <v>5.2737224663413663E-2</v>
      </c>
      <c r="AE112" s="158">
        <f>AE42*Inputs!$C$57</f>
        <v>5.4997834456303893E-2</v>
      </c>
      <c r="AF112" s="158">
        <f>AF42*Inputs!$C$57</f>
        <v>5.740674251027237E-2</v>
      </c>
      <c r="AG112" s="158">
        <f>AG42*Inputs!$C$57</f>
        <v>5.9850988793401637E-2</v>
      </c>
      <c r="AH112" s="187">
        <f>AH42*Inputs!$C$57</f>
        <v>6.2325923400074514E-2</v>
      </c>
      <c r="AI112" s="31" t="s">
        <v>0</v>
      </c>
    </row>
    <row r="113" spans="1:35" s="20" customFormat="1">
      <c r="A113" s="10" t="s">
        <v>384</v>
      </c>
      <c r="B113" s="37"/>
      <c r="C113" s="299">
        <f>SUM(C100:C112)</f>
        <v>3078.9412000000002</v>
      </c>
      <c r="D113" s="299">
        <f t="shared" ref="D113:AH113" si="87">SUM(D100:D112)</f>
        <v>3368.8837620086001</v>
      </c>
      <c r="E113" s="299">
        <f t="shared" si="87"/>
        <v>3242.3076974130931</v>
      </c>
      <c r="F113" s="299">
        <f t="shared" si="87"/>
        <v>3203.7426047105009</v>
      </c>
      <c r="G113" s="299">
        <f t="shared" si="87"/>
        <v>3393.3827277552527</v>
      </c>
      <c r="H113" s="369">
        <f t="shared" si="87"/>
        <v>3173.4490311571021</v>
      </c>
      <c r="I113" s="19">
        <f t="shared" si="87"/>
        <v>3290.6196578311128</v>
      </c>
      <c r="J113" s="19">
        <f t="shared" si="87"/>
        <v>3466.9218950090617</v>
      </c>
      <c r="K113" s="19">
        <f t="shared" si="87"/>
        <v>3696.7968108605073</v>
      </c>
      <c r="L113" s="19">
        <f t="shared" si="87"/>
        <v>3918.9106786751363</v>
      </c>
      <c r="M113" s="19">
        <f t="shared" si="87"/>
        <v>4154.8145001944822</v>
      </c>
      <c r="N113" s="182">
        <f t="shared" si="87"/>
        <v>4416.8632658722627</v>
      </c>
      <c r="O113" s="19">
        <f t="shared" si="87"/>
        <v>4476.7492666915405</v>
      </c>
      <c r="P113" s="19">
        <f t="shared" si="87"/>
        <v>4538.7454578996603</v>
      </c>
      <c r="Q113" s="19">
        <f t="shared" si="87"/>
        <v>4624.7729256524508</v>
      </c>
      <c r="R113" s="19">
        <f t="shared" si="87"/>
        <v>4704.0689722895568</v>
      </c>
      <c r="S113" s="19">
        <f t="shared" si="87"/>
        <v>4791.5950764405961</v>
      </c>
      <c r="T113" s="19">
        <f t="shared" si="87"/>
        <v>4844.8957796605373</v>
      </c>
      <c r="U113" s="19">
        <f t="shared" si="87"/>
        <v>4898.5310319566706</v>
      </c>
      <c r="V113" s="19">
        <f t="shared" si="87"/>
        <v>4958.1473149686117</v>
      </c>
      <c r="W113" s="19">
        <f t="shared" si="87"/>
        <v>5033.7083627140537</v>
      </c>
      <c r="X113" s="182">
        <f t="shared" si="87"/>
        <v>5097.7633361243752</v>
      </c>
      <c r="Y113" s="206">
        <f t="shared" si="87"/>
        <v>5165.7077686240355</v>
      </c>
      <c r="Z113" s="206">
        <f t="shared" si="87"/>
        <v>5242.2918122202091</v>
      </c>
      <c r="AA113" s="206">
        <f t="shared" si="87"/>
        <v>5316.5544931490385</v>
      </c>
      <c r="AB113" s="206">
        <f t="shared" si="87"/>
        <v>5398.5297247934595</v>
      </c>
      <c r="AC113" s="206">
        <f t="shared" si="87"/>
        <v>5491.9574028764182</v>
      </c>
      <c r="AD113" s="206">
        <f t="shared" si="87"/>
        <v>5588.2012207509597</v>
      </c>
      <c r="AE113" s="206">
        <f t="shared" si="87"/>
        <v>5698.7745399942633</v>
      </c>
      <c r="AF113" s="206">
        <f t="shared" si="87"/>
        <v>5818.9640836080534</v>
      </c>
      <c r="AG113" s="206">
        <f t="shared" si="87"/>
        <v>5937.0082365342832</v>
      </c>
      <c r="AH113" s="182">
        <f t="shared" si="87"/>
        <v>6052.6564382867027</v>
      </c>
      <c r="AI113" s="31" t="s">
        <v>0</v>
      </c>
    </row>
    <row r="114" spans="1:35" s="20" customFormat="1">
      <c r="A114" s="10" t="s">
        <v>385</v>
      </c>
      <c r="B114" s="37"/>
      <c r="C114" s="299">
        <f>SUM(C101:C103)</f>
        <v>2752.7485000000001</v>
      </c>
      <c r="D114" s="299">
        <f t="shared" ref="D114:AH114" si="88">SUM(D101:D103)</f>
        <v>2952.6537846057345</v>
      </c>
      <c r="E114" s="299">
        <f t="shared" si="88"/>
        <v>2773.7255787085296</v>
      </c>
      <c r="F114" s="299">
        <f t="shared" si="88"/>
        <v>2668.2210663346814</v>
      </c>
      <c r="G114" s="299">
        <f t="shared" si="88"/>
        <v>2742.0466461995966</v>
      </c>
      <c r="H114" s="369">
        <f t="shared" si="88"/>
        <v>2783.922616239236</v>
      </c>
      <c r="I114" s="19">
        <f t="shared" si="88"/>
        <v>2821.0554143520517</v>
      </c>
      <c r="J114" s="19">
        <f t="shared" si="88"/>
        <v>2893.8527316680734</v>
      </c>
      <c r="K114" s="19">
        <f t="shared" si="88"/>
        <v>2991.8436799301398</v>
      </c>
      <c r="L114" s="19">
        <f t="shared" si="88"/>
        <v>3060.7291486899026</v>
      </c>
      <c r="M114" s="19">
        <f t="shared" si="88"/>
        <v>3115.3040915379706</v>
      </c>
      <c r="N114" s="182">
        <f t="shared" si="88"/>
        <v>3161.3622581311993</v>
      </c>
      <c r="O114" s="19">
        <f t="shared" si="88"/>
        <v>3166.2921388972163</v>
      </c>
      <c r="P114" s="19">
        <f t="shared" si="88"/>
        <v>3170.9618331508409</v>
      </c>
      <c r="Q114" s="19">
        <f t="shared" si="88"/>
        <v>3190.422997149165</v>
      </c>
      <c r="R114" s="19">
        <f t="shared" si="88"/>
        <v>3203.0707864984806</v>
      </c>
      <c r="S114" s="19">
        <f t="shared" si="88"/>
        <v>3219.1186838544609</v>
      </c>
      <c r="T114" s="19">
        <f t="shared" si="88"/>
        <v>3210.192602200224</v>
      </c>
      <c r="U114" s="19">
        <f t="shared" si="88"/>
        <v>3199.814577811987</v>
      </c>
      <c r="V114" s="19">
        <f t="shared" si="88"/>
        <v>3191.6116153049675</v>
      </c>
      <c r="W114" s="19">
        <f t="shared" si="88"/>
        <v>3191.7332362530906</v>
      </c>
      <c r="X114" s="182">
        <f t="shared" si="88"/>
        <v>3182.5802635182745</v>
      </c>
      <c r="Y114" s="206">
        <f t="shared" si="88"/>
        <v>3176.645769172193</v>
      </c>
      <c r="Z114" s="206">
        <f t="shared" si="88"/>
        <v>3174.2007087697107</v>
      </c>
      <c r="AA114" s="206">
        <f t="shared" si="88"/>
        <v>3168.480378704161</v>
      </c>
      <c r="AB114" s="206">
        <f t="shared" si="88"/>
        <v>3165.450926578058</v>
      </c>
      <c r="AC114" s="206">
        <f t="shared" si="88"/>
        <v>3167.0645961599957</v>
      </c>
      <c r="AD114" s="206">
        <f t="shared" si="88"/>
        <v>3168.1116931618722</v>
      </c>
      <c r="AE114" s="206">
        <f t="shared" si="88"/>
        <v>3174.9465597153358</v>
      </c>
      <c r="AF114" s="206">
        <f t="shared" si="88"/>
        <v>3184.592304493643</v>
      </c>
      <c r="AG114" s="206">
        <f t="shared" si="88"/>
        <v>3190.4710017971497</v>
      </c>
      <c r="AH114" s="182">
        <f t="shared" si="88"/>
        <v>3192.5454733939869</v>
      </c>
      <c r="AI114" s="31"/>
    </row>
    <row r="115" spans="1:35" s="20" customFormat="1">
      <c r="A115" s="10" t="s">
        <v>386</v>
      </c>
      <c r="B115" s="37"/>
      <c r="C115" s="299">
        <f>SUMPRODUCT($B104:$B112,C104:C112)</f>
        <v>326.1927</v>
      </c>
      <c r="D115" s="299">
        <f t="shared" ref="D115:AH115" si="89">SUMPRODUCT($B104:$B112,D104:D112)</f>
        <v>416.22997740286593</v>
      </c>
      <c r="E115" s="299">
        <f t="shared" si="89"/>
        <v>468.58211870456341</v>
      </c>
      <c r="F115" s="299">
        <f t="shared" si="89"/>
        <v>535.52153837581955</v>
      </c>
      <c r="G115" s="299">
        <f t="shared" si="89"/>
        <v>651.33608155565639</v>
      </c>
      <c r="H115" s="369">
        <f t="shared" si="89"/>
        <v>389.52641491786608</v>
      </c>
      <c r="I115" s="19">
        <f t="shared" si="89"/>
        <v>469.56424347906102</v>
      </c>
      <c r="J115" s="19">
        <f t="shared" si="89"/>
        <v>573.06916334098776</v>
      </c>
      <c r="K115" s="19">
        <f t="shared" si="89"/>
        <v>704.95313093036759</v>
      </c>
      <c r="L115" s="19">
        <f t="shared" si="89"/>
        <v>858.18152998523408</v>
      </c>
      <c r="M115" s="19">
        <f t="shared" si="89"/>
        <v>1039.5104086565111</v>
      </c>
      <c r="N115" s="182">
        <f t="shared" si="89"/>
        <v>1255.5010077410625</v>
      </c>
      <c r="O115" s="19">
        <f t="shared" si="89"/>
        <v>1310.4571277943242</v>
      </c>
      <c r="P115" s="19">
        <f t="shared" si="89"/>
        <v>1367.783624748819</v>
      </c>
      <c r="Q115" s="19">
        <f t="shared" si="89"/>
        <v>1434.3499285032867</v>
      </c>
      <c r="R115" s="19">
        <f t="shared" si="89"/>
        <v>1500.9981857910766</v>
      </c>
      <c r="S115" s="19">
        <f t="shared" si="89"/>
        <v>1572.4763925861346</v>
      </c>
      <c r="T115" s="19">
        <f t="shared" si="89"/>
        <v>1634.7031774603133</v>
      </c>
      <c r="U115" s="19">
        <f t="shared" si="89"/>
        <v>1698.7164541446828</v>
      </c>
      <c r="V115" s="19">
        <f t="shared" si="89"/>
        <v>1766.5356996636431</v>
      </c>
      <c r="W115" s="19">
        <f t="shared" si="89"/>
        <v>1841.9751264609622</v>
      </c>
      <c r="X115" s="182">
        <f t="shared" si="89"/>
        <v>1915.1830726061007</v>
      </c>
      <c r="Y115" s="206">
        <f t="shared" si="89"/>
        <v>1989.0619994518415</v>
      </c>
      <c r="Z115" s="206">
        <f t="shared" si="89"/>
        <v>2068.0911034504988</v>
      </c>
      <c r="AA115" s="206">
        <f t="shared" si="89"/>
        <v>2148.0741144448771</v>
      </c>
      <c r="AB115" s="206">
        <f t="shared" si="89"/>
        <v>2233.0787982154025</v>
      </c>
      <c r="AC115" s="206">
        <f t="shared" si="89"/>
        <v>2324.8928067164225</v>
      </c>
      <c r="AD115" s="206">
        <f t="shared" si="89"/>
        <v>2420.0895275890875</v>
      </c>
      <c r="AE115" s="206">
        <f t="shared" si="89"/>
        <v>2523.827980278927</v>
      </c>
      <c r="AF115" s="206">
        <f t="shared" si="89"/>
        <v>2634.3717791144104</v>
      </c>
      <c r="AG115" s="206">
        <f t="shared" si="89"/>
        <v>2746.5372347371331</v>
      </c>
      <c r="AH115" s="182">
        <f t="shared" si="89"/>
        <v>2860.1109648927163</v>
      </c>
    </row>
    <row r="116" spans="1:35" s="20" customFormat="1">
      <c r="A116" s="10" t="s">
        <v>142</v>
      </c>
      <c r="B116" s="37"/>
      <c r="C116" s="299">
        <f>C47*Inputs!$C$60</f>
        <v>2796.4859999999999</v>
      </c>
      <c r="D116" s="299">
        <f>D47*Inputs!$C$60</f>
        <v>2909.4229547555101</v>
      </c>
      <c r="E116" s="299">
        <f>E47*Inputs!$C$60</f>
        <v>2742.0130636375106</v>
      </c>
      <c r="F116" s="299">
        <f>F47*Inputs!$C$60</f>
        <v>2319.4848014638133</v>
      </c>
      <c r="G116" s="299">
        <f>G47*Inputs!$C$60</f>
        <v>2466.0932791456694</v>
      </c>
      <c r="H116" s="369">
        <f>H47*Inputs!$C$60</f>
        <v>2632.0435864668375</v>
      </c>
      <c r="I116" s="19">
        <f>I47*Inputs!$C$60</f>
        <v>2499.8181982950841</v>
      </c>
      <c r="J116" s="19">
        <f>J47*Inputs!$C$60</f>
        <v>2390.8434207121049</v>
      </c>
      <c r="K116" s="19">
        <f>K47*Inputs!$C$60</f>
        <v>2483.112548712817</v>
      </c>
      <c r="L116" s="19">
        <f>L47*Inputs!$C$60</f>
        <v>2481.5240401859346</v>
      </c>
      <c r="M116" s="19">
        <f>M47*Inputs!$C$60</f>
        <v>2425.4825604338839</v>
      </c>
      <c r="N116" s="182">
        <f>N47*Inputs!$C$60</f>
        <v>2329.5713586538809</v>
      </c>
      <c r="O116" s="19">
        <f>O47*Inputs!$C$60</f>
        <v>2342.967980297452</v>
      </c>
      <c r="P116" s="19">
        <f>P47*Inputs!$C$60</f>
        <v>2350.7501192074074</v>
      </c>
      <c r="Q116" s="19">
        <f>Q47*Inputs!$C$60</f>
        <v>2349.3254073881712</v>
      </c>
      <c r="R116" s="19">
        <f>R47*Inputs!$C$60</f>
        <v>2364.6823086263121</v>
      </c>
      <c r="S116" s="19">
        <f>S47*Inputs!$C$60</f>
        <v>2388.3512668706485</v>
      </c>
      <c r="T116" s="19">
        <f>T47*Inputs!$C$60</f>
        <v>2380.8129254099449</v>
      </c>
      <c r="U116" s="19">
        <f>U47*Inputs!$C$60</f>
        <v>2372.8628264700069</v>
      </c>
      <c r="V116" s="19">
        <f>V47*Inputs!$C$60</f>
        <v>2363.6014925766922</v>
      </c>
      <c r="W116" s="19">
        <f>W47*Inputs!$C$60</f>
        <v>2365.0233250543283</v>
      </c>
      <c r="X116" s="182">
        <f>X47*Inputs!$C$60</f>
        <v>2356.5356488642924</v>
      </c>
      <c r="Y116" s="206">
        <f>Y47*Inputs!$C$60</f>
        <v>2338.6593208571821</v>
      </c>
      <c r="Z116" s="206">
        <f>Z47*Inputs!$C$60</f>
        <v>2318.8499917723416</v>
      </c>
      <c r="AA116" s="206">
        <f>AA47*Inputs!$C$60</f>
        <v>2297.9080753996745</v>
      </c>
      <c r="AB116" s="206">
        <f>AB47*Inputs!$C$60</f>
        <v>2275.6884747518393</v>
      </c>
      <c r="AC116" s="206">
        <f>AC47*Inputs!$C$60</f>
        <v>2250.6565636331497</v>
      </c>
      <c r="AD116" s="206">
        <f>AD47*Inputs!$C$60</f>
        <v>2225.963678784834</v>
      </c>
      <c r="AE116" s="206">
        <f>AE47*Inputs!$C$60</f>
        <v>2197.3020591411992</v>
      </c>
      <c r="AF116" s="206">
        <f>AF47*Inputs!$C$60</f>
        <v>2167.7858899335397</v>
      </c>
      <c r="AG116" s="206">
        <f>AG47*Inputs!$C$60</f>
        <v>2140.3899769354134</v>
      </c>
      <c r="AH116" s="182">
        <f>AH47*Inputs!$C$60</f>
        <v>2113.0888343299121</v>
      </c>
      <c r="AI116" s="31"/>
    </row>
    <row r="117" spans="1:35" s="20" customFormat="1">
      <c r="A117" s="10" t="s">
        <v>222</v>
      </c>
      <c r="B117" s="37"/>
      <c r="C117" s="299">
        <f>C48*Inputs!$C$61</f>
        <v>1198.4939999999999</v>
      </c>
      <c r="D117" s="299">
        <f>D48*Inputs!$C$61</f>
        <v>1288.6329505131584</v>
      </c>
      <c r="E117" s="299">
        <f>E48*Inputs!$C$61</f>
        <v>1103.2955666615057</v>
      </c>
      <c r="F117" s="299">
        <f>F48*Inputs!$C$61</f>
        <v>1288.0091676390261</v>
      </c>
      <c r="G117" s="299">
        <f>G48*Inputs!$C$61</f>
        <v>1143.289247249149</v>
      </c>
      <c r="H117" s="369">
        <f>H48*Inputs!$C$61</f>
        <v>1129.0280145050733</v>
      </c>
      <c r="I117" s="19">
        <f>I48*Inputs!$C$61</f>
        <v>1220.782566116495</v>
      </c>
      <c r="J117" s="19">
        <f>J48*Inputs!$C$61</f>
        <v>1326.0501673854205</v>
      </c>
      <c r="K117" s="19">
        <f>K48*Inputs!$C$61</f>
        <v>1249.5960000269449</v>
      </c>
      <c r="L117" s="19">
        <f>L48*Inputs!$C$61</f>
        <v>1211.8376432769769</v>
      </c>
      <c r="M117" s="19">
        <f>M48*Inputs!$C$61</f>
        <v>1193.0936122073433</v>
      </c>
      <c r="N117" s="182">
        <f>N48*Inputs!$C$61</f>
        <v>1183.7459236489522</v>
      </c>
      <c r="O117" s="19">
        <f>O48*Inputs!$C$61</f>
        <v>1198.579692320116</v>
      </c>
      <c r="P117" s="19">
        <f>P48*Inputs!$C$61</f>
        <v>1218.3777361312543</v>
      </c>
      <c r="Q117" s="19">
        <f>Q48*Inputs!$C$61</f>
        <v>1263.7440689805455</v>
      </c>
      <c r="R117" s="19">
        <f>R48*Inputs!$C$61</f>
        <v>1284.2889704026948</v>
      </c>
      <c r="S117" s="19">
        <f>S48*Inputs!$C$61</f>
        <v>1300.0181087724886</v>
      </c>
      <c r="T117" s="19">
        <f>T48*Inputs!$C$61</f>
        <v>1317.837108943758</v>
      </c>
      <c r="U117" s="19">
        <f>U48*Inputs!$C$61</f>
        <v>1333.5970386973199</v>
      </c>
      <c r="V117" s="19">
        <f>V48*Inputs!$C$61</f>
        <v>1352.3622820369226</v>
      </c>
      <c r="W117" s="19">
        <f>W48*Inputs!$C$61</f>
        <v>1369.3509623205609</v>
      </c>
      <c r="X117" s="182">
        <f>X48*Inputs!$C$61</f>
        <v>1384.5295192855137</v>
      </c>
      <c r="Y117" s="206">
        <f>Y48*Inputs!$C$61</f>
        <v>1383.6794528568812</v>
      </c>
      <c r="Z117" s="206">
        <f>Z48*Inputs!$C$61</f>
        <v>1387.4519669402691</v>
      </c>
      <c r="AA117" s="206">
        <f>AA48*Inputs!$C$61</f>
        <v>1387.0676971609439</v>
      </c>
      <c r="AB117" s="206">
        <f>AB48*Inputs!$C$61</f>
        <v>1389.5670290991757</v>
      </c>
      <c r="AC117" s="206">
        <f>AC48*Inputs!$C$61</f>
        <v>1398.6291952157644</v>
      </c>
      <c r="AD117" s="206">
        <f>AD48*Inputs!$C$61</f>
        <v>1404.969510102665</v>
      </c>
      <c r="AE117" s="206">
        <f>AE48*Inputs!$C$61</f>
        <v>1420.0722206842829</v>
      </c>
      <c r="AF117" s="206">
        <f>AF48*Inputs!$C$61</f>
        <v>1437.2417308838881</v>
      </c>
      <c r="AG117" s="206">
        <f>AG48*Inputs!$C$61</f>
        <v>1445.9323106931881</v>
      </c>
      <c r="AH117" s="182">
        <f>AH48*Inputs!$C$61</f>
        <v>1448.1177815882322</v>
      </c>
      <c r="AI117" s="31"/>
    </row>
    <row r="118" spans="1:35" s="20" customFormat="1">
      <c r="A118" s="10" t="s">
        <v>58</v>
      </c>
      <c r="B118" s="37"/>
      <c r="C118" s="299">
        <f>SUM(C113,C116,C117)</f>
        <v>7073.9211999999998</v>
      </c>
      <c r="D118" s="299">
        <f>SUM(D113,D116,D117)</f>
        <v>7566.9396672772691</v>
      </c>
      <c r="E118" s="299">
        <f t="shared" ref="E118:AH118" si="90">SUM(E113,E116,E117)</f>
        <v>7087.6163277121086</v>
      </c>
      <c r="F118" s="299">
        <f t="shared" si="90"/>
        <v>6811.2365738133394</v>
      </c>
      <c r="G118" s="299">
        <f t="shared" si="90"/>
        <v>7002.765254150072</v>
      </c>
      <c r="H118" s="369">
        <f t="shared" si="90"/>
        <v>6934.5206321290134</v>
      </c>
      <c r="I118" s="19">
        <f t="shared" si="90"/>
        <v>7011.2204222426917</v>
      </c>
      <c r="J118" s="19">
        <f t="shared" si="90"/>
        <v>7183.8154831065867</v>
      </c>
      <c r="K118" s="19">
        <f t="shared" si="90"/>
        <v>7429.5053596002699</v>
      </c>
      <c r="L118" s="19">
        <f t="shared" si="90"/>
        <v>7612.2723621380483</v>
      </c>
      <c r="M118" s="19">
        <f t="shared" si="90"/>
        <v>7773.3906728357097</v>
      </c>
      <c r="N118" s="182">
        <f t="shared" si="90"/>
        <v>7930.1805481750962</v>
      </c>
      <c r="O118" s="19">
        <f t="shared" si="90"/>
        <v>8018.296939309108</v>
      </c>
      <c r="P118" s="19">
        <f t="shared" si="90"/>
        <v>8107.8733132383213</v>
      </c>
      <c r="Q118" s="19">
        <f t="shared" si="90"/>
        <v>8237.8424020211678</v>
      </c>
      <c r="R118" s="19">
        <f t="shared" si="90"/>
        <v>8353.0402513185636</v>
      </c>
      <c r="S118" s="19">
        <f t="shared" si="90"/>
        <v>8479.9644520837337</v>
      </c>
      <c r="T118" s="19">
        <f t="shared" si="90"/>
        <v>8543.54581401424</v>
      </c>
      <c r="U118" s="19">
        <f t="shared" si="90"/>
        <v>8604.9908971239984</v>
      </c>
      <c r="V118" s="19">
        <f t="shared" si="90"/>
        <v>8674.1110895822258</v>
      </c>
      <c r="W118" s="19">
        <f t="shared" si="90"/>
        <v>8768.0826500889434</v>
      </c>
      <c r="X118" s="182">
        <f t="shared" si="90"/>
        <v>8838.8285042741809</v>
      </c>
      <c r="Y118" s="206">
        <f t="shared" si="90"/>
        <v>8888.0465423380992</v>
      </c>
      <c r="Z118" s="206">
        <f t="shared" si="90"/>
        <v>8948.5937709328191</v>
      </c>
      <c r="AA118" s="206">
        <f t="shared" si="90"/>
        <v>9001.5302657096581</v>
      </c>
      <c r="AB118" s="206">
        <f t="shared" si="90"/>
        <v>9063.7852286444759</v>
      </c>
      <c r="AC118" s="206">
        <f t="shared" si="90"/>
        <v>9141.2431617253314</v>
      </c>
      <c r="AD118" s="206">
        <f t="shared" si="90"/>
        <v>9219.1344096384582</v>
      </c>
      <c r="AE118" s="206">
        <f t="shared" si="90"/>
        <v>9316.1488198197439</v>
      </c>
      <c r="AF118" s="206">
        <f t="shared" si="90"/>
        <v>9423.9917044254817</v>
      </c>
      <c r="AG118" s="206">
        <f t="shared" si="90"/>
        <v>9523.3305241628841</v>
      </c>
      <c r="AH118" s="182">
        <f t="shared" si="90"/>
        <v>9613.8630542048468</v>
      </c>
      <c r="AI118" s="31"/>
    </row>
    <row r="119" spans="1:35" s="1" customFormat="1">
      <c r="A119" s="1" t="s">
        <v>335</v>
      </c>
      <c r="B119" s="13"/>
      <c r="C119" s="306">
        <f>C118-'Output - Jobs vs Yr (BAU)'!C55</f>
        <v>2.4199999999991633</v>
      </c>
      <c r="D119" s="306">
        <f>D118-'Output - Jobs vs Yr (BAU)'!D55</f>
        <v>111.78846727726886</v>
      </c>
      <c r="E119" s="306">
        <f>E118-'Output - Jobs vs Yr (BAU)'!E55</f>
        <v>48.390632695690329</v>
      </c>
      <c r="F119" s="306">
        <f>F118-'Output - Jobs vs Yr (BAU)'!F55</f>
        <v>98.691109789154325</v>
      </c>
      <c r="G119" s="306">
        <f>G118-'Output - Jobs vs Yr (BAU)'!G55</f>
        <v>123.26473708912908</v>
      </c>
      <c r="H119" s="370">
        <f>H118-'Output - Jobs vs Yr (BAU)'!H55</f>
        <v>-0.1430000000000291</v>
      </c>
      <c r="I119" s="15">
        <f>I118-'Output - Jobs vs Yr (BAU)'!I55</f>
        <v>18.244709093622077</v>
      </c>
      <c r="J119" s="15">
        <f>J118-'Output - Jobs vs Yr (BAU)'!J55</f>
        <v>48.820137031963895</v>
      </c>
      <c r="K119" s="15">
        <f>K118-'Output - Jobs vs Yr (BAU)'!K55</f>
        <v>94.605936468939944</v>
      </c>
      <c r="L119" s="15">
        <f>L118-'Output - Jobs vs Yr (BAU)'!L55</f>
        <v>157.57124212192321</v>
      </c>
      <c r="M119" s="15">
        <f>M118-'Output - Jobs vs Yr (BAU)'!M55</f>
        <v>243.48643436963994</v>
      </c>
      <c r="N119" s="182">
        <f>N118-'Output - Jobs vs Yr (BAU)'!N55</f>
        <v>344.00142742526077</v>
      </c>
      <c r="O119" s="15">
        <f>O118-'Output - Jobs vs Yr (BAU)'!O55</f>
        <v>353.19985586059465</v>
      </c>
      <c r="P119" s="15">
        <f>P118-'Output - Jobs vs Yr (BAU)'!P55</f>
        <v>369.15773542823354</v>
      </c>
      <c r="Q119" s="15">
        <f>Q118-'Output - Jobs vs Yr (BAU)'!Q55</f>
        <v>369.27512170421323</v>
      </c>
      <c r="R119" s="15">
        <f>R118-'Output - Jobs vs Yr (BAU)'!R55</f>
        <v>390.04268161963228</v>
      </c>
      <c r="S119" s="15">
        <f>S118-'Output - Jobs vs Yr (BAU)'!S55</f>
        <v>385.52578376162455</v>
      </c>
      <c r="T119" s="15">
        <f>T118-'Output - Jobs vs Yr (BAU)'!T55</f>
        <v>400.14082760309975</v>
      </c>
      <c r="U119" s="15">
        <f>U118-'Output - Jobs vs Yr (BAU)'!U55</f>
        <v>419.28492158363588</v>
      </c>
      <c r="V119" s="15">
        <f>V118-'Output - Jobs vs Yr (BAU)'!V55</f>
        <v>440.1707838462662</v>
      </c>
      <c r="W119" s="15">
        <f>W118-'Output - Jobs vs Yr (BAU)'!W55</f>
        <v>427.1272799664639</v>
      </c>
      <c r="X119" s="190">
        <f>X118-'Output - Jobs vs Yr (BAU)'!X55</f>
        <v>450.85920066341896</v>
      </c>
      <c r="Y119" s="130">
        <f>Y118-'Output - Jobs vs Yr (BAU)'!Y55</f>
        <v>478.30873090296154</v>
      </c>
      <c r="Z119" s="130">
        <f>Z118-'Output - Jobs vs Yr (BAU)'!Z55</f>
        <v>509.58680050207295</v>
      </c>
      <c r="AA119" s="130">
        <f>AA118-'Output - Jobs vs Yr (BAU)'!AA55</f>
        <v>539.9082726181241</v>
      </c>
      <c r="AB119" s="130">
        <f>AB118-'Output - Jobs vs Yr (BAU)'!AB55</f>
        <v>572.2936442607861</v>
      </c>
      <c r="AC119" s="130">
        <f>AC118-'Output - Jobs vs Yr (BAU)'!AC55</f>
        <v>609.17436380025174</v>
      </c>
      <c r="AD119" s="130">
        <f>AD118-'Output - Jobs vs Yr (BAU)'!AD55</f>
        <v>645.45610334418416</v>
      </c>
      <c r="AE119" s="130">
        <f>AE118-'Output - Jobs vs Yr (BAU)'!AE55</f>
        <v>686.94976822246826</v>
      </c>
      <c r="AF119" s="130">
        <f>AF118-'Output - Jobs vs Yr (BAU)'!AF55</f>
        <v>730.47386111400374</v>
      </c>
      <c r="AG119" s="130">
        <f>AG118-'Output - Jobs vs Yr (BAU)'!AG55</f>
        <v>774.00682141521065</v>
      </c>
      <c r="AH119" s="190">
        <f>AH118-'Output - Jobs vs Yr (BAU)'!AH55</f>
        <v>818.56908903895055</v>
      </c>
    </row>
    <row r="120" spans="1:35" s="1" customFormat="1">
      <c r="B120" s="13"/>
      <c r="C120" s="293"/>
      <c r="D120" s="306"/>
      <c r="E120" s="306"/>
      <c r="F120" s="306"/>
      <c r="G120" s="306"/>
      <c r="H120" s="370"/>
      <c r="I120" s="15"/>
      <c r="J120" s="15"/>
      <c r="K120" s="15"/>
      <c r="L120" s="15"/>
      <c r="M120" s="15"/>
      <c r="N120" s="187" t="s">
        <v>0</v>
      </c>
      <c r="O120" s="15"/>
      <c r="P120" s="15"/>
      <c r="Q120" s="15"/>
      <c r="R120" s="15"/>
      <c r="S120" s="15"/>
      <c r="T120" s="15"/>
      <c r="U120" s="15"/>
      <c r="V120" s="15"/>
      <c r="W120" s="15"/>
      <c r="X120" s="190"/>
      <c r="Y120"/>
      <c r="Z120"/>
      <c r="AA120"/>
      <c r="AB120"/>
      <c r="AC120"/>
      <c r="AD120"/>
      <c r="AE120"/>
      <c r="AF120"/>
      <c r="AG120"/>
      <c r="AH120" s="245"/>
    </row>
    <row r="121" spans="1:35" hidden="1">
      <c r="W121" s="2" t="s">
        <v>133</v>
      </c>
      <c r="X121" s="187">
        <f>X100</f>
        <v>0</v>
      </c>
    </row>
    <row r="122" spans="1:35" hidden="1">
      <c r="W122" s="2" t="s">
        <v>136</v>
      </c>
      <c r="X122" s="187">
        <f>X103-'Output - Jobs vs Yr (BAU)'!X43</f>
        <v>16.332194838170835</v>
      </c>
    </row>
    <row r="123" spans="1:35" hidden="1">
      <c r="W123" s="2" t="s">
        <v>134</v>
      </c>
      <c r="X123" s="187">
        <f>X115-'Output - Jobs vs Yr (BAU)'!X51</f>
        <v>964.12520936674491</v>
      </c>
    </row>
    <row r="124" spans="1:35" hidden="1">
      <c r="W124" s="2" t="s">
        <v>137</v>
      </c>
      <c r="X124" s="187">
        <f>SUM(X101,X106,X111)</f>
        <v>0</v>
      </c>
    </row>
    <row r="125" spans="1:35" hidden="1">
      <c r="W125" s="2" t="s">
        <v>132</v>
      </c>
      <c r="X125" s="187">
        <f>SUM(X121:X124)</f>
        <v>980.45740420491575</v>
      </c>
    </row>
    <row r="126" spans="1:35">
      <c r="A126" s="1" t="s">
        <v>140</v>
      </c>
      <c r="C126" s="293">
        <v>2009</v>
      </c>
      <c r="D126" s="293">
        <v>2010</v>
      </c>
      <c r="E126" s="293">
        <v>2011</v>
      </c>
      <c r="F126" s="293">
        <v>2012</v>
      </c>
      <c r="G126" s="293">
        <v>2013</v>
      </c>
      <c r="H126" s="365">
        <v>2014</v>
      </c>
      <c r="I126" s="13">
        <v>2015</v>
      </c>
      <c r="J126" s="13">
        <v>2016</v>
      </c>
      <c r="K126" s="13">
        <v>2017</v>
      </c>
      <c r="L126" s="13">
        <v>2018</v>
      </c>
      <c r="M126" s="13">
        <v>2019</v>
      </c>
      <c r="N126" s="176">
        <v>2020</v>
      </c>
      <c r="O126" s="13">
        <v>2021</v>
      </c>
      <c r="P126" s="13">
        <v>2022</v>
      </c>
      <c r="Q126" s="13">
        <v>2023</v>
      </c>
      <c r="R126" s="13">
        <v>2024</v>
      </c>
      <c r="S126" s="13">
        <v>2025</v>
      </c>
      <c r="T126" s="13">
        <v>2026</v>
      </c>
      <c r="U126" s="13">
        <v>2027</v>
      </c>
      <c r="V126" s="13">
        <v>2028</v>
      </c>
      <c r="W126" s="13">
        <v>2029</v>
      </c>
      <c r="X126" s="176">
        <v>2030</v>
      </c>
      <c r="Y126" s="13">
        <v>2031</v>
      </c>
      <c r="Z126" s="13">
        <v>2032</v>
      </c>
      <c r="AA126" s="13">
        <v>2033</v>
      </c>
      <c r="AB126" s="13">
        <v>2034</v>
      </c>
      <c r="AC126" s="13">
        <v>2035</v>
      </c>
      <c r="AD126" s="13">
        <v>2036</v>
      </c>
      <c r="AE126" s="13">
        <v>2037</v>
      </c>
      <c r="AF126" s="13">
        <v>2038</v>
      </c>
      <c r="AG126" s="13">
        <v>2039</v>
      </c>
      <c r="AH126" s="176">
        <v>2040</v>
      </c>
      <c r="AI126" s="1" t="s">
        <v>0</v>
      </c>
    </row>
    <row r="127" spans="1:35">
      <c r="A127" s="10" t="s">
        <v>61</v>
      </c>
      <c r="B127" s="35">
        <v>0</v>
      </c>
      <c r="C127" s="296">
        <v>0</v>
      </c>
      <c r="D127" s="296">
        <f xml:space="preserve"> IF(D100&gt; 0, D100*Inputs!$H44, 0)</f>
        <v>0</v>
      </c>
      <c r="E127" s="296">
        <f xml:space="preserve"> IF(E100&gt; 0, E100*Inputs!$H44, 0)</f>
        <v>0</v>
      </c>
      <c r="F127" s="296">
        <f xml:space="preserve"> IF(F100&gt; 0, F100*Inputs!$H44, 0)</f>
        <v>0</v>
      </c>
      <c r="G127" s="296">
        <f xml:space="preserve"> IF(G100&gt; 0, G100*Inputs!$H44, 0)</f>
        <v>0</v>
      </c>
      <c r="H127" s="367">
        <f xml:space="preserve"> IF(H100&gt; 0, H100*Inputs!$H44, 0)</f>
        <v>0</v>
      </c>
      <c r="I127" s="14">
        <f xml:space="preserve"> IF(I100&gt; 0, I100*Inputs!$H44, 0)</f>
        <v>0</v>
      </c>
      <c r="J127" s="14">
        <f xml:space="preserve"> IF(J100&gt; 0, J100*Inputs!$H44, 0)</f>
        <v>0</v>
      </c>
      <c r="K127" s="14">
        <f xml:space="preserve"> IF(K100&gt; 0, K100*Inputs!$H44, 0)</f>
        <v>0</v>
      </c>
      <c r="L127" s="14">
        <f xml:space="preserve"> IF(L100&gt; 0, L100*Inputs!$H44, 0)</f>
        <v>0</v>
      </c>
      <c r="M127" s="14">
        <f xml:space="preserve"> IF(M100&gt; 0, M100*Inputs!$H44, 0)</f>
        <v>0</v>
      </c>
      <c r="N127" s="182">
        <f xml:space="preserve"> IF(N100&gt; 0, N100*Inputs!$H44, 0)</f>
        <v>0</v>
      </c>
      <c r="O127" s="14">
        <f xml:space="preserve"> IF(O100&gt; 0, O100*Inputs!$H44, 0)</f>
        <v>0</v>
      </c>
      <c r="P127" s="14">
        <f xml:space="preserve"> IF(P100&gt; 0, P100*Inputs!$H44, 0)</f>
        <v>0</v>
      </c>
      <c r="Q127" s="14">
        <f xml:space="preserve"> IF(Q100&gt; 0, Q100*Inputs!$H44, 0)</f>
        <v>0</v>
      </c>
      <c r="R127" s="14">
        <f xml:space="preserve"> IF(R100&gt; 0, R100*Inputs!$H44, 0)</f>
        <v>0</v>
      </c>
      <c r="S127" s="14">
        <f xml:space="preserve"> IF(S100&gt; 0, S100*Inputs!$H44, 0)</f>
        <v>0</v>
      </c>
      <c r="T127" s="14">
        <f xml:space="preserve"> IF(T100&gt; 0, T100*Inputs!$H44, 0)</f>
        <v>0</v>
      </c>
      <c r="U127" s="14">
        <f xml:space="preserve"> IF(U100&gt; 0, U100*Inputs!$H44, 0)</f>
        <v>0</v>
      </c>
      <c r="V127" s="14">
        <f xml:space="preserve"> IF(V100&gt; 0, V100*Inputs!$H44, 0)</f>
        <v>0</v>
      </c>
      <c r="W127" s="14">
        <f xml:space="preserve"> IF(W100&gt; 0, W100*Inputs!$H44, 0)</f>
        <v>0</v>
      </c>
      <c r="X127" s="187">
        <f xml:space="preserve"> IF(X100&gt; 0, X100*Inputs!$H44, 0)</f>
        <v>0</v>
      </c>
      <c r="Y127" s="158">
        <f xml:space="preserve"> IF(Y100&gt; 0, Y100*Inputs!$H44, 0)</f>
        <v>0</v>
      </c>
      <c r="Z127" s="158">
        <f xml:space="preserve"> IF(Z100&gt; 0, Z100*Inputs!$H44, 0)</f>
        <v>0</v>
      </c>
      <c r="AA127" s="158">
        <f xml:space="preserve"> IF(AA100&gt; 0, AA100*Inputs!$H44, 0)</f>
        <v>0</v>
      </c>
      <c r="AB127" s="158">
        <f xml:space="preserve"> IF(AB100&gt; 0, AB100*Inputs!$H44, 0)</f>
        <v>0</v>
      </c>
      <c r="AC127" s="158">
        <f xml:space="preserve"> IF(AC100&gt; 0, AC100*Inputs!$H44, 0)</f>
        <v>0</v>
      </c>
      <c r="AD127" s="158">
        <f xml:space="preserve"> IF(AD100&gt; 0, AD100*Inputs!$H44, 0)</f>
        <v>0</v>
      </c>
      <c r="AE127" s="158">
        <f xml:space="preserve"> IF(AE100&gt; 0, AE100*Inputs!$H44, 0)</f>
        <v>0</v>
      </c>
      <c r="AF127" s="158">
        <f xml:space="preserve"> IF(AF100&gt; 0, AF100*Inputs!$H44, 0)</f>
        <v>0</v>
      </c>
      <c r="AG127" s="158">
        <f xml:space="preserve"> IF(AG100&gt; 0, AG100*Inputs!$H44, 0)</f>
        <v>0</v>
      </c>
      <c r="AH127" s="187">
        <f xml:space="preserve"> IF(AH100&gt; 0, AH100*Inputs!$H44, 0)</f>
        <v>0</v>
      </c>
    </row>
    <row r="128" spans="1:35">
      <c r="A128" s="10" t="s">
        <v>60</v>
      </c>
      <c r="B128" s="35">
        <v>0</v>
      </c>
      <c r="C128" s="296">
        <f>C101*Inputs!$H47</f>
        <v>0</v>
      </c>
      <c r="D128" s="296">
        <f>D101*Inputs!$H47</f>
        <v>0</v>
      </c>
      <c r="E128" s="296">
        <f>E101*Inputs!$H47</f>
        <v>0</v>
      </c>
      <c r="F128" s="296">
        <f>F101*Inputs!$H47</f>
        <v>0</v>
      </c>
      <c r="G128" s="296">
        <f>G101*Inputs!$H47</f>
        <v>0</v>
      </c>
      <c r="H128" s="367">
        <f>H101*Inputs!$H47</f>
        <v>0</v>
      </c>
      <c r="I128" s="14">
        <f>I101*Inputs!$H47</f>
        <v>0</v>
      </c>
      <c r="J128" s="14">
        <f>J101*Inputs!$H47</f>
        <v>0</v>
      </c>
      <c r="K128" s="14">
        <f>K101*Inputs!$H47</f>
        <v>0</v>
      </c>
      <c r="L128" s="14">
        <f>L101*Inputs!$H47</f>
        <v>0</v>
      </c>
      <c r="M128" s="14">
        <f>M101*Inputs!$H47</f>
        <v>0</v>
      </c>
      <c r="N128" s="182">
        <f>N101*Inputs!$H47</f>
        <v>0</v>
      </c>
      <c r="O128" s="14">
        <f>O101*Inputs!$H47</f>
        <v>0</v>
      </c>
      <c r="P128" s="14">
        <f>P101*Inputs!$H47</f>
        <v>0</v>
      </c>
      <c r="Q128" s="14">
        <f>Q101*Inputs!$H47</f>
        <v>0</v>
      </c>
      <c r="R128" s="14">
        <f>R101*Inputs!$H47</f>
        <v>0</v>
      </c>
      <c r="S128" s="14">
        <f>S101*Inputs!$H47</f>
        <v>0</v>
      </c>
      <c r="T128" s="14">
        <f>T101*Inputs!$H47</f>
        <v>0</v>
      </c>
      <c r="U128" s="14">
        <f>U101*Inputs!$H47</f>
        <v>0</v>
      </c>
      <c r="V128" s="14">
        <f>V101*Inputs!$H47</f>
        <v>0</v>
      </c>
      <c r="W128" s="14">
        <f>W101*Inputs!$H47</f>
        <v>0</v>
      </c>
      <c r="X128" s="187">
        <f>X101*Inputs!$H47</f>
        <v>0</v>
      </c>
      <c r="Y128" s="158">
        <f>Y101*Inputs!$H47</f>
        <v>0</v>
      </c>
      <c r="Z128" s="158">
        <f>Z101*Inputs!$H47</f>
        <v>0</v>
      </c>
      <c r="AA128" s="158">
        <f>AA101*Inputs!$H47</f>
        <v>0</v>
      </c>
      <c r="AB128" s="158">
        <f>AB101*Inputs!$H47</f>
        <v>0</v>
      </c>
      <c r="AC128" s="158">
        <f>AC101*Inputs!$H47</f>
        <v>0</v>
      </c>
      <c r="AD128" s="158">
        <f>AD101*Inputs!$H47</f>
        <v>0</v>
      </c>
      <c r="AE128" s="158">
        <f>AE101*Inputs!$H47</f>
        <v>0</v>
      </c>
      <c r="AF128" s="158">
        <f>AF101*Inputs!$H47</f>
        <v>0</v>
      </c>
      <c r="AG128" s="158">
        <f>AG101*Inputs!$H47</f>
        <v>0</v>
      </c>
      <c r="AH128" s="187">
        <f>AH101*Inputs!$H47</f>
        <v>0</v>
      </c>
    </row>
    <row r="129" spans="1:35">
      <c r="A129" s="10" t="s">
        <v>49</v>
      </c>
      <c r="B129" s="35">
        <v>0</v>
      </c>
      <c r="C129" s="296">
        <f>C102*Inputs!$H48</f>
        <v>566.05364999999995</v>
      </c>
      <c r="D129" s="296">
        <f>D102*Inputs!$H48</f>
        <v>607.62938888525775</v>
      </c>
      <c r="E129" s="296">
        <f>E102*Inputs!$H48</f>
        <v>571.24056025630318</v>
      </c>
      <c r="F129" s="296">
        <f>F102*Inputs!$H48</f>
        <v>549.92178443881733</v>
      </c>
      <c r="G129" s="296">
        <f>G102*Inputs!$H48</f>
        <v>565.55121868803622</v>
      </c>
      <c r="H129" s="367">
        <f>H102*Inputs!$H48</f>
        <v>623.50414820678554</v>
      </c>
      <c r="I129" s="14">
        <f>I102*Inputs!$H48</f>
        <v>623.63564266384719</v>
      </c>
      <c r="J129" s="14">
        <f>J102*Inputs!$H48</f>
        <v>631.46869799108867</v>
      </c>
      <c r="K129" s="14">
        <f>K102*Inputs!$H48</f>
        <v>644.4493456086567</v>
      </c>
      <c r="L129" s="14">
        <f>L102*Inputs!$H48</f>
        <v>650.82932519017129</v>
      </c>
      <c r="M129" s="14">
        <f>M102*Inputs!$H48</f>
        <v>653.96163674641286</v>
      </c>
      <c r="N129" s="182">
        <f>N102*Inputs!$H48</f>
        <v>655.16765818604813</v>
      </c>
      <c r="O129" s="14">
        <f>O102*Inputs!$H48</f>
        <v>656.18933750429153</v>
      </c>
      <c r="P129" s="14">
        <f>P102*Inputs!$H48</f>
        <v>657.15709519821712</v>
      </c>
      <c r="Q129" s="14">
        <f>Q102*Inputs!$H48</f>
        <v>661.19026957093001</v>
      </c>
      <c r="R129" s="14">
        <f>R102*Inputs!$H48</f>
        <v>663.81142521606625</v>
      </c>
      <c r="S129" s="14">
        <f>S102*Inputs!$H48</f>
        <v>667.13722671271046</v>
      </c>
      <c r="T129" s="14">
        <f>T102*Inputs!$H48</f>
        <v>665.28736594489055</v>
      </c>
      <c r="U129" s="14">
        <f>U102*Inputs!$H48</f>
        <v>663.13660137573982</v>
      </c>
      <c r="V129" s="14">
        <f>V102*Inputs!$H48</f>
        <v>661.43660140829252</v>
      </c>
      <c r="W129" s="14">
        <f>W102*Inputs!$H48</f>
        <v>661.46180640071736</v>
      </c>
      <c r="X129" s="187">
        <f>X102*Inputs!$H48</f>
        <v>659.56492422700057</v>
      </c>
      <c r="Y129" s="158">
        <f>Y102*Inputs!$H48</f>
        <v>658.33504658382935</v>
      </c>
      <c r="Z129" s="158">
        <f>Z102*Inputs!$H48</f>
        <v>657.82832689553743</v>
      </c>
      <c r="AA129" s="158">
        <f>AA102*Inputs!$H48</f>
        <v>656.6428331282674</v>
      </c>
      <c r="AB129" s="158">
        <f>AB102*Inputs!$H48</f>
        <v>656.01500281557821</v>
      </c>
      <c r="AC129" s="158">
        <f>AC102*Inputs!$H48</f>
        <v>656.34942324410247</v>
      </c>
      <c r="AD129" s="158">
        <f>AD102*Inputs!$H48</f>
        <v>656.5664259266797</v>
      </c>
      <c r="AE129" s="158">
        <f>AE102*Inputs!$H48</f>
        <v>657.9828986837415</v>
      </c>
      <c r="AF129" s="158">
        <f>AF102*Inputs!$H48</f>
        <v>659.98190401810632</v>
      </c>
      <c r="AG129" s="158">
        <f>AG102*Inputs!$H48</f>
        <v>661.20021815961809</v>
      </c>
      <c r="AH129" s="187">
        <f>AH102*Inputs!$H48</f>
        <v>661.63013620984441</v>
      </c>
    </row>
    <row r="130" spans="1:35">
      <c r="A130" s="10" t="s">
        <v>59</v>
      </c>
      <c r="B130" s="35">
        <v>0</v>
      </c>
      <c r="C130" s="296">
        <f>C103*Inputs!$H53</f>
        <v>1911.4200000000003</v>
      </c>
      <c r="D130" s="296">
        <f>D103*Inputs!$H53</f>
        <v>2049.7590172599034</v>
      </c>
      <c r="E130" s="296">
        <f>E103*Inputs!$H53</f>
        <v>1925.1124605813736</v>
      </c>
      <c r="F130" s="296">
        <f>F103*Inputs!$H53</f>
        <v>1851.477175262396</v>
      </c>
      <c r="G130" s="296">
        <f>G103*Inputs!$H53</f>
        <v>1902.2907628916005</v>
      </c>
      <c r="H130" s="367">
        <f>H103*Inputs!$H53</f>
        <v>1882.0262064085271</v>
      </c>
      <c r="I130" s="14">
        <f>I103*Inputs!$H53</f>
        <v>1915.3142302529993</v>
      </c>
      <c r="J130" s="14">
        <f>J103*Inputs!$H53</f>
        <v>1972.9987605101774</v>
      </c>
      <c r="K130" s="14">
        <f>K103*Inputs!$H53</f>
        <v>2048.2099663284689</v>
      </c>
      <c r="L130" s="14">
        <f>L103*Inputs!$H53</f>
        <v>2103.8269086307409</v>
      </c>
      <c r="M130" s="14">
        <f>M103*Inputs!$H53</f>
        <v>2149.812045637761</v>
      </c>
      <c r="N130" s="182">
        <f>N103*Inputs!$H53</f>
        <v>2190.0583741320311</v>
      </c>
      <c r="O130" s="14">
        <f>O103*Inputs!$H53</f>
        <v>2193.4735875032034</v>
      </c>
      <c r="P130" s="14">
        <f>P103*Inputs!$H53</f>
        <v>2196.7085546375397</v>
      </c>
      <c r="Q130" s="14">
        <f>Q103*Inputs!$H53</f>
        <v>2210.1904278633187</v>
      </c>
      <c r="R130" s="14">
        <f>R103*Inputs!$H53</f>
        <v>2218.9522826325665</v>
      </c>
      <c r="S130" s="14">
        <f>S103*Inputs!$H53</f>
        <v>2230.0695887563043</v>
      </c>
      <c r="T130" s="14">
        <f>T103*Inputs!$H53</f>
        <v>2223.8859760353112</v>
      </c>
      <c r="U130" s="14">
        <f>U103*Inputs!$H53</f>
        <v>2216.6965186550487</v>
      </c>
      <c r="V130" s="14">
        <f>V103*Inputs!$H53</f>
        <v>2211.0138523661781</v>
      </c>
      <c r="W130" s="14">
        <f>W103*Inputs!$H53</f>
        <v>2211.0981062270644</v>
      </c>
      <c r="X130" s="187">
        <f>X103*Inputs!$H53</f>
        <v>2204.7573129394464</v>
      </c>
      <c r="Y130" s="158">
        <f>Y103*Inputs!$H53</f>
        <v>2200.6461456711445</v>
      </c>
      <c r="Z130" s="158">
        <f>Z103*Inputs!$H53</f>
        <v>2198.9523109972019</v>
      </c>
      <c r="AA130" s="158">
        <f>AA103*Inputs!$H53</f>
        <v>2194.9895077054775</v>
      </c>
      <c r="AB130" s="158">
        <f>AB103*Inputs!$H53</f>
        <v>2192.8908311046739</v>
      </c>
      <c r="AC130" s="158">
        <f>AC103*Inputs!$H53</f>
        <v>2194.0087132998938</v>
      </c>
      <c r="AD130" s="158">
        <f>AD103*Inputs!$H53</f>
        <v>2194.7340979190053</v>
      </c>
      <c r="AE130" s="158">
        <f>AE103*Inputs!$H53</f>
        <v>2199.4690050600607</v>
      </c>
      <c r="AF130" s="158">
        <f>AF103*Inputs!$H53</f>
        <v>2206.1511700261726</v>
      </c>
      <c r="AG130" s="158">
        <f>AG103*Inputs!$H53</f>
        <v>2210.2236834578171</v>
      </c>
      <c r="AH130" s="187">
        <f>AH103*Inputs!$H53</f>
        <v>2211.6607898447442</v>
      </c>
    </row>
    <row r="131" spans="1:35">
      <c r="A131" s="10" t="s">
        <v>121</v>
      </c>
      <c r="B131" s="35">
        <v>1</v>
      </c>
      <c r="C131" s="295">
        <f>Inputs!$H46*'Output -Jobs vs Yr'!C104</f>
        <v>288.98099999999999</v>
      </c>
      <c r="D131" s="295">
        <f>Inputs!$H46*'Output -Jobs vs Yr'!D104</f>
        <v>368.96983776626803</v>
      </c>
      <c r="E131" s="295">
        <f>Inputs!$H46*'Output -Jobs vs Yr'!E104</f>
        <v>412.61839616915057</v>
      </c>
      <c r="F131" s="295">
        <f>Inputs!$H46*'Output -Jobs vs Yr'!F104</f>
        <v>472.5462391005367</v>
      </c>
      <c r="G131" s="295">
        <f>Inputs!$H46*'Output -Jobs vs Yr'!G104</f>
        <v>578.1824303553791</v>
      </c>
      <c r="H131" s="251">
        <f>Inputs!$H46*'Output -Jobs vs Yr'!H104</f>
        <v>342.30523581655484</v>
      </c>
      <c r="I131" s="40">
        <f>Inputs!$H46*'Output -Jobs vs Yr'!I104</f>
        <v>413.01785394785441</v>
      </c>
      <c r="J131" s="40">
        <f>Inputs!$H46*'Output -Jobs vs Yr'!J104</f>
        <v>504.50278013022654</v>
      </c>
      <c r="K131" s="40">
        <f>Inputs!$H46*'Output -Jobs vs Yr'!K104</f>
        <v>621.13299232300869</v>
      </c>
      <c r="L131" s="40">
        <f>Inputs!$H46*'Output -Jobs vs Yr'!L104</f>
        <v>756.75854617297557</v>
      </c>
      <c r="M131" s="40">
        <f>Inputs!$H46*'Output -Jobs vs Yr'!M104</f>
        <v>917.37592826403989</v>
      </c>
      <c r="N131" s="177">
        <f>Inputs!$H46*'Output -Jobs vs Yr'!N104</f>
        <v>1108.824736495465</v>
      </c>
      <c r="O131" s="40">
        <f>Inputs!$H46*'Output -Jobs vs Yr'!O104</f>
        <v>1157.3605042576194</v>
      </c>
      <c r="P131" s="40">
        <f>Inputs!$H46*'Output -Jobs vs Yr'!P104</f>
        <v>1207.9897251724985</v>
      </c>
      <c r="Q131" s="40">
        <f>Inputs!$H46*'Output -Jobs vs Yr'!Q104</f>
        <v>1266.779295045347</v>
      </c>
      <c r="R131" s="40">
        <f>Inputs!$H46*'Output -Jobs vs Yr'!R104</f>
        <v>1325.6412440755439</v>
      </c>
      <c r="S131" s="40">
        <f>Inputs!$H46*'Output -Jobs vs Yr'!S104</f>
        <v>1388.7688746596882</v>
      </c>
      <c r="T131" s="40">
        <f>Inputs!$H46*'Output -Jobs vs Yr'!T104</f>
        <v>1443.725898123346</v>
      </c>
      <c r="U131" s="40">
        <f>Inputs!$H46*'Output -Jobs vs Yr'!U104</f>
        <v>1500.2607031247896</v>
      </c>
      <c r="V131" s="40">
        <f>Inputs!$H46*'Output -Jobs vs Yr'!V104</f>
        <v>1560.1568374793005</v>
      </c>
      <c r="W131" s="40">
        <f>Inputs!$H46*'Output -Jobs vs Yr'!W104</f>
        <v>1626.7829110739451</v>
      </c>
      <c r="X131" s="184">
        <f>Inputs!$H46*'Output -Jobs vs Yr'!X104</f>
        <v>1691.4382009488686</v>
      </c>
      <c r="Y131" s="236">
        <f>Inputs!$H46*'Output -Jobs vs Yr'!Y104</f>
        <v>1756.686082939571</v>
      </c>
      <c r="Z131" s="236">
        <f>Inputs!$H46*'Output -Jobs vs Yr'!Z104</f>
        <v>1826.48246293169</v>
      </c>
      <c r="AA131" s="236">
        <f>Inputs!$H46*'Output -Jobs vs Yr'!AA104</f>
        <v>1897.1213079370989</v>
      </c>
      <c r="AB131" s="236">
        <f>Inputs!$H46*'Output -Jobs vs Yr'!AB104</f>
        <v>1972.1951593331405</v>
      </c>
      <c r="AC131" s="236">
        <f>Inputs!$H46*'Output -Jobs vs Yr'!AC104</f>
        <v>2053.2828232657307</v>
      </c>
      <c r="AD131" s="236">
        <f>Inputs!$H46*'Output -Jobs vs Yr'!AD104</f>
        <v>2137.3580078223613</v>
      </c>
      <c r="AE131" s="236">
        <f>Inputs!$H46*'Output -Jobs vs Yr'!AE104</f>
        <v>2228.9770202795635</v>
      </c>
      <c r="AF131" s="236">
        <f>Inputs!$H46*'Output -Jobs vs Yr'!AF104</f>
        <v>2326.6063314941366</v>
      </c>
      <c r="AG131" s="236">
        <f>Inputs!$H46*'Output -Jobs vs Yr'!AG104</f>
        <v>2425.6678463857365</v>
      </c>
      <c r="AH131" s="184">
        <f>Inputs!$H46*'Output -Jobs vs Yr'!AH104</f>
        <v>2525.9731114839738</v>
      </c>
    </row>
    <row r="132" spans="1:35">
      <c r="A132" s="10" t="s">
        <v>50</v>
      </c>
      <c r="B132" s="35">
        <v>1</v>
      </c>
      <c r="C132" s="296">
        <f>C105*Inputs!$H49</f>
        <v>0</v>
      </c>
      <c r="D132" s="296">
        <f>D105*Inputs!$H49</f>
        <v>0</v>
      </c>
      <c r="E132" s="296">
        <f>E105*Inputs!$H49</f>
        <v>9.0267367500000001E-4</v>
      </c>
      <c r="F132" s="296">
        <f>F105*Inputs!$H49</f>
        <v>8.4559477500000002E-4</v>
      </c>
      <c r="G132" s="296">
        <f>G105*Inputs!$H49</f>
        <v>9.2453715000000007E-4</v>
      </c>
      <c r="H132" s="367">
        <f>H105*Inputs!$H49</f>
        <v>9.2454074999999988E-4</v>
      </c>
      <c r="I132" s="14">
        <f>I105*Inputs!$H49</f>
        <v>1.0923766414155927E-3</v>
      </c>
      <c r="J132" s="14">
        <f>J105*Inputs!$H49</f>
        <v>1.3066467914576939E-3</v>
      </c>
      <c r="K132" s="14">
        <f>K105*Inputs!$H49</f>
        <v>1.5753255031580472E-3</v>
      </c>
      <c r="L132" s="14">
        <f>L105*Inputs!$H49</f>
        <v>1.8794643981718542E-3</v>
      </c>
      <c r="M132" s="14">
        <f>M105*Inputs!$H49</f>
        <v>2.231080152691928E-3</v>
      </c>
      <c r="N132" s="182">
        <f>N105*Inputs!$H49</f>
        <v>2.6407166393273762E-3</v>
      </c>
      <c r="O132" s="14">
        <f>O105*Inputs!$H49</f>
        <v>2.7563067820375224E-3</v>
      </c>
      <c r="P132" s="14">
        <f>P105*Inputs!$H49</f>
        <v>2.8768825788299582E-3</v>
      </c>
      <c r="Q132" s="14">
        <f>Q105*Inputs!$H49</f>
        <v>3.0168926185345194E-3</v>
      </c>
      <c r="R132" s="14">
        <f>R105*Inputs!$H49</f>
        <v>3.157075032500639E-3</v>
      </c>
      <c r="S132" s="14">
        <f>S105*Inputs!$H49</f>
        <v>3.3074163614754408E-3</v>
      </c>
      <c r="T132" s="14">
        <f>T105*Inputs!$H49</f>
        <v>3.4382990172566138E-3</v>
      </c>
      <c r="U132" s="14">
        <f>U105*Inputs!$H49</f>
        <v>3.5729392316698437E-3</v>
      </c>
      <c r="V132" s="14">
        <f>V105*Inputs!$H49</f>
        <v>3.7155846051138458E-3</v>
      </c>
      <c r="W132" s="14">
        <f>W105*Inputs!$H49</f>
        <v>3.8742576355428964E-3</v>
      </c>
      <c r="X132" s="187">
        <f>X105*Inputs!$H49</f>
        <v>4.0282371547344237E-3</v>
      </c>
      <c r="Y132" s="158">
        <f>Y105*Inputs!$H49</f>
        <v>4.1836279590542211E-3</v>
      </c>
      <c r="Z132" s="158">
        <f>Z105*Inputs!$H49</f>
        <v>4.3498512186403489E-3</v>
      </c>
      <c r="AA132" s="158">
        <f>AA105*Inputs!$H49</f>
        <v>4.5180808470469238E-3</v>
      </c>
      <c r="AB132" s="158">
        <f>AB105*Inputs!$H49</f>
        <v>4.6968726452769147E-3</v>
      </c>
      <c r="AC132" s="158">
        <f>AC105*Inputs!$H49</f>
        <v>4.8899866121133251E-3</v>
      </c>
      <c r="AD132" s="158">
        <f>AD105*Inputs!$H49</f>
        <v>5.0902154954577958E-3</v>
      </c>
      <c r="AE132" s="158">
        <f>AE105*Inputs!$H49</f>
        <v>5.3084103487212137E-3</v>
      </c>
      <c r="AF132" s="158">
        <f>AF105*Inputs!$H49</f>
        <v>5.5409190023658203E-3</v>
      </c>
      <c r="AG132" s="158">
        <f>AG105*Inputs!$H49</f>
        <v>5.7768385143330686E-3</v>
      </c>
      <c r="AH132" s="187">
        <f>AH105*Inputs!$H49</f>
        <v>6.0157200740953674E-3</v>
      </c>
    </row>
    <row r="133" spans="1:35">
      <c r="A133" s="10" t="s">
        <v>119</v>
      </c>
      <c r="B133" s="35">
        <v>1</v>
      </c>
      <c r="C133" s="296">
        <f>C106*Inputs!$H50</f>
        <v>0</v>
      </c>
      <c r="D133" s="296">
        <f>D106*Inputs!$H50</f>
        <v>0</v>
      </c>
      <c r="E133" s="296">
        <f>E106*Inputs!$H50</f>
        <v>0</v>
      </c>
      <c r="F133" s="296">
        <f>F106*Inputs!$H50</f>
        <v>0</v>
      </c>
      <c r="G133" s="296">
        <f>G106*Inputs!$H50</f>
        <v>0</v>
      </c>
      <c r="H133" s="367">
        <f>H106*Inputs!$H50</f>
        <v>0</v>
      </c>
      <c r="I133" s="14">
        <f>I106*Inputs!$H50</f>
        <v>0</v>
      </c>
      <c r="J133" s="14">
        <f>J106*Inputs!$H50</f>
        <v>0</v>
      </c>
      <c r="K133" s="14">
        <f>K106*Inputs!$H50</f>
        <v>0</v>
      </c>
      <c r="L133" s="14">
        <f>L106*Inputs!$H50</f>
        <v>0</v>
      </c>
      <c r="M133" s="14">
        <f>M106*Inputs!$H50</f>
        <v>0</v>
      </c>
      <c r="N133" s="182">
        <f>N106*Inputs!$H50</f>
        <v>0</v>
      </c>
      <c r="O133" s="14">
        <f>O106*Inputs!$H50</f>
        <v>0</v>
      </c>
      <c r="P133" s="14">
        <f>P106*Inputs!$H50</f>
        <v>0</v>
      </c>
      <c r="Q133" s="14">
        <f>Q106*Inputs!$H50</f>
        <v>0</v>
      </c>
      <c r="R133" s="14">
        <f>R106*Inputs!$H50</f>
        <v>0</v>
      </c>
      <c r="S133" s="14">
        <f>S106*Inputs!$H50</f>
        <v>0</v>
      </c>
      <c r="T133" s="14">
        <f>T106*Inputs!$H50</f>
        <v>0</v>
      </c>
      <c r="U133" s="14">
        <f>U106*Inputs!$H50</f>
        <v>0</v>
      </c>
      <c r="V133" s="14">
        <f>V106*Inputs!$H50</f>
        <v>0</v>
      </c>
      <c r="W133" s="14">
        <f>W106*Inputs!$H50</f>
        <v>0</v>
      </c>
      <c r="X133" s="187">
        <f>X106*Inputs!$H50</f>
        <v>0</v>
      </c>
      <c r="Y133" s="158">
        <f>Y106*Inputs!$H50</f>
        <v>0</v>
      </c>
      <c r="Z133" s="158">
        <f>Z106*Inputs!$H50</f>
        <v>0</v>
      </c>
      <c r="AA133" s="158">
        <f>AA106*Inputs!$H50</f>
        <v>0</v>
      </c>
      <c r="AB133" s="158">
        <f>AB106*Inputs!$H50</f>
        <v>0</v>
      </c>
      <c r="AC133" s="158">
        <f>AC106*Inputs!$H50</f>
        <v>0</v>
      </c>
      <c r="AD133" s="158">
        <f>AD106*Inputs!$H50</f>
        <v>0</v>
      </c>
      <c r="AE133" s="158">
        <f>AE106*Inputs!$H50</f>
        <v>0</v>
      </c>
      <c r="AF133" s="158">
        <f>AF106*Inputs!$H50</f>
        <v>0</v>
      </c>
      <c r="AG133" s="158">
        <f>AG106*Inputs!$H50</f>
        <v>0</v>
      </c>
      <c r="AH133" s="187">
        <f>AH106*Inputs!$H50</f>
        <v>0</v>
      </c>
    </row>
    <row r="134" spans="1:35">
      <c r="A134" s="10" t="s">
        <v>51</v>
      </c>
      <c r="B134" s="35">
        <v>1</v>
      </c>
      <c r="C134" s="296">
        <f>C107*Inputs!$H52</f>
        <v>4.59</v>
      </c>
      <c r="D134" s="296">
        <f>D107*Inputs!$H52</f>
        <v>5.6341929599144436</v>
      </c>
      <c r="E134" s="296">
        <f>E107*Inputs!$H52</f>
        <v>8.932609006153168</v>
      </c>
      <c r="F134" s="296">
        <f>F107*Inputs!$H52</f>
        <v>9.2493162550078001</v>
      </c>
      <c r="G134" s="296">
        <f>G107*Inputs!$H52</f>
        <v>7.8450932089079295</v>
      </c>
      <c r="H134" s="367">
        <f>H107*Inputs!$H52</f>
        <v>8.0950858335655838</v>
      </c>
      <c r="I134" s="14">
        <f>I107*Inputs!$H52</f>
        <v>9.3901860497809473</v>
      </c>
      <c r="J134" s="14">
        <f>J107*Inputs!$H52</f>
        <v>11.027228924362975</v>
      </c>
      <c r="K134" s="14">
        <f>K107*Inputs!$H52</f>
        <v>13.052234870629599</v>
      </c>
      <c r="L134" s="14">
        <f>L107*Inputs!$H52</f>
        <v>15.288154809256664</v>
      </c>
      <c r="M134" s="14">
        <f>M107*Inputs!$H52</f>
        <v>17.817326281728793</v>
      </c>
      <c r="N134" s="182">
        <f>N107*Inputs!$H52</f>
        <v>20.704061752267947</v>
      </c>
      <c r="O134" s="14">
        <f>O107*Inputs!$H52</f>
        <v>21.610325384262126</v>
      </c>
      <c r="P134" s="14">
        <f>P107*Inputs!$H52</f>
        <v>22.555678136405714</v>
      </c>
      <c r="Q134" s="14">
        <f>Q107*Inputs!$H52</f>
        <v>23.653401559210781</v>
      </c>
      <c r="R134" s="14">
        <f>R107*Inputs!$H52</f>
        <v>24.752476451273335</v>
      </c>
      <c r="S134" s="14">
        <f>S107*Inputs!$H52</f>
        <v>25.931200481203771</v>
      </c>
      <c r="T134" s="14">
        <f>T107*Inputs!$H52</f>
        <v>26.957362299264055</v>
      </c>
      <c r="U134" s="14">
        <f>U107*Inputs!$H52</f>
        <v>28.012984576957628</v>
      </c>
      <c r="V134" s="14">
        <f>V107*Inputs!$H52</f>
        <v>29.131369857860854</v>
      </c>
      <c r="W134" s="14">
        <f>W107*Inputs!$H52</f>
        <v>30.375417087880702</v>
      </c>
      <c r="X134" s="187">
        <f>X107*Inputs!$H52</f>
        <v>31.582665690948534</v>
      </c>
      <c r="Y134" s="158">
        <f>Y107*Inputs!$H52</f>
        <v>32.800979220108992</v>
      </c>
      <c r="Z134" s="158">
        <f>Z107*Inputs!$H52</f>
        <v>34.104222657849078</v>
      </c>
      <c r="AA134" s="158">
        <f>AA107*Inputs!$H52</f>
        <v>35.423196667865533</v>
      </c>
      <c r="AB134" s="158">
        <f>AB107*Inputs!$H52</f>
        <v>36.824981462274827</v>
      </c>
      <c r="AC134" s="158">
        <f>AC107*Inputs!$H52</f>
        <v>38.339056632272957</v>
      </c>
      <c r="AD134" s="158">
        <f>AD107*Inputs!$H52</f>
        <v>39.908915019808049</v>
      </c>
      <c r="AE134" s="158">
        <f>AE107*Inputs!$H52</f>
        <v>41.619632348852306</v>
      </c>
      <c r="AF134" s="158">
        <f>AF107*Inputs!$H52</f>
        <v>43.442574443927207</v>
      </c>
      <c r="AG134" s="158">
        <f>AG107*Inputs!$H52</f>
        <v>45.292258757492547</v>
      </c>
      <c r="AH134" s="187">
        <f>AH107*Inputs!$H52</f>
        <v>47.165166471686568</v>
      </c>
    </row>
    <row r="135" spans="1:35">
      <c r="A135" s="9" t="s">
        <v>347</v>
      </c>
      <c r="B135" s="35">
        <v>1</v>
      </c>
      <c r="C135" s="296">
        <f>C108*Inputs!$H54</f>
        <v>0</v>
      </c>
      <c r="D135" s="296">
        <f>D108*Inputs!$H54</f>
        <v>0</v>
      </c>
      <c r="E135" s="296">
        <f>E108*Inputs!$H54</f>
        <v>0.14220000000000002</v>
      </c>
      <c r="F135" s="296">
        <f>F108*Inputs!$H54</f>
        <v>0.14220000000000002</v>
      </c>
      <c r="G135" s="296">
        <f>G108*Inputs!$H54</f>
        <v>0.14220000000000002</v>
      </c>
      <c r="H135" s="367">
        <f>H108*Inputs!$H54</f>
        <v>0.14220000000000002</v>
      </c>
      <c r="I135" s="14">
        <f>I108*Inputs!$H54</f>
        <v>0.16307689600844968</v>
      </c>
      <c r="J135" s="14">
        <f>J108*Inputs!$H54</f>
        <v>0.18933230885637259</v>
      </c>
      <c r="K135" s="14">
        <f>K108*Inputs!$H54</f>
        <v>0.2215559009845551</v>
      </c>
      <c r="L135" s="14">
        <f>L108*Inputs!$H54</f>
        <v>0.25656275726511713</v>
      </c>
      <c r="M135" s="14">
        <f>M108*Inputs!$H54</f>
        <v>0.29561139893439237</v>
      </c>
      <c r="N135" s="182">
        <f>N108*Inputs!$H54</f>
        <v>0.3396051745078939</v>
      </c>
      <c r="O135" s="14">
        <f>O108*Inputs!$H54</f>
        <v>0.35447046145381578</v>
      </c>
      <c r="P135" s="14">
        <f>P108*Inputs!$H54</f>
        <v>0.36997692053439074</v>
      </c>
      <c r="Q135" s="14">
        <f>Q108*Inputs!$H54</f>
        <v>0.38798268959669946</v>
      </c>
      <c r="R135" s="14">
        <f>R108*Inputs!$H54</f>
        <v>0.4060106265774836</v>
      </c>
      <c r="S135" s="14">
        <f>S108*Inputs!$H54</f>
        <v>0.4253450347081647</v>
      </c>
      <c r="T135" s="14">
        <f>T108*Inputs!$H54</f>
        <v>0.44217699103951241</v>
      </c>
      <c r="U135" s="14">
        <f>U108*Inputs!$H54</f>
        <v>0.45949218223822874</v>
      </c>
      <c r="V135" s="14">
        <f>V108*Inputs!$H54</f>
        <v>0.47783686421574417</v>
      </c>
      <c r="W135" s="14">
        <f>W108*Inputs!$H54</f>
        <v>0.49824275759561076</v>
      </c>
      <c r="X135" s="187">
        <f>X108*Inputs!$H54</f>
        <v>0.51804504940795748</v>
      </c>
      <c r="Y135" s="158">
        <f>Y108*Inputs!$H54</f>
        <v>0.53802883730554441</v>
      </c>
      <c r="Z135" s="158">
        <f>Z108*Inputs!$H54</f>
        <v>0.55940571592944566</v>
      </c>
      <c r="AA135" s="158">
        <f>AA108*Inputs!$H54</f>
        <v>0.58104062043285531</v>
      </c>
      <c r="AB135" s="158">
        <f>AB108*Inputs!$H54</f>
        <v>0.60403385603193949</v>
      </c>
      <c r="AC135" s="158">
        <f>AC108*Inputs!$H54</f>
        <v>0.62886897140580844</v>
      </c>
      <c r="AD135" s="158">
        <f>AD108*Inputs!$H54</f>
        <v>0.65461908933100921</v>
      </c>
      <c r="AE135" s="158">
        <f>AE108*Inputs!$H54</f>
        <v>0.68267969231873515</v>
      </c>
      <c r="AF135" s="158">
        <f>AF108*Inputs!$H54</f>
        <v>0.71258109889891419</v>
      </c>
      <c r="AG135" s="158">
        <f>AG108*Inputs!$H54</f>
        <v>0.74292115350313037</v>
      </c>
      <c r="AH135" s="187">
        <f>AH108*Inputs!$H54</f>
        <v>0.77364213756541766</v>
      </c>
    </row>
    <row r="136" spans="1:35">
      <c r="A136" s="9" t="s">
        <v>348</v>
      </c>
      <c r="B136" s="35">
        <v>1</v>
      </c>
      <c r="C136" s="296">
        <f>C109*Inputs!$H55</f>
        <v>0</v>
      </c>
      <c r="D136" s="296">
        <f>D109*Inputs!$H55</f>
        <v>0</v>
      </c>
      <c r="E136" s="296">
        <f>E109*Inputs!$H55</f>
        <v>2.0700000000000003E-2</v>
      </c>
      <c r="F136" s="296">
        <f>F109*Inputs!$H55</f>
        <v>2.0700000000000003E-2</v>
      </c>
      <c r="G136" s="296">
        <f>G109*Inputs!$H55</f>
        <v>2.0700000000000003E-2</v>
      </c>
      <c r="H136" s="367">
        <f>H109*Inputs!$H55</f>
        <v>2.0700000000000003E-2</v>
      </c>
      <c r="I136" s="14">
        <f>I109*Inputs!$H55</f>
        <v>2.3739041824014828E-2</v>
      </c>
      <c r="J136" s="14">
        <f>J109*Inputs!$H55</f>
        <v>2.7561032301877019E-2</v>
      </c>
      <c r="K136" s="14">
        <f>K109*Inputs!$H55</f>
        <v>3.2251808371169415E-2</v>
      </c>
      <c r="L136" s="14">
        <f>L109*Inputs!$H55</f>
        <v>3.7347743146187933E-2</v>
      </c>
      <c r="M136" s="14">
        <f>M109*Inputs!$H55</f>
        <v>4.3032039085386227E-2</v>
      </c>
      <c r="N136" s="187">
        <f>N109*Inputs!$H55</f>
        <v>4.9436196289123796E-2</v>
      </c>
      <c r="O136" s="14">
        <f>O109*Inputs!$H55</f>
        <v>5.1600130464795967E-2</v>
      </c>
      <c r="P136" s="14">
        <f>P109*Inputs!$H55</f>
        <v>5.3857399824626499E-2</v>
      </c>
      <c r="Q136" s="14">
        <f>Q109*Inputs!$H55</f>
        <v>5.6478492789392966E-2</v>
      </c>
      <c r="R136" s="14">
        <f>R109*Inputs!$H55</f>
        <v>5.9102812729633677E-2</v>
      </c>
      <c r="S136" s="14">
        <f>S109*Inputs!$H55</f>
        <v>6.1917315179036626E-2</v>
      </c>
      <c r="T136" s="14">
        <f>T109*Inputs!$H55</f>
        <v>6.436753667030877E-2</v>
      </c>
      <c r="U136" s="14">
        <f>U109*Inputs!$H55</f>
        <v>6.6888102477716843E-2</v>
      </c>
      <c r="V136" s="14">
        <f>V109*Inputs!$H55</f>
        <v>6.955853086684885E-2</v>
      </c>
      <c r="W136" s="14">
        <f>W109*Inputs!$H55</f>
        <v>7.2529009017082577E-2</v>
      </c>
      <c r="X136" s="187">
        <f>X109*Inputs!$H55</f>
        <v>7.5411621116348235E-2</v>
      </c>
      <c r="Y136" s="158">
        <f>Y109*Inputs!$H55</f>
        <v>7.8320653531819745E-2</v>
      </c>
      <c r="Z136" s="158">
        <f>Z109*Inputs!$H55</f>
        <v>8.1432477635299053E-2</v>
      </c>
      <c r="AA136" s="158">
        <f>AA109*Inputs!$H55</f>
        <v>8.4581862468073893E-2</v>
      </c>
      <c r="AB136" s="158">
        <f>AB109*Inputs!$H55</f>
        <v>8.7928979042624089E-2</v>
      </c>
      <c r="AC136" s="158">
        <f>AC109*Inputs!$H55</f>
        <v>9.1544217356541752E-2</v>
      </c>
      <c r="AD136" s="158">
        <f>AD109*Inputs!$H55</f>
        <v>9.5292652244387419E-2</v>
      </c>
      <c r="AE136" s="158">
        <f>AE109*Inputs!$H55</f>
        <v>9.9377423565385495E-2</v>
      </c>
      <c r="AF136" s="158">
        <f>AF109*Inputs!$H55</f>
        <v>0.10373015996629763</v>
      </c>
      <c r="AG136" s="158">
        <f>AG109*Inputs!$H55</f>
        <v>0.10814675019349365</v>
      </c>
      <c r="AH136" s="187">
        <f>AH109*Inputs!$H55</f>
        <v>0.11261879217724435</v>
      </c>
    </row>
    <row r="137" spans="1:35">
      <c r="A137" s="9" t="s">
        <v>344</v>
      </c>
      <c r="B137" s="35">
        <v>1</v>
      </c>
      <c r="C137" s="296">
        <f>C110*Inputs!$H56</f>
        <v>2.16E-3</v>
      </c>
      <c r="D137" s="296">
        <f>D110*Inputs!$H56</f>
        <v>2.6212767972173712E-3</v>
      </c>
      <c r="E137" s="296">
        <f>E110*Inputs!$H56</f>
        <v>2.7861735247365223E-3</v>
      </c>
      <c r="F137" s="296">
        <f>F110*Inputs!$H56</f>
        <v>3.0327837325300018E-3</v>
      </c>
      <c r="G137" s="296">
        <f>G110*Inputs!$H56</f>
        <v>3.5269522309457936E-3</v>
      </c>
      <c r="H137" s="367">
        <f>H110*Inputs!$H56</f>
        <v>2.16E-3</v>
      </c>
      <c r="I137" s="14">
        <f>I110*Inputs!$H56</f>
        <v>2.4771174077232866E-3</v>
      </c>
      <c r="J137" s="14">
        <f>J110*Inputs!$H56</f>
        <v>2.8759338054132541E-3</v>
      </c>
      <c r="K137" s="14">
        <f>K110*Inputs!$H56</f>
        <v>3.3654060909046341E-3</v>
      </c>
      <c r="L137" s="14">
        <f>L110*Inputs!$H56</f>
        <v>3.8971558065587402E-3</v>
      </c>
      <c r="M137" s="14">
        <f>M110*Inputs!$H56</f>
        <v>4.4902997306489984E-3</v>
      </c>
      <c r="N137" s="187">
        <f>N110*Inputs!$H56</f>
        <v>5.1585596127781356E-3</v>
      </c>
      <c r="O137" s="14">
        <f>O110*Inputs!$H56</f>
        <v>5.3843614398047957E-3</v>
      </c>
      <c r="P137" s="14">
        <f>P110*Inputs!$H56</f>
        <v>5.6199025903958082E-3</v>
      </c>
      <c r="Q137" s="14">
        <f>Q110*Inputs!$H56</f>
        <v>5.8934079432410059E-3</v>
      </c>
      <c r="R137" s="14">
        <f>R110*Inputs!$H56</f>
        <v>6.1672500239617761E-3</v>
      </c>
      <c r="S137" s="14">
        <f>S110*Inputs!$H56</f>
        <v>6.4609372360733873E-3</v>
      </c>
      <c r="T137" s="14">
        <f>T110*Inputs!$H56</f>
        <v>6.7166125221191772E-3</v>
      </c>
      <c r="U137" s="14">
        <f>U110*Inputs!$H56</f>
        <v>6.9796280846313235E-3</v>
      </c>
      <c r="V137" s="14">
        <f>V110*Inputs!$H56</f>
        <v>7.2582814817581422E-3</v>
      </c>
      <c r="W137" s="14">
        <f>W110*Inputs!$H56</f>
        <v>7.5682444191738363E-3</v>
      </c>
      <c r="X137" s="187">
        <f>X110*Inputs!$H56</f>
        <v>7.8690387251841628E-3</v>
      </c>
      <c r="Y137" s="158">
        <f>Y110*Inputs!$H56</f>
        <v>8.1725899337551054E-3</v>
      </c>
      <c r="Z137" s="158">
        <f>Z110*Inputs!$H56</f>
        <v>8.4973020141181615E-3</v>
      </c>
      <c r="AA137" s="158">
        <f>AA110*Inputs!$H56</f>
        <v>8.8259334749294493E-3</v>
      </c>
      <c r="AB137" s="158">
        <f>AB110*Inputs!$H56</f>
        <v>9.1751978131433837E-3</v>
      </c>
      <c r="AC137" s="158">
        <f>AC110*Inputs!$H56</f>
        <v>9.5524400719869638E-3</v>
      </c>
      <c r="AD137" s="158">
        <f>AD110*Inputs!$H56</f>
        <v>9.9435811037621637E-3</v>
      </c>
      <c r="AE137" s="158">
        <f>AE110*Inputs!$H56</f>
        <v>1.0369818111170661E-2</v>
      </c>
      <c r="AF137" s="158">
        <f>AF110*Inputs!$H56</f>
        <v>1.0824016692135405E-2</v>
      </c>
      <c r="AG137" s="158">
        <f>AG110*Inputs!$H56</f>
        <v>1.1284878281060208E-2</v>
      </c>
      <c r="AH137" s="187">
        <f>AH110*Inputs!$H56</f>
        <v>1.1751526140234192E-2</v>
      </c>
    </row>
    <row r="138" spans="1:35">
      <c r="A138" s="10" t="s">
        <v>120</v>
      </c>
      <c r="B138" s="35">
        <v>1</v>
      </c>
      <c r="C138" s="296">
        <f>C111*Inputs!$H56</f>
        <v>0</v>
      </c>
      <c r="D138" s="296">
        <f>D111*Inputs!$H56</f>
        <v>0</v>
      </c>
      <c r="E138" s="296">
        <f>E111*Inputs!$H56</f>
        <v>0</v>
      </c>
      <c r="F138" s="296">
        <f>F111*Inputs!$H56</f>
        <v>0</v>
      </c>
      <c r="G138" s="296">
        <f>G111*Inputs!$H56</f>
        <v>0</v>
      </c>
      <c r="H138" s="367">
        <f>H111*Inputs!$H56</f>
        <v>0</v>
      </c>
      <c r="I138" s="14">
        <f>I111*Inputs!$H56</f>
        <v>0</v>
      </c>
      <c r="J138" s="14">
        <f>J111*Inputs!$H56</f>
        <v>0</v>
      </c>
      <c r="K138" s="14">
        <f>K111*Inputs!$H56</f>
        <v>0</v>
      </c>
      <c r="L138" s="14">
        <f>L111*Inputs!$H56</f>
        <v>0</v>
      </c>
      <c r="M138" s="14">
        <f>M111*Inputs!$H56</f>
        <v>0</v>
      </c>
      <c r="N138" s="182">
        <f>N111*Inputs!$H56</f>
        <v>0</v>
      </c>
      <c r="O138" s="14">
        <f>O111*Inputs!$H56</f>
        <v>0</v>
      </c>
      <c r="P138" s="14">
        <f>P111*Inputs!$H56</f>
        <v>0</v>
      </c>
      <c r="Q138" s="14">
        <f>Q111*Inputs!$H56</f>
        <v>0</v>
      </c>
      <c r="R138" s="14">
        <f>R111*Inputs!$H56</f>
        <v>0</v>
      </c>
      <c r="S138" s="14">
        <f>S111*Inputs!$H56</f>
        <v>0</v>
      </c>
      <c r="T138" s="14">
        <f>T111*Inputs!$H56</f>
        <v>0</v>
      </c>
      <c r="U138" s="14">
        <f>U111*Inputs!$H56</f>
        <v>0</v>
      </c>
      <c r="V138" s="14">
        <f>V111*Inputs!$H56</f>
        <v>0</v>
      </c>
      <c r="W138" s="14">
        <f>W111*Inputs!$H56</f>
        <v>0</v>
      </c>
      <c r="X138" s="187">
        <f>X111*Inputs!$H56</f>
        <v>0</v>
      </c>
      <c r="Y138" s="158">
        <f>Y111*Inputs!$H56</f>
        <v>0</v>
      </c>
      <c r="Z138" s="158">
        <f>Z111*Inputs!$H56</f>
        <v>0</v>
      </c>
      <c r="AA138" s="158">
        <f>AA111*Inputs!$H56</f>
        <v>0</v>
      </c>
      <c r="AB138" s="158">
        <f>AB111*Inputs!$H56</f>
        <v>0</v>
      </c>
      <c r="AC138" s="158">
        <f>AC111*Inputs!$H56</f>
        <v>0</v>
      </c>
      <c r="AD138" s="158">
        <f>AD111*Inputs!$H56</f>
        <v>0</v>
      </c>
      <c r="AE138" s="158">
        <f>AE111*Inputs!$H56</f>
        <v>0</v>
      </c>
      <c r="AF138" s="158">
        <f>AF111*Inputs!$H56</f>
        <v>0</v>
      </c>
      <c r="AG138" s="158">
        <f>AG111*Inputs!$H56</f>
        <v>0</v>
      </c>
      <c r="AH138" s="187">
        <f>AH111*Inputs!$H56</f>
        <v>0</v>
      </c>
    </row>
    <row r="139" spans="1:35">
      <c r="A139" s="10" t="s">
        <v>53</v>
      </c>
      <c r="B139" s="35">
        <v>1</v>
      </c>
      <c r="C139" s="296">
        <f>C112*Inputs!$H57</f>
        <v>0</v>
      </c>
      <c r="D139" s="296">
        <f>D112*Inputs!$H57</f>
        <v>0</v>
      </c>
      <c r="E139" s="296">
        <f>E112*Inputs!$H57</f>
        <v>5.9645399130000007E-3</v>
      </c>
      <c r="F139" s="296">
        <f>F112*Inputs!$H57</f>
        <v>6.6717062190000016E-3</v>
      </c>
      <c r="G139" s="296">
        <f>G112*Inputs!$H57</f>
        <v>7.1574773939999999E-3</v>
      </c>
      <c r="H139" s="367">
        <f>H112*Inputs!$H57</f>
        <v>7.1972352090000011E-3</v>
      </c>
      <c r="I139" s="14">
        <f>I112*Inputs!$H57</f>
        <v>9.0840619620000014E-3</v>
      </c>
      <c r="J139" s="14">
        <f>J112*Inputs!$H57</f>
        <v>1.0802538818746057E-2</v>
      </c>
      <c r="K139" s="14">
        <f>K112*Inputs!$H57</f>
        <v>1.3421526981434449E-2</v>
      </c>
      <c r="L139" s="14">
        <f>L112*Inputs!$H57</f>
        <v>1.6501739386584766E-2</v>
      </c>
      <c r="M139" s="14">
        <f>M112*Inputs!$H57</f>
        <v>2.0187139721968835E-2</v>
      </c>
      <c r="N139" s="182">
        <f>N112*Inputs!$H57</f>
        <v>2.4623252222701404E-2</v>
      </c>
      <c r="O139" s="14">
        <f>O112*Inputs!$H57</f>
        <v>2.5701067689920542E-2</v>
      </c>
      <c r="P139" s="14">
        <f>P112*Inputs!$H57</f>
        <v>2.6825371680798404E-2</v>
      </c>
      <c r="Q139" s="14">
        <f>Q112*Inputs!$H57</f>
        <v>2.813088945957605E-2</v>
      </c>
      <c r="R139" s="14">
        <f>R112*Inputs!$H57</f>
        <v>2.9438014534970025E-2</v>
      </c>
      <c r="S139" s="14">
        <f>S112*Inputs!$H57</f>
        <v>3.0839865989878708E-2</v>
      </c>
      <c r="T139" s="14">
        <f>T112*Inputs!$H57</f>
        <v>3.206027585774613E-2</v>
      </c>
      <c r="U139" s="14">
        <f>U112*Inputs!$H57</f>
        <v>3.331572292444087E-2</v>
      </c>
      <c r="V139" s="14">
        <f>V112*Inputs!$H57</f>
        <v>3.4645813762815628E-2</v>
      </c>
      <c r="W139" s="14">
        <f>W112*Inputs!$H57</f>
        <v>3.6125353820619807E-2</v>
      </c>
      <c r="X139" s="187">
        <f>X112*Inputs!$H57</f>
        <v>3.7561129428543047E-2</v>
      </c>
      <c r="Y139" s="158">
        <f>Y112*Inputs!$H57</f>
        <v>3.9010064505814117E-2</v>
      </c>
      <c r="Z139" s="158">
        <f>Z112*Inputs!$H57</f>
        <v>4.056000636065521E-2</v>
      </c>
      <c r="AA139" s="158">
        <f>AA112*Inputs!$H57</f>
        <v>4.2128656517925217E-2</v>
      </c>
      <c r="AB139" s="158">
        <f>AB112*Inputs!$H57</f>
        <v>4.3795793187419871E-2</v>
      </c>
      <c r="AC139" s="158">
        <f>AC112*Inputs!$H57</f>
        <v>4.5596476321052321E-2</v>
      </c>
      <c r="AD139" s="158">
        <f>AD112*Inputs!$H57</f>
        <v>4.7463502197072301E-2</v>
      </c>
      <c r="AE139" s="158">
        <f>AE112*Inputs!$H57</f>
        <v>4.9498051010673505E-2</v>
      </c>
      <c r="AF139" s="158">
        <f>AF112*Inputs!$H57</f>
        <v>5.1666068259245135E-2</v>
      </c>
      <c r="AG139" s="158">
        <f>AG112*Inputs!$H57</f>
        <v>5.3865889914061472E-2</v>
      </c>
      <c r="AH139" s="187">
        <f>AH112*Inputs!$H57</f>
        <v>5.6093331060067066E-2</v>
      </c>
      <c r="AI139" s="31">
        <f>SUM(C139:X139)</f>
        <v>0.4362547229777447</v>
      </c>
    </row>
    <row r="140" spans="1:35">
      <c r="A140" s="10" t="s">
        <v>384</v>
      </c>
      <c r="C140" s="296">
        <f t="shared" ref="C140:AH140" si="91">SUM(C127:C139)</f>
        <v>2771.0468100000007</v>
      </c>
      <c r="D140" s="296">
        <f t="shared" si="91"/>
        <v>3031.9950581481407</v>
      </c>
      <c r="E140" s="296">
        <f t="shared" si="91"/>
        <v>2918.0765794000927</v>
      </c>
      <c r="F140" s="296">
        <f t="shared" si="91"/>
        <v>2883.3679651414841</v>
      </c>
      <c r="G140" s="296">
        <f t="shared" si="91"/>
        <v>3054.0440141106983</v>
      </c>
      <c r="H140" s="367">
        <f t="shared" si="91"/>
        <v>2856.103858041392</v>
      </c>
      <c r="I140" s="14">
        <f t="shared" si="91"/>
        <v>2961.5573824083249</v>
      </c>
      <c r="J140" s="14">
        <f t="shared" si="91"/>
        <v>3120.2293460164301</v>
      </c>
      <c r="K140" s="14">
        <f t="shared" si="91"/>
        <v>3327.1167090986951</v>
      </c>
      <c r="L140" s="14">
        <f t="shared" si="91"/>
        <v>3527.0191236631476</v>
      </c>
      <c r="M140" s="14">
        <f t="shared" si="91"/>
        <v>3739.3324888875677</v>
      </c>
      <c r="N140" s="182">
        <f t="shared" si="91"/>
        <v>3975.1762944650841</v>
      </c>
      <c r="O140" s="14">
        <f t="shared" si="91"/>
        <v>4029.0736669772064</v>
      </c>
      <c r="P140" s="14">
        <f t="shared" si="91"/>
        <v>4084.8702096218703</v>
      </c>
      <c r="Q140" s="14">
        <f t="shared" si="91"/>
        <v>4162.2948964112129</v>
      </c>
      <c r="R140" s="14">
        <f t="shared" si="91"/>
        <v>4233.6613041543487</v>
      </c>
      <c r="S140" s="14">
        <f t="shared" si="91"/>
        <v>4312.4347611793801</v>
      </c>
      <c r="T140" s="14">
        <f t="shared" si="91"/>
        <v>4360.4053621179173</v>
      </c>
      <c r="U140" s="14">
        <f t="shared" si="91"/>
        <v>4408.6770563074933</v>
      </c>
      <c r="V140" s="14">
        <f t="shared" si="91"/>
        <v>4462.3316761865635</v>
      </c>
      <c r="W140" s="14">
        <f t="shared" si="91"/>
        <v>4530.3365804120958</v>
      </c>
      <c r="X140" s="187">
        <f t="shared" si="91"/>
        <v>4587.9860188820976</v>
      </c>
      <c r="Y140" s="158">
        <f t="shared" si="91"/>
        <v>4649.1359701878882</v>
      </c>
      <c r="Z140" s="158">
        <f t="shared" si="91"/>
        <v>4718.0615688354374</v>
      </c>
      <c r="AA140" s="158">
        <f t="shared" si="91"/>
        <v>4784.8979405924511</v>
      </c>
      <c r="AB140" s="158">
        <f t="shared" si="91"/>
        <v>4858.675605414388</v>
      </c>
      <c r="AC140" s="158">
        <f t="shared" si="91"/>
        <v>4942.7604685337683</v>
      </c>
      <c r="AD140" s="158">
        <f t="shared" si="91"/>
        <v>5029.3798557282262</v>
      </c>
      <c r="AE140" s="158">
        <f t="shared" si="91"/>
        <v>5128.8957897675718</v>
      </c>
      <c r="AF140" s="158">
        <f t="shared" si="91"/>
        <v>5237.0663222451622</v>
      </c>
      <c r="AG140" s="158">
        <f t="shared" si="91"/>
        <v>5343.3060022710688</v>
      </c>
      <c r="AH140" s="187">
        <f t="shared" si="91"/>
        <v>5447.3893255172652</v>
      </c>
      <c r="AI140" s="48" t="s">
        <v>0</v>
      </c>
    </row>
    <row r="141" spans="1:35">
      <c r="A141" s="10" t="s">
        <v>387</v>
      </c>
      <c r="C141" s="296">
        <f>SUM(C128:C130)</f>
        <v>2477.4736500000004</v>
      </c>
      <c r="D141" s="296">
        <f t="shared" ref="D141:AH141" si="92">SUM(D128:D130)</f>
        <v>2657.3884061451613</v>
      </c>
      <c r="E141" s="296">
        <f t="shared" si="92"/>
        <v>2496.3530208376769</v>
      </c>
      <c r="F141" s="296">
        <f t="shared" si="92"/>
        <v>2401.3989597012132</v>
      </c>
      <c r="G141" s="296">
        <f t="shared" si="92"/>
        <v>2467.8419815796369</v>
      </c>
      <c r="H141" s="367">
        <f t="shared" si="92"/>
        <v>2505.5303546153127</v>
      </c>
      <c r="I141" s="14">
        <f t="shared" si="92"/>
        <v>2538.9498729168463</v>
      </c>
      <c r="J141" s="14">
        <f t="shared" si="92"/>
        <v>2604.4674585012663</v>
      </c>
      <c r="K141" s="14">
        <f t="shared" si="92"/>
        <v>2692.6593119371255</v>
      </c>
      <c r="L141" s="14">
        <f t="shared" si="92"/>
        <v>2754.6562338209123</v>
      </c>
      <c r="M141" s="14">
        <f t="shared" si="92"/>
        <v>2803.7736823841738</v>
      </c>
      <c r="N141" s="187">
        <f t="shared" si="92"/>
        <v>2845.226032318079</v>
      </c>
      <c r="O141" s="14">
        <f t="shared" si="92"/>
        <v>2849.6629250074948</v>
      </c>
      <c r="P141" s="14">
        <f t="shared" si="92"/>
        <v>2853.8656498357568</v>
      </c>
      <c r="Q141" s="14">
        <f t="shared" si="92"/>
        <v>2871.3806974342488</v>
      </c>
      <c r="R141" s="14">
        <f t="shared" si="92"/>
        <v>2882.7637078486327</v>
      </c>
      <c r="S141" s="14">
        <f t="shared" si="92"/>
        <v>2897.2068154690146</v>
      </c>
      <c r="T141" s="14">
        <f t="shared" si="92"/>
        <v>2889.1733419802017</v>
      </c>
      <c r="U141" s="14">
        <f t="shared" si="92"/>
        <v>2879.8331200307885</v>
      </c>
      <c r="V141" s="14">
        <f t="shared" si="92"/>
        <v>2872.4504537744706</v>
      </c>
      <c r="W141" s="14">
        <f t="shared" si="92"/>
        <v>2872.5599126277816</v>
      </c>
      <c r="X141" s="187">
        <f t="shared" si="92"/>
        <v>2864.3222371664469</v>
      </c>
      <c r="Y141" s="158">
        <f t="shared" si="92"/>
        <v>2858.9811922549738</v>
      </c>
      <c r="Z141" s="158">
        <f t="shared" si="92"/>
        <v>2856.7806378927394</v>
      </c>
      <c r="AA141" s="158">
        <f t="shared" si="92"/>
        <v>2851.6323408337448</v>
      </c>
      <c r="AB141" s="158">
        <f t="shared" si="92"/>
        <v>2848.905833920252</v>
      </c>
      <c r="AC141" s="158">
        <f t="shared" si="92"/>
        <v>2850.3581365439964</v>
      </c>
      <c r="AD141" s="158">
        <f t="shared" si="92"/>
        <v>2851.3005238456849</v>
      </c>
      <c r="AE141" s="158">
        <f t="shared" si="92"/>
        <v>2857.4519037438022</v>
      </c>
      <c r="AF141" s="158">
        <f t="shared" si="92"/>
        <v>2866.1330740442791</v>
      </c>
      <c r="AG141" s="158">
        <f t="shared" si="92"/>
        <v>2871.4239016174351</v>
      </c>
      <c r="AH141" s="187">
        <f t="shared" si="92"/>
        <v>2873.2909260545885</v>
      </c>
      <c r="AI141" s="48"/>
    </row>
    <row r="142" spans="1:35">
      <c r="A142" s="10" t="s">
        <v>386</v>
      </c>
      <c r="C142" s="295">
        <f t="shared" ref="C142:AH142" si="93">SUMPRODUCT($B131:$B139,C131:C139)</f>
        <v>293.57315999999997</v>
      </c>
      <c r="D142" s="295">
        <f t="shared" si="93"/>
        <v>374.60665200297973</v>
      </c>
      <c r="E142" s="295">
        <f t="shared" si="93"/>
        <v>421.72355856241643</v>
      </c>
      <c r="F142" s="295">
        <f t="shared" si="93"/>
        <v>481.96900544027096</v>
      </c>
      <c r="G142" s="295">
        <f t="shared" si="93"/>
        <v>586.20203253106195</v>
      </c>
      <c r="H142" s="251">
        <f t="shared" si="93"/>
        <v>350.57350342607941</v>
      </c>
      <c r="I142" s="40">
        <f t="shared" si="93"/>
        <v>422.60750949147899</v>
      </c>
      <c r="J142" s="40">
        <f t="shared" si="93"/>
        <v>515.76188751516338</v>
      </c>
      <c r="K142" s="40">
        <f t="shared" si="93"/>
        <v>634.45739716156947</v>
      </c>
      <c r="L142" s="40">
        <f t="shared" si="93"/>
        <v>772.36288984223484</v>
      </c>
      <c r="M142" s="40">
        <f t="shared" si="93"/>
        <v>935.55880650339373</v>
      </c>
      <c r="N142" s="177">
        <f t="shared" si="93"/>
        <v>1129.9502621470047</v>
      </c>
      <c r="O142" s="40">
        <f t="shared" si="93"/>
        <v>1179.4107419697116</v>
      </c>
      <c r="P142" s="40">
        <f t="shared" si="93"/>
        <v>1231.0045597861133</v>
      </c>
      <c r="Q142" s="40">
        <f t="shared" si="93"/>
        <v>1290.9141989769653</v>
      </c>
      <c r="R142" s="40">
        <f t="shared" si="93"/>
        <v>1350.8975963057158</v>
      </c>
      <c r="S142" s="40">
        <f t="shared" si="93"/>
        <v>1415.2279457103668</v>
      </c>
      <c r="T142" s="40">
        <f t="shared" si="93"/>
        <v>1471.232020137717</v>
      </c>
      <c r="U142" s="40">
        <f t="shared" si="93"/>
        <v>1528.8439362767037</v>
      </c>
      <c r="V142" s="40">
        <f t="shared" si="93"/>
        <v>1589.8812224120934</v>
      </c>
      <c r="W142" s="40">
        <f t="shared" si="93"/>
        <v>1657.7766677843138</v>
      </c>
      <c r="X142" s="184">
        <f t="shared" si="93"/>
        <v>1723.6637817156495</v>
      </c>
      <c r="Y142" s="236">
        <f t="shared" si="93"/>
        <v>1790.154777932916</v>
      </c>
      <c r="Z142" s="236">
        <f t="shared" si="93"/>
        <v>1861.2809309426971</v>
      </c>
      <c r="AA142" s="236">
        <f t="shared" si="93"/>
        <v>1933.2655997587051</v>
      </c>
      <c r="AB142" s="236">
        <f t="shared" si="93"/>
        <v>2009.7697714941357</v>
      </c>
      <c r="AC142" s="236">
        <f t="shared" si="93"/>
        <v>2092.4023319897706</v>
      </c>
      <c r="AD142" s="236">
        <f t="shared" si="93"/>
        <v>2178.0793318825408</v>
      </c>
      <c r="AE142" s="236">
        <f t="shared" si="93"/>
        <v>2271.4438860237706</v>
      </c>
      <c r="AF142" s="236">
        <f t="shared" si="93"/>
        <v>2370.9332482008826</v>
      </c>
      <c r="AG142" s="236">
        <f t="shared" si="93"/>
        <v>2471.8821006536355</v>
      </c>
      <c r="AH142" s="184">
        <f t="shared" si="93"/>
        <v>2574.0983994626772</v>
      </c>
    </row>
    <row r="143" spans="1:35">
      <c r="A143" s="10" t="s">
        <v>142</v>
      </c>
      <c r="C143" s="296">
        <f>C116*Inputs!$H$60</f>
        <v>2516.8373999999999</v>
      </c>
      <c r="D143" s="296">
        <f>D116*Inputs!$H$60</f>
        <v>2618.4806592799591</v>
      </c>
      <c r="E143" s="296">
        <f>E116*Inputs!$H$60</f>
        <v>2467.8117572737597</v>
      </c>
      <c r="F143" s="296">
        <f>F116*Inputs!$H$60</f>
        <v>2087.5363213174319</v>
      </c>
      <c r="G143" s="296">
        <f>G116*Inputs!$H$60</f>
        <v>2219.4839512311023</v>
      </c>
      <c r="H143" s="367">
        <f>H116*Inputs!$H$60</f>
        <v>2368.8392278201536</v>
      </c>
      <c r="I143" s="14">
        <f>I116*Inputs!$H$60</f>
        <v>2249.8363784655758</v>
      </c>
      <c r="J143" s="14">
        <f>J116*Inputs!$H$60</f>
        <v>2151.7590786408946</v>
      </c>
      <c r="K143" s="14">
        <f>K116*Inputs!$H$60</f>
        <v>2234.8012938415354</v>
      </c>
      <c r="L143" s="14">
        <f>L116*Inputs!$H$60</f>
        <v>2233.3716361673414</v>
      </c>
      <c r="M143" s="14">
        <f>M116*Inputs!$H$60</f>
        <v>2182.9343043904955</v>
      </c>
      <c r="N143" s="182">
        <f>N116*Inputs!$H$60</f>
        <v>2096.614222788493</v>
      </c>
      <c r="O143" s="14">
        <f>O116*Inputs!$H$60</f>
        <v>2108.6711822677066</v>
      </c>
      <c r="P143" s="14">
        <f>P116*Inputs!$H$60</f>
        <v>2115.6751072866668</v>
      </c>
      <c r="Q143" s="14">
        <f>Q116*Inputs!$H$60</f>
        <v>2114.3928666493543</v>
      </c>
      <c r="R143" s="14">
        <f>R116*Inputs!$H$60</f>
        <v>2128.214077763681</v>
      </c>
      <c r="S143" s="14">
        <f>S116*Inputs!$H$60</f>
        <v>2149.5161401835835</v>
      </c>
      <c r="T143" s="14">
        <f>T116*Inputs!$H$60</f>
        <v>2142.7316328689503</v>
      </c>
      <c r="U143" s="14">
        <f>U116*Inputs!$H$60</f>
        <v>2135.5765438230064</v>
      </c>
      <c r="V143" s="14">
        <f>V116*Inputs!$H$60</f>
        <v>2127.2413433190231</v>
      </c>
      <c r="W143" s="14">
        <f>W116*Inputs!$H$60</f>
        <v>2128.5209925488957</v>
      </c>
      <c r="X143" s="187">
        <f>X116*Inputs!$H$60</f>
        <v>2120.8820839778632</v>
      </c>
      <c r="Y143" s="158">
        <f>Y116*Inputs!$H$60</f>
        <v>2104.7933887714639</v>
      </c>
      <c r="Z143" s="158">
        <f>Z116*Inputs!$H$60</f>
        <v>2086.9649925951076</v>
      </c>
      <c r="AA143" s="158">
        <f>AA116*Inputs!$H$60</f>
        <v>2068.1172678597072</v>
      </c>
      <c r="AB143" s="158">
        <f>AB116*Inputs!$H$60</f>
        <v>2048.1196272766556</v>
      </c>
      <c r="AC143" s="158">
        <f>AC116*Inputs!$H$60</f>
        <v>2025.5909072698348</v>
      </c>
      <c r="AD143" s="158">
        <f>AD116*Inputs!$H$60</f>
        <v>2003.3673109063507</v>
      </c>
      <c r="AE143" s="158">
        <f>AE116*Inputs!$H$60</f>
        <v>1977.5718532270794</v>
      </c>
      <c r="AF143" s="158">
        <f>AF116*Inputs!$H$60</f>
        <v>1951.0073009401858</v>
      </c>
      <c r="AG143" s="158">
        <f>AG116*Inputs!$H$60</f>
        <v>1926.3509792418722</v>
      </c>
      <c r="AH143" s="187">
        <f>AH116*Inputs!$H$60</f>
        <v>1901.7799508969208</v>
      </c>
      <c r="AI143" s="48"/>
    </row>
    <row r="144" spans="1:35">
      <c r="A144" s="10" t="s">
        <v>222</v>
      </c>
      <c r="C144" s="296">
        <f>C117*Inputs!$H$61</f>
        <v>1078.6445999999999</v>
      </c>
      <c r="D144" s="296">
        <f>D117*Inputs!$H$61</f>
        <v>1159.7696554618426</v>
      </c>
      <c r="E144" s="296">
        <f>E117*Inputs!$H$61</f>
        <v>992.96600999535519</v>
      </c>
      <c r="F144" s="296">
        <f>F117*Inputs!$H$61</f>
        <v>1159.2082508751237</v>
      </c>
      <c r="G144" s="296">
        <f>G117*Inputs!$H$61</f>
        <v>1028.960322524234</v>
      </c>
      <c r="H144" s="367">
        <f>H117*Inputs!$H$61</f>
        <v>1016.125213054566</v>
      </c>
      <c r="I144" s="14">
        <f>I117*Inputs!$H$61</f>
        <v>1098.7043095048455</v>
      </c>
      <c r="J144" s="14">
        <f>J117*Inputs!$H$61</f>
        <v>1193.4451506468786</v>
      </c>
      <c r="K144" s="14">
        <f>K117*Inputs!$H$61</f>
        <v>1124.6364000242504</v>
      </c>
      <c r="L144" s="14">
        <f>L117*Inputs!$H$61</f>
        <v>1090.6538789492793</v>
      </c>
      <c r="M144" s="14">
        <f>M117*Inputs!$H$61</f>
        <v>1073.7842509866091</v>
      </c>
      <c r="N144" s="182">
        <f>N117*Inputs!$H$61</f>
        <v>1065.3713312840571</v>
      </c>
      <c r="O144" s="14">
        <f>O117*Inputs!$H$61</f>
        <v>1078.7217230881045</v>
      </c>
      <c r="P144" s="14">
        <f>P117*Inputs!$H$61</f>
        <v>1096.539962518129</v>
      </c>
      <c r="Q144" s="14">
        <f>Q117*Inputs!$H$61</f>
        <v>1137.369662082491</v>
      </c>
      <c r="R144" s="14">
        <f>R117*Inputs!$H$61</f>
        <v>1155.8600733624253</v>
      </c>
      <c r="S144" s="14">
        <f>S117*Inputs!$H$61</f>
        <v>1170.0162978952399</v>
      </c>
      <c r="T144" s="14">
        <f>T117*Inputs!$H$61</f>
        <v>1186.0533980493822</v>
      </c>
      <c r="U144" s="14">
        <f>U117*Inputs!$H$61</f>
        <v>1200.237334827588</v>
      </c>
      <c r="V144" s="14">
        <f>V117*Inputs!$H$61</f>
        <v>1217.1260538332303</v>
      </c>
      <c r="W144" s="14">
        <f>W117*Inputs!$H$61</f>
        <v>1232.4158660885048</v>
      </c>
      <c r="X144" s="187">
        <f>X117*Inputs!$H$61</f>
        <v>1246.0765673569624</v>
      </c>
      <c r="Y144" s="158">
        <f>Y117*Inputs!$H$61</f>
        <v>1245.311507571193</v>
      </c>
      <c r="Z144" s="158">
        <f>Z117*Inputs!$H$61</f>
        <v>1248.7067702462423</v>
      </c>
      <c r="AA144" s="158">
        <f>AA117*Inputs!$H$61</f>
        <v>1248.3609274448495</v>
      </c>
      <c r="AB144" s="158">
        <f>AB117*Inputs!$H$61</f>
        <v>1250.6103261892581</v>
      </c>
      <c r="AC144" s="158">
        <f>AC117*Inputs!$H$61</f>
        <v>1258.7662756941879</v>
      </c>
      <c r="AD144" s="158">
        <f>AD117*Inputs!$H$61</f>
        <v>1264.4725590923986</v>
      </c>
      <c r="AE144" s="158">
        <f>AE117*Inputs!$H$61</f>
        <v>1278.0649986158546</v>
      </c>
      <c r="AF144" s="158">
        <f>AF117*Inputs!$H$61</f>
        <v>1293.5175577954992</v>
      </c>
      <c r="AG144" s="158">
        <f>AG117*Inputs!$H$61</f>
        <v>1301.3390796238693</v>
      </c>
      <c r="AH144" s="187">
        <f>AH117*Inputs!$H$61</f>
        <v>1303.306003429409</v>
      </c>
      <c r="AI144" s="48"/>
    </row>
    <row r="145" spans="1:35">
      <c r="A145" s="10" t="s">
        <v>58</v>
      </c>
      <c r="C145" s="296">
        <f>SUM(C140,C143,C144)</f>
        <v>6366.5288099999998</v>
      </c>
      <c r="D145" s="296">
        <f>SUM(D140,D143,D144)</f>
        <v>6810.2453728899427</v>
      </c>
      <c r="E145" s="296">
        <f t="shared" ref="E145:AH145" si="94">SUM(E140,E143,E144)</f>
        <v>6378.8543466692072</v>
      </c>
      <c r="F145" s="296">
        <f t="shared" si="94"/>
        <v>6130.1125373340392</v>
      </c>
      <c r="G145" s="296">
        <f t="shared" si="94"/>
        <v>6302.4882878660337</v>
      </c>
      <c r="H145" s="367">
        <f t="shared" si="94"/>
        <v>6241.0682989161114</v>
      </c>
      <c r="I145" s="14">
        <f t="shared" si="94"/>
        <v>6310.0980703787463</v>
      </c>
      <c r="J145" s="14">
        <f t="shared" si="94"/>
        <v>6465.4335753042033</v>
      </c>
      <c r="K145" s="14">
        <f t="shared" si="94"/>
        <v>6686.5544029644807</v>
      </c>
      <c r="L145" s="14">
        <f t="shared" si="94"/>
        <v>6851.0446387797674</v>
      </c>
      <c r="M145" s="14">
        <f t="shared" si="94"/>
        <v>6996.0510442646719</v>
      </c>
      <c r="N145" s="187">
        <f t="shared" si="94"/>
        <v>7137.1618485376348</v>
      </c>
      <c r="O145" s="14">
        <f t="shared" si="94"/>
        <v>7216.4665723330172</v>
      </c>
      <c r="P145" s="14">
        <f t="shared" si="94"/>
        <v>7297.0852794266666</v>
      </c>
      <c r="Q145" s="14">
        <f t="shared" si="94"/>
        <v>7414.057425143058</v>
      </c>
      <c r="R145" s="14">
        <f t="shared" si="94"/>
        <v>7517.7354552804545</v>
      </c>
      <c r="S145" s="14">
        <f t="shared" si="94"/>
        <v>7631.9671992582025</v>
      </c>
      <c r="T145" s="14">
        <f t="shared" si="94"/>
        <v>7689.1903930362496</v>
      </c>
      <c r="U145" s="14">
        <f t="shared" si="94"/>
        <v>7744.4909349580876</v>
      </c>
      <c r="V145" s="14">
        <f t="shared" si="94"/>
        <v>7806.6990733388175</v>
      </c>
      <c r="W145" s="14">
        <f t="shared" si="94"/>
        <v>7891.2734390494961</v>
      </c>
      <c r="X145" s="187">
        <f t="shared" si="94"/>
        <v>7954.9446702169225</v>
      </c>
      <c r="Y145" s="158">
        <f t="shared" si="94"/>
        <v>7999.2408665305456</v>
      </c>
      <c r="Z145" s="158">
        <f t="shared" si="94"/>
        <v>8053.7333316767872</v>
      </c>
      <c r="AA145" s="158">
        <f t="shared" si="94"/>
        <v>8101.3761358970078</v>
      </c>
      <c r="AB145" s="158">
        <f t="shared" si="94"/>
        <v>8157.4055588803021</v>
      </c>
      <c r="AC145" s="158">
        <f t="shared" si="94"/>
        <v>8227.1176514977906</v>
      </c>
      <c r="AD145" s="158">
        <f t="shared" si="94"/>
        <v>8297.2197257269763</v>
      </c>
      <c r="AE145" s="158">
        <f t="shared" si="94"/>
        <v>8384.5326416105054</v>
      </c>
      <c r="AF145" s="158">
        <f t="shared" si="94"/>
        <v>8481.5911809808476</v>
      </c>
      <c r="AG145" s="158">
        <f t="shared" si="94"/>
        <v>8570.9960611368097</v>
      </c>
      <c r="AH145" s="187">
        <f t="shared" si="94"/>
        <v>8652.4752798435948</v>
      </c>
      <c r="AI145" s="48"/>
    </row>
    <row r="146" spans="1:35" s="1" customFormat="1">
      <c r="A146" s="1" t="s">
        <v>335</v>
      </c>
      <c r="B146" s="13"/>
      <c r="C146" s="306">
        <f>C145-'Output - Jobs vs Yr (BAU)'!C73</f>
        <v>2.1777299999985189</v>
      </c>
      <c r="D146" s="306">
        <f>D145-'Output - Jobs vs Yr (BAU)'!D73</f>
        <v>100.60929288994248</v>
      </c>
      <c r="E146" s="306">
        <f>E145-'Output - Jobs vs Yr (BAU)'!E73</f>
        <v>43.551221154432824</v>
      </c>
      <c r="F146" s="306">
        <f>F145-'Output - Jobs vs Yr (BAU)'!F73</f>
        <v>88.821619712272877</v>
      </c>
      <c r="G146" s="306">
        <f>G145-'Output - Jobs vs Yr (BAU)'!G73</f>
        <v>110.937822511185</v>
      </c>
      <c r="H146" s="370">
        <f>H145-'Output - Jobs vs Yr (BAU)'!H73</f>
        <v>-0.12897000000157277</v>
      </c>
      <c r="I146" s="15">
        <f>I145-'Output - Jobs vs Yr (BAU)'!I73</f>
        <v>16.419928544584764</v>
      </c>
      <c r="J146" s="15">
        <f>J145-'Output - Jobs vs Yr (BAU)'!J73</f>
        <v>43.93776383704153</v>
      </c>
      <c r="K146" s="15">
        <f>K145-'Output - Jobs vs Yr (BAU)'!K73</f>
        <v>85.144922146282624</v>
      </c>
      <c r="L146" s="15">
        <f>L145-'Output - Jobs vs Yr (BAU)'!L73</f>
        <v>141.81363076525577</v>
      </c>
      <c r="M146" s="15">
        <f>M145-'Output - Jobs vs Yr (BAU)'!M73</f>
        <v>219.13722964520912</v>
      </c>
      <c r="N146" s="182">
        <f>N145-'Output - Jobs vs Yr (BAU)'!N73</f>
        <v>309.60063986278328</v>
      </c>
      <c r="O146" s="15">
        <f>O145-'Output - Jobs vs Yr (BAU)'!O73</f>
        <v>317.87919722935476</v>
      </c>
      <c r="P146" s="15">
        <f>P145-'Output - Jobs vs Yr (BAU)'!P73</f>
        <v>332.24125939758778</v>
      </c>
      <c r="Q146" s="15">
        <f>Q145-'Output - Jobs vs Yr (BAU)'!Q73</f>
        <v>332.3468728577991</v>
      </c>
      <c r="R146" s="15">
        <f>R145-'Output - Jobs vs Yr (BAU)'!R73</f>
        <v>351.03764255141778</v>
      </c>
      <c r="S146" s="15">
        <f>S145-'Output - Jobs vs Yr (BAU)'!S73</f>
        <v>346.97239776830429</v>
      </c>
      <c r="T146" s="15">
        <f>T145-'Output - Jobs vs Yr (BAU)'!T73</f>
        <v>360.12590526622353</v>
      </c>
      <c r="U146" s="15">
        <f>U145-'Output - Jobs vs Yr (BAU)'!U73</f>
        <v>377.35555697176278</v>
      </c>
      <c r="V146" s="15">
        <f>V145-'Output - Jobs vs Yr (BAU)'!V73</f>
        <v>396.15279817645205</v>
      </c>
      <c r="W146" s="15">
        <f>W145-'Output - Jobs vs Yr (BAU)'!W73</f>
        <v>384.41360593926674</v>
      </c>
      <c r="X146" s="190">
        <f>X145-'Output - Jobs vs Yr (BAU)'!X73</f>
        <v>405.7722969672368</v>
      </c>
      <c r="Y146" s="130">
        <f>Y145-'Output - Jobs vs Yr (BAU)'!Y73</f>
        <v>430.47683623892135</v>
      </c>
      <c r="Z146" s="130">
        <f>Z145-'Output - Jobs vs Yr (BAU)'!Z73</f>
        <v>458.62705828911658</v>
      </c>
      <c r="AA146" s="130">
        <f>AA145-'Output - Jobs vs Yr (BAU)'!AA73</f>
        <v>485.91634211462951</v>
      </c>
      <c r="AB146" s="130">
        <f>AB145-'Output - Jobs vs Yr (BAU)'!AB73</f>
        <v>515.06313293497988</v>
      </c>
      <c r="AC146" s="130">
        <f>AC145-'Output - Jobs vs Yr (BAU)'!AC73</f>
        <v>548.25573336521848</v>
      </c>
      <c r="AD146" s="130">
        <f>AD145-'Output - Jobs vs Yr (BAU)'!AD73</f>
        <v>580.90925006213001</v>
      </c>
      <c r="AE146" s="130">
        <f>AE145-'Output - Jobs vs Yr (BAU)'!AE73</f>
        <v>618.25349517295763</v>
      </c>
      <c r="AF146" s="130">
        <f>AF145-'Output - Jobs vs Yr (BAU)'!AF73</f>
        <v>657.42512200051806</v>
      </c>
      <c r="AG146" s="130">
        <f>AG145-'Output - Jobs vs Yr (BAU)'!AG73</f>
        <v>696.6047286639041</v>
      </c>
      <c r="AH146" s="190">
        <f>AH145-'Output - Jobs vs Yr (BAU)'!AH73</f>
        <v>736.71071119428689</v>
      </c>
    </row>
    <row r="147" spans="1:35" s="1" customFormat="1">
      <c r="A147" s="11"/>
      <c r="B147" s="13"/>
      <c r="C147" s="293"/>
      <c r="D147" s="306"/>
      <c r="E147" s="306"/>
      <c r="F147" s="306"/>
      <c r="G147" s="306"/>
      <c r="H147" s="370"/>
      <c r="I147" s="15"/>
      <c r="J147" s="15"/>
      <c r="K147" s="15"/>
      <c r="L147" s="15"/>
      <c r="M147" s="15"/>
      <c r="N147" s="187" t="s">
        <v>0</v>
      </c>
      <c r="O147" s="15"/>
      <c r="P147" s="15"/>
      <c r="Q147" s="15"/>
      <c r="R147" s="15"/>
      <c r="S147" s="15"/>
      <c r="T147" s="15"/>
      <c r="U147" s="15"/>
      <c r="V147" s="15"/>
      <c r="W147" s="15"/>
      <c r="X147" s="190"/>
      <c r="Y147"/>
      <c r="Z147"/>
      <c r="AA147"/>
      <c r="AB147"/>
      <c r="AC147"/>
      <c r="AD147"/>
      <c r="AE147"/>
      <c r="AF147"/>
      <c r="AG147"/>
      <c r="AH147" s="245"/>
    </row>
    <row r="148" spans="1:35" hidden="1">
      <c r="A148" s="1" t="s">
        <v>199</v>
      </c>
    </row>
    <row r="149" spans="1:35" hidden="1">
      <c r="A149" s="20" t="s">
        <v>197</v>
      </c>
      <c r="C149" s="298">
        <f>'backup - EIA liq_fuelS_aeo2014'!E44</f>
        <v>7088.7783050537164</v>
      </c>
      <c r="D149" s="298">
        <f>'backup - EIA liq_fuelS_aeo2014'!F44</f>
        <v>7149.5953941345133</v>
      </c>
      <c r="E149" s="298">
        <f>'backup - EIA liq_fuelS_aeo2014'!G44</f>
        <v>6912.5827950000003</v>
      </c>
      <c r="F149" s="298">
        <f>'backup - EIA liq_fuelS_aeo2014'!H44</f>
        <v>6786.185485</v>
      </c>
      <c r="G149" s="298">
        <f>'backup - EIA liq_fuelS_aeo2014'!I44</f>
        <v>6929.6414350000005</v>
      </c>
      <c r="H149" s="371">
        <f>'backup - EIA liq_fuelS_aeo2014'!J44</f>
        <v>6867.5629650000001</v>
      </c>
      <c r="I149" s="16">
        <f>'backup - EIA liq_fuelS_aeo2014'!K44</f>
        <v>6992.4677899999997</v>
      </c>
      <c r="J149" s="16">
        <f>'backup - EIA liq_fuelS_aeo2014'!L44</f>
        <v>7066.0167499999998</v>
      </c>
      <c r="K149" s="16">
        <f>'backup - EIA liq_fuelS_aeo2014'!M44</f>
        <v>7109.2984500000002</v>
      </c>
      <c r="L149" s="16">
        <f>'backup - EIA liq_fuelS_aeo2014'!N44</f>
        <v>7127.5772850000003</v>
      </c>
      <c r="M149" s="16">
        <f>'backup - EIA liq_fuelS_aeo2014'!O44</f>
        <v>7130.4432650000008</v>
      </c>
      <c r="N149" s="188">
        <f>'backup - EIA liq_fuelS_aeo2014'!P44</f>
        <v>7124.9339550000004</v>
      </c>
      <c r="O149" s="16">
        <f>'backup - EIA liq_fuelS_aeo2014'!Q44</f>
        <v>7109.1374850000002</v>
      </c>
      <c r="P149" s="16">
        <f>'backup - EIA liq_fuelS_aeo2014'!R44</f>
        <v>7094.8002850000003</v>
      </c>
      <c r="Q149" s="16">
        <f>'backup - EIA liq_fuelS_aeo2014'!S44</f>
        <v>7076.8999550000008</v>
      </c>
      <c r="R149" s="16">
        <f>'backup - EIA liq_fuelS_aeo2014'!T44</f>
        <v>7055.4562050000004</v>
      </c>
      <c r="S149" s="16">
        <f>'backup - EIA liq_fuelS_aeo2014'!U44</f>
        <v>7030.7460700000001</v>
      </c>
      <c r="T149" s="16">
        <f>'backup - EIA liq_fuelS_aeo2014'!V44</f>
        <v>7000.2776949999998</v>
      </c>
      <c r="U149" s="16">
        <f>'backup - EIA liq_fuelS_aeo2014'!W44</f>
        <v>6978.5350100000005</v>
      </c>
      <c r="V149" s="16">
        <f>'backup - EIA liq_fuelS_aeo2014'!X44</f>
        <v>6956.8587550000002</v>
      </c>
      <c r="W149" s="16">
        <f>'backup - EIA liq_fuelS_aeo2014'!Y44</f>
        <v>6927.9325050000007</v>
      </c>
      <c r="X149" s="335">
        <f>'backup - EIA liq_fuelS_aeo2014'!Z44</f>
        <v>6908.05278</v>
      </c>
    </row>
    <row r="150" spans="1:35" hidden="1">
      <c r="A150" s="20" t="s">
        <v>198</v>
      </c>
      <c r="C150" s="298">
        <f>'backup - EIA liq_fuelS_aeo2014'!E44</f>
        <v>7088.7783050537164</v>
      </c>
      <c r="D150" s="298">
        <f>'backup - EIA liq_fuelS_aeo2014'!F44</f>
        <v>7149.5953941345133</v>
      </c>
      <c r="E150" s="298">
        <f>'backup - EIA liq_fuelS_aeo2014'!G44</f>
        <v>6912.5827950000003</v>
      </c>
      <c r="F150" s="298">
        <f>'backup - EIA liq_fuelS_aeo2014'!H44</f>
        <v>6786.185485</v>
      </c>
      <c r="G150" s="298">
        <f>'backup - EIA liq_fuelS_aeo2014'!I44</f>
        <v>6929.6414350000005</v>
      </c>
      <c r="H150" s="371">
        <f>'backup - EIA liq_fuelS_aeo2014'!J44</f>
        <v>6867.5629650000001</v>
      </c>
      <c r="I150" s="16">
        <f>'backup - EIA liq_fuelS_aeo2014'!K44</f>
        <v>6992.4677899999997</v>
      </c>
      <c r="J150" s="16">
        <f>'backup - EIA liq_fuelS_aeo2014'!L44</f>
        <v>7066.0167499999998</v>
      </c>
      <c r="K150" s="16">
        <f>'backup - EIA liq_fuelS_aeo2014'!M44</f>
        <v>7109.2984500000002</v>
      </c>
      <c r="L150" s="16">
        <f>'backup - EIA liq_fuelS_aeo2014'!N44</f>
        <v>7127.5772850000003</v>
      </c>
      <c r="M150" s="16">
        <f>'backup - EIA liq_fuelS_aeo2014'!O44</f>
        <v>7130.4432650000008</v>
      </c>
      <c r="N150" s="188">
        <f>'backup - EIA liq_fuelS_aeo2014'!P44</f>
        <v>7124.9339550000004</v>
      </c>
      <c r="O150" s="16">
        <f>'backup - EIA liq_fuelS_aeo2014'!Q44</f>
        <v>7109.1374850000002</v>
      </c>
      <c r="P150" s="16">
        <f>'backup - EIA liq_fuelS_aeo2014'!R44</f>
        <v>7094.8002850000003</v>
      </c>
      <c r="Q150" s="16">
        <f>'backup - EIA liq_fuelS_aeo2014'!S44</f>
        <v>7076.8999550000008</v>
      </c>
      <c r="R150" s="16">
        <f>'backup - EIA liq_fuelS_aeo2014'!T44</f>
        <v>7055.4562050000004</v>
      </c>
      <c r="S150" s="16">
        <f>'backup - EIA liq_fuelS_aeo2014'!U44</f>
        <v>7030.7460700000001</v>
      </c>
      <c r="T150" s="16">
        <f>'backup - EIA liq_fuelS_aeo2014'!V44</f>
        <v>7000.2776949999998</v>
      </c>
      <c r="U150" s="16">
        <f>'backup - EIA liq_fuelS_aeo2014'!W44</f>
        <v>6978.5350100000005</v>
      </c>
      <c r="V150" s="16">
        <f>'backup - EIA liq_fuelS_aeo2014'!X44</f>
        <v>6956.8587550000002</v>
      </c>
      <c r="W150" s="16">
        <f>'backup - EIA liq_fuelS_aeo2014'!Y44</f>
        <v>6927.9325050000007</v>
      </c>
      <c r="X150" s="335">
        <f>'backup - EIA liq_fuelS_aeo2014'!Z44</f>
        <v>6908.05278</v>
      </c>
    </row>
    <row r="151" spans="1:35" hidden="1">
      <c r="A151" s="20" t="s">
        <v>200</v>
      </c>
      <c r="C151" s="307">
        <f>'backup - EIA liq_fuelS_aeo2014'!E46</f>
        <v>273.77869168296451</v>
      </c>
      <c r="D151" s="307">
        <f>'backup - EIA liq_fuelS_aeo2014'!F46</f>
        <v>330.59007454663532</v>
      </c>
      <c r="E151" s="307">
        <f>'backup - EIA liq_fuelS_aeo2014'!G46</f>
        <v>346.41273999999999</v>
      </c>
      <c r="F151" s="307">
        <f>'backup - EIA liq_fuelS_aeo2014'!H46</f>
        <v>332.23648773503913</v>
      </c>
      <c r="G151" s="307">
        <f>'backup - EIA liq_fuelS_aeo2014'!I46</f>
        <v>336.63400877733272</v>
      </c>
      <c r="H151" s="372">
        <f>'backup - EIA liq_fuelS_aeo2014'!J46</f>
        <v>352.19858305216189</v>
      </c>
      <c r="I151" s="52">
        <f>'backup - EIA liq_fuelS_aeo2014'!K46</f>
        <v>332.67387741278202</v>
      </c>
      <c r="J151" s="52">
        <f>'backup - EIA liq_fuelS_aeo2014'!L46</f>
        <v>334.25860074671806</v>
      </c>
      <c r="K151" s="52">
        <f>'backup - EIA liq_fuelS_aeo2014'!M46</f>
        <v>341.17813427402433</v>
      </c>
      <c r="L151" s="52">
        <f>'backup - EIA liq_fuelS_aeo2014'!N46</f>
        <v>345.58877710595249</v>
      </c>
      <c r="M151" s="52">
        <f>'backup - EIA liq_fuelS_aeo2014'!O46</f>
        <v>352.0193896929872</v>
      </c>
      <c r="N151" s="189">
        <f>'backup - EIA liq_fuelS_aeo2014'!P46</f>
        <v>362.16295876265764</v>
      </c>
      <c r="O151" s="52">
        <f>'backup - EIA liq_fuelS_aeo2014'!Q46</f>
        <v>371.28950968144909</v>
      </c>
      <c r="P151" s="52">
        <f>'backup - EIA liq_fuelS_aeo2014'!R46</f>
        <v>386.73310267300621</v>
      </c>
      <c r="Q151" s="52">
        <f>'backup - EIA liq_fuelS_aeo2014'!S46</f>
        <v>401.15959175664915</v>
      </c>
      <c r="R151" s="52">
        <f>'backup - EIA liq_fuelS_aeo2014'!T46</f>
        <v>414.56272820760728</v>
      </c>
      <c r="S151" s="52">
        <f>'backup - EIA liq_fuelS_aeo2014'!U46</f>
        <v>426.01426158540727</v>
      </c>
      <c r="T151" s="52">
        <f>'backup - EIA liq_fuelS_aeo2014'!V46</f>
        <v>436.3142303161336</v>
      </c>
      <c r="U151" s="52">
        <f>'backup - EIA liq_fuelS_aeo2014'!W46</f>
        <v>444.95490300330164</v>
      </c>
      <c r="V151" s="52">
        <f>'backup - EIA liq_fuelS_aeo2014'!X46</f>
        <v>451.53307562319765</v>
      </c>
      <c r="W151" s="52">
        <f>'backup - EIA liq_fuelS_aeo2014'!Y46</f>
        <v>456.17321024350161</v>
      </c>
      <c r="X151" s="336">
        <f>'backup - EIA liq_fuelS_aeo2014'!Z46</f>
        <v>459.60339229062083</v>
      </c>
    </row>
    <row r="152" spans="1:35" hidden="1">
      <c r="A152" s="20" t="s">
        <v>203</v>
      </c>
      <c r="C152" s="297">
        <f>C151/C149</f>
        <v>3.8621421054708789E-2</v>
      </c>
      <c r="D152" s="297">
        <f t="shared" ref="D152:X152" si="95">D151/D149</f>
        <v>4.62389906452398E-2</v>
      </c>
      <c r="E152" s="297">
        <f t="shared" si="95"/>
        <v>5.0113358533740347E-2</v>
      </c>
      <c r="F152" s="297">
        <f t="shared" si="95"/>
        <v>4.8957766991398283E-2</v>
      </c>
      <c r="G152" s="297">
        <f t="shared" si="95"/>
        <v>4.8578849560248959E-2</v>
      </c>
      <c r="H152" s="249">
        <f t="shared" si="95"/>
        <v>5.1284361693822764E-2</v>
      </c>
      <c r="I152" s="91">
        <f t="shared" si="95"/>
        <v>4.7576032869045513E-2</v>
      </c>
      <c r="J152" s="91">
        <f t="shared" si="95"/>
        <v>4.7305096007127082E-2</v>
      </c>
      <c r="K152" s="91">
        <f t="shared" si="95"/>
        <v>4.7990408149769591E-2</v>
      </c>
      <c r="L152" s="91">
        <f t="shared" si="95"/>
        <v>4.8486149400757073E-2</v>
      </c>
      <c r="M152" s="91">
        <f t="shared" si="95"/>
        <v>4.9368514215783074E-2</v>
      </c>
      <c r="N152" s="180">
        <f t="shared" si="95"/>
        <v>5.0830360119830421E-2</v>
      </c>
      <c r="O152" s="91">
        <f t="shared" si="95"/>
        <v>5.2227082464624618E-2</v>
      </c>
      <c r="P152" s="91">
        <f t="shared" si="95"/>
        <v>5.4509371249060634E-2</v>
      </c>
      <c r="Q152" s="91">
        <f t="shared" si="95"/>
        <v>5.6685779692733994E-2</v>
      </c>
      <c r="R152" s="91">
        <f t="shared" si="95"/>
        <v>5.8757749486676496E-2</v>
      </c>
      <c r="S152" s="91">
        <f t="shared" si="95"/>
        <v>6.059303768673973E-2</v>
      </c>
      <c r="T152" s="91">
        <f t="shared" si="95"/>
        <v>6.2328131729370434E-2</v>
      </c>
      <c r="U152" s="91">
        <f t="shared" si="95"/>
        <v>6.3760503080617439E-2</v>
      </c>
      <c r="V152" s="91">
        <f t="shared" si="95"/>
        <v>6.4904735244002754E-2</v>
      </c>
      <c r="W152" s="91">
        <f t="shared" si="95"/>
        <v>6.5845504400378327E-2</v>
      </c>
      <c r="X152" s="185">
        <f t="shared" si="95"/>
        <v>6.6531540352623195E-2</v>
      </c>
    </row>
    <row r="153" spans="1:35" hidden="1">
      <c r="A153" t="s">
        <v>201</v>
      </c>
      <c r="C153" s="307">
        <f>'backup - EIA liq_fuelS_aeo2014'!E46</f>
        <v>273.77869168296451</v>
      </c>
      <c r="D153" s="307">
        <f>'backup - EIA liq_fuelS_aeo2014'!F46</f>
        <v>330.59007454663532</v>
      </c>
      <c r="E153" s="307">
        <f>'backup - EIA liq_fuelS_aeo2014'!G46</f>
        <v>346.41273999999999</v>
      </c>
      <c r="F153" s="307">
        <f>'backup - EIA liq_fuelS_aeo2014'!H46</f>
        <v>332.23648773503913</v>
      </c>
      <c r="G153" s="307">
        <f>'backup - EIA liq_fuelS_aeo2014'!I46</f>
        <v>336.63400877733272</v>
      </c>
      <c r="H153" s="372">
        <f>'backup - EIA liq_fuelS_aeo2014'!J46</f>
        <v>352.19858305216189</v>
      </c>
      <c r="I153" s="52">
        <f>'backup - EIA liq_fuelS_aeo2014'!K46</f>
        <v>332.67387741278202</v>
      </c>
      <c r="J153" s="52">
        <f>'backup - EIA liq_fuelS_aeo2014'!L46</f>
        <v>334.25860074671806</v>
      </c>
      <c r="K153" s="52">
        <f>'backup - EIA liq_fuelS_aeo2014'!M46</f>
        <v>341.17813427402433</v>
      </c>
      <c r="L153" s="52">
        <f>'backup - EIA liq_fuelS_aeo2014'!N46</f>
        <v>345.58877710595249</v>
      </c>
      <c r="M153" s="52">
        <f>'backup - EIA liq_fuelS_aeo2014'!O46</f>
        <v>352.0193896929872</v>
      </c>
      <c r="N153" s="189">
        <f>'backup - EIA liq_fuelS_aeo2014'!P46</f>
        <v>362.16295876265764</v>
      </c>
      <c r="O153" s="52">
        <f>'backup - EIA liq_fuelS_aeo2014'!Q46</f>
        <v>371.28950968144909</v>
      </c>
      <c r="P153" s="52">
        <f>'backup - EIA liq_fuelS_aeo2014'!R46</f>
        <v>386.73310267300621</v>
      </c>
      <c r="Q153" s="52">
        <f>'backup - EIA liq_fuelS_aeo2014'!S46</f>
        <v>401.15959175664915</v>
      </c>
      <c r="R153" s="52">
        <f>'backup - EIA liq_fuelS_aeo2014'!T46</f>
        <v>414.56272820760728</v>
      </c>
      <c r="S153" s="52">
        <f>'backup - EIA liq_fuelS_aeo2014'!U46</f>
        <v>426.01426158540727</v>
      </c>
      <c r="T153" s="52">
        <f>'backup - EIA liq_fuelS_aeo2014'!V46</f>
        <v>436.3142303161336</v>
      </c>
      <c r="U153" s="52">
        <f>'backup - EIA liq_fuelS_aeo2014'!W46</f>
        <v>444.95490300330164</v>
      </c>
      <c r="V153" s="52">
        <f>'backup - EIA liq_fuelS_aeo2014'!X46</f>
        <v>451.53307562319765</v>
      </c>
      <c r="W153" s="52">
        <f>'backup - EIA liq_fuelS_aeo2014'!Y46</f>
        <v>456.17321024350161</v>
      </c>
      <c r="X153" s="336">
        <f>'backup - EIA liq_fuelS_aeo2014'!Z46</f>
        <v>459.60339229062083</v>
      </c>
    </row>
    <row r="154" spans="1:35" hidden="1">
      <c r="A154" t="s">
        <v>204</v>
      </c>
      <c r="C154" s="297">
        <f>C153/C149</f>
        <v>3.8621421054708789E-2</v>
      </c>
      <c r="D154" s="297">
        <f t="shared" ref="D154:X154" si="96">D153/D149</f>
        <v>4.62389906452398E-2</v>
      </c>
      <c r="E154" s="297">
        <f t="shared" si="96"/>
        <v>5.0113358533740347E-2</v>
      </c>
      <c r="F154" s="297">
        <f t="shared" si="96"/>
        <v>4.8957766991398283E-2</v>
      </c>
      <c r="G154" s="297">
        <f t="shared" si="96"/>
        <v>4.8578849560248959E-2</v>
      </c>
      <c r="H154" s="249">
        <f t="shared" si="96"/>
        <v>5.1284361693822764E-2</v>
      </c>
      <c r="I154" s="91">
        <f t="shared" si="96"/>
        <v>4.7576032869045513E-2</v>
      </c>
      <c r="J154" s="91">
        <f t="shared" si="96"/>
        <v>4.7305096007127082E-2</v>
      </c>
      <c r="K154" s="91">
        <f t="shared" si="96"/>
        <v>4.7990408149769591E-2</v>
      </c>
      <c r="L154" s="91">
        <f t="shared" si="96"/>
        <v>4.8486149400757073E-2</v>
      </c>
      <c r="M154" s="91">
        <f t="shared" si="96"/>
        <v>4.9368514215783074E-2</v>
      </c>
      <c r="N154" s="180">
        <f t="shared" si="96"/>
        <v>5.0830360119830421E-2</v>
      </c>
      <c r="O154" s="91">
        <f t="shared" si="96"/>
        <v>5.2227082464624618E-2</v>
      </c>
      <c r="P154" s="91">
        <f t="shared" si="96"/>
        <v>5.4509371249060634E-2</v>
      </c>
      <c r="Q154" s="91">
        <f t="shared" si="96"/>
        <v>5.6685779692733994E-2</v>
      </c>
      <c r="R154" s="91">
        <f t="shared" si="96"/>
        <v>5.8757749486676496E-2</v>
      </c>
      <c r="S154" s="91">
        <f t="shared" si="96"/>
        <v>6.059303768673973E-2</v>
      </c>
      <c r="T154" s="91">
        <f t="shared" si="96"/>
        <v>6.2328131729370434E-2</v>
      </c>
      <c r="U154" s="91">
        <f t="shared" si="96"/>
        <v>6.3760503080617439E-2</v>
      </c>
      <c r="V154" s="91">
        <f t="shared" si="96"/>
        <v>6.4904735244002754E-2</v>
      </c>
      <c r="W154" s="91">
        <f t="shared" si="96"/>
        <v>6.5845504400378327E-2</v>
      </c>
      <c r="X154" s="185">
        <f t="shared" si="96"/>
        <v>6.6531540352623195E-2</v>
      </c>
    </row>
    <row r="155" spans="1:35" hidden="1">
      <c r="A155" s="1" t="s">
        <v>202</v>
      </c>
      <c r="C155" s="307">
        <f>MAX(C151,C153)</f>
        <v>273.77869168296451</v>
      </c>
      <c r="D155" s="307">
        <f t="shared" ref="D155:X155" si="97">MAX(D151,D153)</f>
        <v>330.59007454663532</v>
      </c>
      <c r="E155" s="307">
        <f t="shared" si="97"/>
        <v>346.41273999999999</v>
      </c>
      <c r="F155" s="307">
        <f t="shared" si="97"/>
        <v>332.23648773503913</v>
      </c>
      <c r="G155" s="307">
        <f t="shared" si="97"/>
        <v>336.63400877733272</v>
      </c>
      <c r="H155" s="372">
        <f t="shared" si="97"/>
        <v>352.19858305216189</v>
      </c>
      <c r="I155" s="52">
        <f t="shared" si="97"/>
        <v>332.67387741278202</v>
      </c>
      <c r="J155" s="52">
        <f t="shared" si="97"/>
        <v>334.25860074671806</v>
      </c>
      <c r="K155" s="52">
        <f t="shared" si="97"/>
        <v>341.17813427402433</v>
      </c>
      <c r="L155" s="52">
        <f t="shared" si="97"/>
        <v>345.58877710595249</v>
      </c>
      <c r="M155" s="52">
        <f t="shared" si="97"/>
        <v>352.0193896929872</v>
      </c>
      <c r="N155" s="189">
        <f t="shared" si="97"/>
        <v>362.16295876265764</v>
      </c>
      <c r="O155" s="52">
        <f t="shared" si="97"/>
        <v>371.28950968144909</v>
      </c>
      <c r="P155" s="52">
        <f t="shared" si="97"/>
        <v>386.73310267300621</v>
      </c>
      <c r="Q155" s="52">
        <f t="shared" si="97"/>
        <v>401.15959175664915</v>
      </c>
      <c r="R155" s="52">
        <f t="shared" si="97"/>
        <v>414.56272820760728</v>
      </c>
      <c r="S155" s="52">
        <f t="shared" si="97"/>
        <v>426.01426158540727</v>
      </c>
      <c r="T155" s="52">
        <f t="shared" si="97"/>
        <v>436.3142303161336</v>
      </c>
      <c r="U155" s="52">
        <f t="shared" si="97"/>
        <v>444.95490300330164</v>
      </c>
      <c r="V155" s="52">
        <f t="shared" si="97"/>
        <v>451.53307562319765</v>
      </c>
      <c r="W155" s="52">
        <f t="shared" si="97"/>
        <v>456.17321024350161</v>
      </c>
      <c r="X155" s="336">
        <f t="shared" si="97"/>
        <v>459.60339229062083</v>
      </c>
    </row>
    <row r="156" spans="1:35" hidden="1">
      <c r="A156" t="s">
        <v>205</v>
      </c>
      <c r="I156" s="101"/>
      <c r="J156" s="101"/>
      <c r="K156" s="101"/>
      <c r="L156" s="101"/>
      <c r="M156" s="101"/>
      <c r="O156" s="101"/>
      <c r="P156" s="101"/>
      <c r="Q156" s="101"/>
      <c r="R156" s="101"/>
      <c r="S156" s="101"/>
      <c r="T156" s="101"/>
      <c r="U156" s="101"/>
      <c r="V156" s="101"/>
      <c r="W156" s="101"/>
    </row>
    <row r="157" spans="1:35" hidden="1">
      <c r="A157" t="s">
        <v>207</v>
      </c>
      <c r="C157" s="298">
        <f>C149-C150</f>
        <v>0</v>
      </c>
      <c r="D157" s="298">
        <f t="shared" ref="D157:X157" si="98">D149-D150</f>
        <v>0</v>
      </c>
      <c r="E157" s="298">
        <f t="shared" si="98"/>
        <v>0</v>
      </c>
      <c r="F157" s="298">
        <f t="shared" si="98"/>
        <v>0</v>
      </c>
      <c r="G157" s="298">
        <f t="shared" si="98"/>
        <v>0</v>
      </c>
      <c r="H157" s="371">
        <f t="shared" si="98"/>
        <v>0</v>
      </c>
      <c r="I157" s="16">
        <f t="shared" si="98"/>
        <v>0</v>
      </c>
      <c r="J157" s="16">
        <f t="shared" si="98"/>
        <v>0</v>
      </c>
      <c r="K157" s="16">
        <f t="shared" si="98"/>
        <v>0</v>
      </c>
      <c r="L157" s="16">
        <f t="shared" si="98"/>
        <v>0</v>
      </c>
      <c r="M157" s="16">
        <f t="shared" si="98"/>
        <v>0</v>
      </c>
      <c r="N157" s="188">
        <f t="shared" si="98"/>
        <v>0</v>
      </c>
      <c r="O157" s="16">
        <f t="shared" si="98"/>
        <v>0</v>
      </c>
      <c r="P157" s="16">
        <f t="shared" si="98"/>
        <v>0</v>
      </c>
      <c r="Q157" s="16">
        <f t="shared" si="98"/>
        <v>0</v>
      </c>
      <c r="R157" s="16">
        <f t="shared" si="98"/>
        <v>0</v>
      </c>
      <c r="S157" s="16">
        <f t="shared" si="98"/>
        <v>0</v>
      </c>
      <c r="T157" s="16">
        <f t="shared" si="98"/>
        <v>0</v>
      </c>
      <c r="U157" s="16">
        <f t="shared" si="98"/>
        <v>0</v>
      </c>
      <c r="V157" s="16">
        <f t="shared" si="98"/>
        <v>0</v>
      </c>
      <c r="W157" s="16">
        <f t="shared" si="98"/>
        <v>0</v>
      </c>
      <c r="X157" s="335">
        <f t="shared" si="98"/>
        <v>0</v>
      </c>
    </row>
    <row r="158" spans="1:35" hidden="1"/>
    <row r="159" spans="1:35" hidden="1">
      <c r="A159" s="1" t="s">
        <v>252</v>
      </c>
    </row>
    <row r="160" spans="1:35" hidden="1">
      <c r="A160" t="s">
        <v>285</v>
      </c>
      <c r="C160" s="295">
        <v>0</v>
      </c>
      <c r="D160" s="295">
        <v>0</v>
      </c>
      <c r="E160" s="295">
        <v>0</v>
      </c>
      <c r="F160" s="295">
        <v>0</v>
      </c>
      <c r="G160" s="295">
        <v>0</v>
      </c>
      <c r="H160" s="251">
        <v>0</v>
      </c>
      <c r="I160" s="83">
        <v>0</v>
      </c>
      <c r="J160" s="83">
        <v>0</v>
      </c>
      <c r="K160" s="83">
        <v>0</v>
      </c>
      <c r="L160" s="83">
        <v>0</v>
      </c>
      <c r="M160" s="83">
        <v>0</v>
      </c>
      <c r="N160" s="177">
        <v>0</v>
      </c>
      <c r="O160" s="83">
        <v>0</v>
      </c>
      <c r="P160" s="83">
        <v>0</v>
      </c>
      <c r="Q160" s="83">
        <v>0</v>
      </c>
      <c r="R160" s="83">
        <v>0</v>
      </c>
      <c r="S160" s="83">
        <v>0</v>
      </c>
      <c r="T160" s="83">
        <v>0</v>
      </c>
      <c r="U160" s="83">
        <v>0</v>
      </c>
      <c r="V160" s="83">
        <v>0</v>
      </c>
      <c r="W160" s="83">
        <v>0</v>
      </c>
      <c r="X160" s="184">
        <v>0</v>
      </c>
    </row>
    <row r="161" spans="1:35" hidden="1">
      <c r="A161" t="s">
        <v>286</v>
      </c>
      <c r="C161" s="295">
        <v>0</v>
      </c>
      <c r="D161" s="295">
        <v>0</v>
      </c>
      <c r="E161" s="295">
        <v>0</v>
      </c>
      <c r="F161" s="295">
        <v>0</v>
      </c>
      <c r="G161" s="295">
        <v>0</v>
      </c>
      <c r="H161" s="251">
        <v>0</v>
      </c>
      <c r="I161" s="83">
        <v>0</v>
      </c>
      <c r="J161" s="83">
        <v>0</v>
      </c>
      <c r="K161" s="83">
        <v>0</v>
      </c>
      <c r="L161" s="83">
        <v>0</v>
      </c>
      <c r="M161" s="83">
        <v>0</v>
      </c>
      <c r="N161" s="177">
        <v>0</v>
      </c>
      <c r="O161" s="83">
        <v>0</v>
      </c>
      <c r="P161" s="83">
        <v>0</v>
      </c>
      <c r="Q161" s="83">
        <v>0</v>
      </c>
      <c r="R161" s="83">
        <v>0</v>
      </c>
      <c r="S161" s="83">
        <v>0</v>
      </c>
      <c r="T161" s="83">
        <v>0</v>
      </c>
      <c r="U161" s="83">
        <v>0</v>
      </c>
      <c r="V161" s="83">
        <v>0</v>
      </c>
      <c r="W161" s="83">
        <v>0</v>
      </c>
      <c r="X161" s="184">
        <v>0</v>
      </c>
    </row>
    <row r="162" spans="1:35" hidden="1">
      <c r="A162" t="s">
        <v>287</v>
      </c>
      <c r="C162" s="295">
        <v>0</v>
      </c>
      <c r="D162" s="295">
        <v>0</v>
      </c>
      <c r="E162" s="295">
        <v>0</v>
      </c>
      <c r="F162" s="295">
        <v>0</v>
      </c>
      <c r="G162" s="295">
        <v>0</v>
      </c>
      <c r="H162" s="251">
        <v>0</v>
      </c>
      <c r="I162" s="83">
        <v>0</v>
      </c>
      <c r="J162" s="83">
        <v>0</v>
      </c>
      <c r="K162" s="83">
        <v>0</v>
      </c>
      <c r="L162" s="83">
        <v>0</v>
      </c>
      <c r="M162" s="83">
        <v>0</v>
      </c>
      <c r="N162" s="177">
        <v>0</v>
      </c>
      <c r="O162" s="83">
        <v>0</v>
      </c>
      <c r="P162" s="83">
        <v>0</v>
      </c>
      <c r="Q162" s="83">
        <v>0</v>
      </c>
      <c r="R162" s="83">
        <v>0</v>
      </c>
      <c r="S162" s="83">
        <v>0</v>
      </c>
      <c r="T162" s="83">
        <v>0</v>
      </c>
      <c r="U162" s="83">
        <v>0</v>
      </c>
      <c r="V162" s="83">
        <v>0</v>
      </c>
      <c r="W162" s="83">
        <v>0</v>
      </c>
      <c r="X162" s="184">
        <v>0</v>
      </c>
    </row>
    <row r="163" spans="1:35" hidden="1">
      <c r="A163" t="s">
        <v>288</v>
      </c>
      <c r="C163" s="295">
        <v>0</v>
      </c>
      <c r="D163" s="295">
        <v>0</v>
      </c>
      <c r="E163" s="295">
        <v>0</v>
      </c>
      <c r="F163" s="295">
        <v>0</v>
      </c>
      <c r="G163" s="295">
        <v>0</v>
      </c>
      <c r="H163" s="251">
        <v>0</v>
      </c>
      <c r="I163" s="83">
        <v>0</v>
      </c>
      <c r="J163" s="83">
        <v>0</v>
      </c>
      <c r="K163" s="83">
        <v>0</v>
      </c>
      <c r="L163" s="83">
        <v>0</v>
      </c>
      <c r="M163" s="83">
        <v>0</v>
      </c>
      <c r="N163" s="177">
        <v>0</v>
      </c>
      <c r="O163" s="83">
        <v>0</v>
      </c>
      <c r="P163" s="83">
        <v>0</v>
      </c>
      <c r="Q163" s="83">
        <v>0</v>
      </c>
      <c r="R163" s="83">
        <v>0</v>
      </c>
      <c r="S163" s="83">
        <v>0</v>
      </c>
      <c r="T163" s="83">
        <v>0</v>
      </c>
      <c r="U163" s="83">
        <v>0</v>
      </c>
      <c r="V163" s="83">
        <v>0</v>
      </c>
      <c r="W163" s="83">
        <v>0</v>
      </c>
      <c r="X163" s="184">
        <v>0</v>
      </c>
      <c r="AI163" s="79" t="s">
        <v>0</v>
      </c>
    </row>
    <row r="164" spans="1:35" hidden="1">
      <c r="A164" t="s">
        <v>289</v>
      </c>
      <c r="C164" s="295" t="e">
        <f>C157*#REF!</f>
        <v>#REF!</v>
      </c>
      <c r="D164" s="295" t="e">
        <f>D157*#REF!</f>
        <v>#REF!</v>
      </c>
      <c r="E164" s="295" t="e">
        <f>E157*#REF!</f>
        <v>#REF!</v>
      </c>
      <c r="F164" s="295" t="e">
        <f>F157*#REF!</f>
        <v>#REF!</v>
      </c>
      <c r="G164" s="295" t="e">
        <f>G157*#REF!</f>
        <v>#REF!</v>
      </c>
      <c r="H164" s="251" t="e">
        <f>H157*#REF!</f>
        <v>#REF!</v>
      </c>
      <c r="I164" s="83" t="e">
        <f>I157*#REF!</f>
        <v>#REF!</v>
      </c>
      <c r="J164" s="83" t="e">
        <f>J157*#REF!</f>
        <v>#REF!</v>
      </c>
      <c r="K164" s="83" t="e">
        <f>K157*#REF!</f>
        <v>#REF!</v>
      </c>
      <c r="L164" s="83" t="e">
        <f>L157*#REF!</f>
        <v>#REF!</v>
      </c>
      <c r="M164" s="83" t="e">
        <f>M157*#REF!</f>
        <v>#REF!</v>
      </c>
      <c r="N164" s="177" t="e">
        <f>N157*#REF!</f>
        <v>#REF!</v>
      </c>
      <c r="O164" s="83" t="e">
        <f>O157*#REF!</f>
        <v>#REF!</v>
      </c>
      <c r="P164" s="83" t="e">
        <f>P157*#REF!</f>
        <v>#REF!</v>
      </c>
      <c r="Q164" s="83" t="e">
        <f>Q157*#REF!</f>
        <v>#REF!</v>
      </c>
      <c r="R164" s="83" t="e">
        <f>R157*#REF!</f>
        <v>#REF!</v>
      </c>
      <c r="S164" s="83" t="e">
        <f>S157*#REF!</f>
        <v>#REF!</v>
      </c>
      <c r="T164" s="83" t="e">
        <f>T157*#REF!</f>
        <v>#REF!</v>
      </c>
      <c r="U164" s="83" t="e">
        <f>U157*#REF!</f>
        <v>#REF!</v>
      </c>
      <c r="V164" s="83" t="e">
        <f>V157*#REF!</f>
        <v>#REF!</v>
      </c>
      <c r="W164" s="83" t="e">
        <f>W157*#REF!</f>
        <v>#REF!</v>
      </c>
      <c r="X164" s="184" t="e">
        <f>X157*#REF!</f>
        <v>#REF!</v>
      </c>
    </row>
    <row r="165" spans="1:35" hidden="1">
      <c r="A165" t="s">
        <v>290</v>
      </c>
      <c r="C165" s="295">
        <v>0</v>
      </c>
      <c r="D165" s="295">
        <v>0</v>
      </c>
      <c r="E165" s="295">
        <v>0</v>
      </c>
      <c r="F165" s="295">
        <v>0</v>
      </c>
      <c r="G165" s="295">
        <v>0</v>
      </c>
      <c r="H165" s="251">
        <v>0</v>
      </c>
      <c r="I165" s="83">
        <v>0</v>
      </c>
      <c r="J165" s="83">
        <v>0</v>
      </c>
      <c r="K165" s="83">
        <v>0</v>
      </c>
      <c r="L165" s="83">
        <v>0</v>
      </c>
      <c r="M165" s="83">
        <v>0</v>
      </c>
      <c r="N165" s="177">
        <v>0</v>
      </c>
      <c r="O165" s="83">
        <v>0</v>
      </c>
      <c r="P165" s="83">
        <v>0</v>
      </c>
      <c r="Q165" s="83">
        <v>0</v>
      </c>
      <c r="R165" s="83">
        <v>0</v>
      </c>
      <c r="S165" s="83">
        <v>0</v>
      </c>
      <c r="T165" s="83">
        <v>0</v>
      </c>
      <c r="U165" s="83">
        <v>0</v>
      </c>
      <c r="V165" s="83">
        <v>0</v>
      </c>
      <c r="W165" s="83">
        <v>0</v>
      </c>
      <c r="X165" s="184">
        <v>0</v>
      </c>
    </row>
    <row r="166" spans="1:35" hidden="1">
      <c r="A166" t="s">
        <v>254</v>
      </c>
      <c r="C166" s="295" t="e">
        <f>C162-C160+C164+C165</f>
        <v>#REF!</v>
      </c>
      <c r="D166" s="295">
        <v>0</v>
      </c>
      <c r="E166" s="295">
        <v>0</v>
      </c>
      <c r="F166" s="295">
        <v>0</v>
      </c>
      <c r="G166" s="295">
        <v>0</v>
      </c>
      <c r="H166" s="251">
        <v>0</v>
      </c>
      <c r="I166" s="83">
        <v>0</v>
      </c>
      <c r="J166" s="83">
        <v>0</v>
      </c>
      <c r="K166" s="83">
        <v>0</v>
      </c>
      <c r="L166" s="83">
        <v>0</v>
      </c>
      <c r="M166" s="83">
        <v>0</v>
      </c>
      <c r="N166" s="177">
        <v>0</v>
      </c>
      <c r="O166" s="83">
        <v>0</v>
      </c>
      <c r="P166" s="83">
        <v>0</v>
      </c>
      <c r="Q166" s="83">
        <v>0</v>
      </c>
      <c r="R166" s="83">
        <v>0</v>
      </c>
      <c r="S166" s="83">
        <v>0</v>
      </c>
      <c r="T166" s="83">
        <v>0</v>
      </c>
      <c r="U166" s="83">
        <v>0</v>
      </c>
      <c r="V166" s="83">
        <v>0</v>
      </c>
      <c r="W166" s="83">
        <v>0</v>
      </c>
      <c r="X166" s="184">
        <v>0</v>
      </c>
    </row>
    <row r="167" spans="1:35" hidden="1">
      <c r="I167" s="100"/>
      <c r="J167" s="100"/>
      <c r="K167" s="100"/>
      <c r="L167" s="100"/>
      <c r="M167" s="100"/>
      <c r="O167" s="100"/>
      <c r="P167" s="100"/>
      <c r="Q167" s="100"/>
      <c r="R167" s="100"/>
      <c r="S167" s="100"/>
      <c r="T167" s="100"/>
      <c r="U167" s="100"/>
      <c r="V167" s="100"/>
      <c r="W167" s="100"/>
    </row>
    <row r="168" spans="1:35" hidden="1">
      <c r="A168" s="1" t="s">
        <v>253</v>
      </c>
      <c r="I168" s="100"/>
      <c r="J168" s="100"/>
      <c r="K168" s="100"/>
      <c r="L168" s="100"/>
      <c r="M168" s="100"/>
      <c r="O168" s="100"/>
      <c r="P168" s="100"/>
      <c r="Q168" s="100"/>
      <c r="R168" s="100"/>
      <c r="S168" s="100"/>
      <c r="T168" s="100"/>
      <c r="U168" s="100"/>
      <c r="V168" s="100"/>
      <c r="W168" s="100"/>
    </row>
    <row r="169" spans="1:35" hidden="1">
      <c r="A169" s="55" t="s">
        <v>294</v>
      </c>
      <c r="C169" s="295">
        <v>0</v>
      </c>
      <c r="D169" s="295">
        <v>0</v>
      </c>
      <c r="E169" s="295">
        <v>0</v>
      </c>
      <c r="F169" s="295">
        <v>0</v>
      </c>
      <c r="G169" s="295">
        <v>0</v>
      </c>
      <c r="H169" s="251">
        <v>0</v>
      </c>
      <c r="I169" s="83">
        <v>0</v>
      </c>
      <c r="J169" s="83">
        <v>0</v>
      </c>
      <c r="K169" s="83">
        <v>0</v>
      </c>
      <c r="L169" s="83">
        <v>0</v>
      </c>
      <c r="M169" s="83">
        <v>0</v>
      </c>
      <c r="N169" s="177">
        <v>0</v>
      </c>
      <c r="O169" s="83">
        <v>0</v>
      </c>
      <c r="P169" s="83">
        <v>0</v>
      </c>
      <c r="Q169" s="83">
        <v>0</v>
      </c>
      <c r="R169" s="83">
        <v>0</v>
      </c>
      <c r="S169" s="83">
        <v>0</v>
      </c>
      <c r="T169" s="83">
        <v>0</v>
      </c>
      <c r="U169" s="83">
        <v>0</v>
      </c>
      <c r="V169" s="83">
        <v>0</v>
      </c>
      <c r="W169" s="83">
        <v>0</v>
      </c>
      <c r="X169" s="184">
        <v>0</v>
      </c>
    </row>
    <row r="170" spans="1:35" hidden="1">
      <c r="A170" s="55" t="s">
        <v>295</v>
      </c>
      <c r="C170" s="295">
        <v>0</v>
      </c>
      <c r="D170" s="295">
        <v>0</v>
      </c>
      <c r="E170" s="295">
        <v>0</v>
      </c>
      <c r="F170" s="295">
        <v>0</v>
      </c>
      <c r="G170" s="295">
        <v>0</v>
      </c>
      <c r="H170" s="251">
        <v>0</v>
      </c>
      <c r="I170" s="83">
        <v>0</v>
      </c>
      <c r="J170" s="83">
        <v>0</v>
      </c>
      <c r="K170" s="83">
        <v>0</v>
      </c>
      <c r="L170" s="83">
        <v>0</v>
      </c>
      <c r="M170" s="83">
        <v>0</v>
      </c>
      <c r="N170" s="177">
        <v>0</v>
      </c>
      <c r="O170" s="83">
        <v>0</v>
      </c>
      <c r="P170" s="83">
        <v>0</v>
      </c>
      <c r="Q170" s="83">
        <v>0</v>
      </c>
      <c r="R170" s="83">
        <v>0</v>
      </c>
      <c r="S170" s="83">
        <v>0</v>
      </c>
      <c r="T170" s="83">
        <v>0</v>
      </c>
      <c r="U170" s="83">
        <v>0</v>
      </c>
      <c r="V170" s="83">
        <v>0</v>
      </c>
      <c r="W170" s="83">
        <v>0</v>
      </c>
      <c r="X170" s="184">
        <v>0</v>
      </c>
    </row>
    <row r="171" spans="1:35" hidden="1">
      <c r="A171" s="55" t="s">
        <v>296</v>
      </c>
      <c r="C171" s="295">
        <v>0</v>
      </c>
      <c r="D171" s="295">
        <v>0</v>
      </c>
      <c r="E171" s="295">
        <v>0</v>
      </c>
      <c r="F171" s="295">
        <v>0</v>
      </c>
      <c r="G171" s="295">
        <v>0</v>
      </c>
      <c r="H171" s="251">
        <v>0</v>
      </c>
      <c r="I171" s="83">
        <v>0</v>
      </c>
      <c r="J171" s="83">
        <v>0</v>
      </c>
      <c r="K171" s="83">
        <v>0</v>
      </c>
      <c r="L171" s="83">
        <v>0</v>
      </c>
      <c r="M171" s="83">
        <v>0</v>
      </c>
      <c r="N171" s="177">
        <v>0</v>
      </c>
      <c r="O171" s="83">
        <v>0</v>
      </c>
      <c r="P171" s="83">
        <v>0</v>
      </c>
      <c r="Q171" s="83">
        <v>0</v>
      </c>
      <c r="R171" s="83">
        <v>0</v>
      </c>
      <c r="S171" s="83">
        <v>0</v>
      </c>
      <c r="T171" s="83">
        <v>0</v>
      </c>
      <c r="U171" s="83">
        <v>0</v>
      </c>
      <c r="V171" s="83">
        <v>0</v>
      </c>
      <c r="W171" s="83">
        <v>0</v>
      </c>
      <c r="X171" s="184">
        <v>0</v>
      </c>
    </row>
    <row r="172" spans="1:35" hidden="1">
      <c r="A172" s="55" t="s">
        <v>297</v>
      </c>
      <c r="C172" s="295">
        <v>0</v>
      </c>
      <c r="D172" s="295">
        <v>0</v>
      </c>
      <c r="E172" s="295">
        <v>0</v>
      </c>
      <c r="F172" s="295">
        <v>0</v>
      </c>
      <c r="G172" s="295">
        <v>0</v>
      </c>
      <c r="H172" s="251">
        <v>0</v>
      </c>
      <c r="I172" s="83">
        <v>0</v>
      </c>
      <c r="J172" s="83">
        <v>0</v>
      </c>
      <c r="K172" s="83">
        <v>0</v>
      </c>
      <c r="L172" s="83">
        <v>0</v>
      </c>
      <c r="M172" s="83">
        <v>0</v>
      </c>
      <c r="N172" s="177">
        <v>0</v>
      </c>
      <c r="O172" s="83">
        <v>0</v>
      </c>
      <c r="P172" s="83">
        <v>0</v>
      </c>
      <c r="Q172" s="83">
        <v>0</v>
      </c>
      <c r="R172" s="83">
        <v>0</v>
      </c>
      <c r="S172" s="83">
        <v>0</v>
      </c>
      <c r="T172" s="83">
        <v>0</v>
      </c>
      <c r="U172" s="83">
        <v>0</v>
      </c>
      <c r="V172" s="83">
        <v>0</v>
      </c>
      <c r="W172" s="83">
        <v>0</v>
      </c>
      <c r="X172" s="184">
        <v>0</v>
      </c>
    </row>
    <row r="173" spans="1:35" hidden="1">
      <c r="A173" s="55" t="s">
        <v>255</v>
      </c>
      <c r="C173" s="295" t="e">
        <f>'backup - Mass Transit'!BC34</f>
        <v>#REF!</v>
      </c>
      <c r="D173" s="295" t="e">
        <f>'backup - Mass Transit'!BD34</f>
        <v>#REF!</v>
      </c>
      <c r="E173" s="295" t="e">
        <f>'backup - Mass Transit'!BE34</f>
        <v>#REF!</v>
      </c>
      <c r="F173" s="295" t="e">
        <f>'backup - Mass Transit'!BF34</f>
        <v>#REF!</v>
      </c>
      <c r="G173" s="295" t="e">
        <f>'backup - Mass Transit'!BG34</f>
        <v>#REF!</v>
      </c>
      <c r="H173" s="251" t="e">
        <f>'backup - Mass Transit'!BH34</f>
        <v>#REF!</v>
      </c>
      <c r="I173" s="83" t="e">
        <f>'backup - Mass Transit'!BI34</f>
        <v>#REF!</v>
      </c>
      <c r="J173" s="83" t="e">
        <f>'backup - Mass Transit'!BJ34</f>
        <v>#REF!</v>
      </c>
      <c r="K173" s="83" t="e">
        <f>'backup - Mass Transit'!BK34</f>
        <v>#REF!</v>
      </c>
      <c r="L173" s="83" t="e">
        <f>'backup - Mass Transit'!BL34</f>
        <v>#REF!</v>
      </c>
      <c r="M173" s="83" t="e">
        <f>'backup - Mass Transit'!BM34</f>
        <v>#REF!</v>
      </c>
      <c r="N173" s="177" t="e">
        <f>'backup - Mass Transit'!BN34</f>
        <v>#REF!</v>
      </c>
      <c r="O173" s="83" t="e">
        <f>'backup - Mass Transit'!BO34</f>
        <v>#REF!</v>
      </c>
      <c r="P173" s="83" t="e">
        <f>'backup - Mass Transit'!BP34</f>
        <v>#REF!</v>
      </c>
      <c r="Q173" s="83" t="e">
        <f>'backup - Mass Transit'!BQ34</f>
        <v>#REF!</v>
      </c>
      <c r="R173" s="83" t="e">
        <f>'backup - Mass Transit'!BR34</f>
        <v>#REF!</v>
      </c>
      <c r="S173" s="83" t="e">
        <f>'backup - Mass Transit'!BS34</f>
        <v>#REF!</v>
      </c>
      <c r="T173" s="83" t="e">
        <f>'backup - Mass Transit'!BT34</f>
        <v>#REF!</v>
      </c>
      <c r="U173" s="83" t="e">
        <f>'backup - Mass Transit'!BU34</f>
        <v>#REF!</v>
      </c>
      <c r="V173" s="83" t="e">
        <f>'backup - Mass Transit'!BV34</f>
        <v>#REF!</v>
      </c>
      <c r="W173" s="83" t="e">
        <f>'backup - Mass Transit'!BW34</f>
        <v>#REF!</v>
      </c>
      <c r="X173" s="184" t="e">
        <f>'backup - Mass Transit'!BX34</f>
        <v>#REF!</v>
      </c>
    </row>
    <row r="175" spans="1:35">
      <c r="A175" s="75" t="s">
        <v>256</v>
      </c>
      <c r="C175" s="293">
        <v>2009</v>
      </c>
      <c r="D175" s="293">
        <v>2010</v>
      </c>
      <c r="E175" s="293">
        <v>2011</v>
      </c>
      <c r="F175" s="293">
        <v>2012</v>
      </c>
      <c r="G175" s="293">
        <v>2013</v>
      </c>
      <c r="H175" s="365">
        <v>2014</v>
      </c>
      <c r="I175" s="13">
        <v>2015</v>
      </c>
      <c r="J175" s="13">
        <v>2016</v>
      </c>
      <c r="K175" s="13">
        <v>2017</v>
      </c>
      <c r="L175" s="13">
        <v>2018</v>
      </c>
      <c r="M175" s="13">
        <v>2019</v>
      </c>
      <c r="N175" s="176">
        <v>2020</v>
      </c>
      <c r="O175" s="13">
        <v>2021</v>
      </c>
      <c r="P175" s="13">
        <v>2022</v>
      </c>
      <c r="Q175" s="13">
        <v>2023</v>
      </c>
      <c r="R175" s="13">
        <v>2024</v>
      </c>
      <c r="S175" s="13">
        <v>2025</v>
      </c>
      <c r="T175" s="13">
        <v>2026</v>
      </c>
      <c r="U175" s="13">
        <v>2027</v>
      </c>
      <c r="V175" s="13">
        <v>2028</v>
      </c>
      <c r="W175" s="13">
        <v>2029</v>
      </c>
      <c r="X175" s="176">
        <v>2030</v>
      </c>
      <c r="Y175" s="13">
        <v>2031</v>
      </c>
      <c r="Z175" s="13">
        <v>2032</v>
      </c>
      <c r="AA175" s="13">
        <v>2033</v>
      </c>
      <c r="AB175" s="13">
        <v>2034</v>
      </c>
      <c r="AC175" s="13">
        <v>2035</v>
      </c>
      <c r="AD175" s="13">
        <v>2036</v>
      </c>
      <c r="AE175" s="13">
        <v>2037</v>
      </c>
      <c r="AF175" s="13">
        <v>2038</v>
      </c>
      <c r="AG175" s="13">
        <v>2039</v>
      </c>
      <c r="AH175" s="176">
        <v>2040</v>
      </c>
      <c r="AI175" s="1" t="s">
        <v>0</v>
      </c>
    </row>
    <row r="176" spans="1:35">
      <c r="A176" s="75" t="s">
        <v>299</v>
      </c>
      <c r="C176" s="299">
        <f>'Output - Jobs vs Yr (BAU)'!C55+'Output - Jobs vs Yr (BAU)'!C73</f>
        <v>13435.852280000003</v>
      </c>
      <c r="D176" s="299">
        <f>'Output - Jobs vs Yr (BAU)'!D55+'Output - Jobs vs Yr (BAU)'!D73</f>
        <v>14164.78728</v>
      </c>
      <c r="E176" s="299">
        <f>'Output - Jobs vs Yr (BAU)'!E55+'Output - Jobs vs Yr (BAU)'!E73</f>
        <v>13374.528820531192</v>
      </c>
      <c r="F176" s="299">
        <f>'Output - Jobs vs Yr (BAU)'!F55+'Output - Jobs vs Yr (BAU)'!F73</f>
        <v>12753.836381645951</v>
      </c>
      <c r="G176" s="299">
        <f>'Output - Jobs vs Yr (BAU)'!G55+'Output - Jobs vs Yr (BAU)'!G73</f>
        <v>13071.050982415793</v>
      </c>
      <c r="H176" s="369">
        <f>'Output - Jobs vs Yr (BAU)'!H55+'Output - Jobs vs Yr (BAU)'!H73</f>
        <v>13175.860901045126</v>
      </c>
      <c r="I176" s="19">
        <f>'Output - Jobs vs Yr (BAU)'!I55+'Output - Jobs vs Yr (BAU)'!I73</f>
        <v>13286.653854983231</v>
      </c>
      <c r="J176" s="19">
        <f>'Output - Jobs vs Yr (BAU)'!J55+'Output - Jobs vs Yr (BAU)'!J73</f>
        <v>13556.491157541785</v>
      </c>
      <c r="K176" s="19">
        <f>'Output - Jobs vs Yr (BAU)'!K55+'Output - Jobs vs Yr (BAU)'!K73</f>
        <v>13936.308903949528</v>
      </c>
      <c r="L176" s="19">
        <f>'Output - Jobs vs Yr (BAU)'!L55+'Output - Jobs vs Yr (BAU)'!L73</f>
        <v>14163.932128030636</v>
      </c>
      <c r="M176" s="19">
        <f>'Output - Jobs vs Yr (BAU)'!M55+'Output - Jobs vs Yr (BAU)'!M73</f>
        <v>14306.818053085532</v>
      </c>
      <c r="N176" s="182">
        <f>'Output - Jobs vs Yr (BAU)'!N55+'Output - Jobs vs Yr (BAU)'!N73</f>
        <v>14413.740329424687</v>
      </c>
      <c r="O176" s="19">
        <f>'Output - Jobs vs Yr (BAU)'!O55+'Output - Jobs vs Yr (BAU)'!O73</f>
        <v>14563.684458552176</v>
      </c>
      <c r="P176" s="19">
        <f>'Output - Jobs vs Yr (BAU)'!P55+'Output - Jobs vs Yr (BAU)'!P73</f>
        <v>14703.559597839167</v>
      </c>
      <c r="Q176" s="19">
        <f>'Output - Jobs vs Yr (BAU)'!Q55+'Output - Jobs vs Yr (BAU)'!Q73</f>
        <v>14950.277832602213</v>
      </c>
      <c r="R176" s="19">
        <f>'Output - Jobs vs Yr (BAU)'!R55+'Output - Jobs vs Yr (BAU)'!R73</f>
        <v>15129.695382427968</v>
      </c>
      <c r="S176" s="19">
        <f>'Output - Jobs vs Yr (BAU)'!S55+'Output - Jobs vs Yr (BAU)'!S73</f>
        <v>15379.433469812007</v>
      </c>
      <c r="T176" s="19">
        <f>'Output - Jobs vs Yr (BAU)'!T55+'Output - Jobs vs Yr (BAU)'!T73</f>
        <v>15472.469474181165</v>
      </c>
      <c r="U176" s="19">
        <f>'Output - Jobs vs Yr (BAU)'!U55+'Output - Jobs vs Yr (BAU)'!U73</f>
        <v>15552.841353526688</v>
      </c>
      <c r="V176" s="19">
        <f>'Output - Jobs vs Yr (BAU)'!V55+'Output - Jobs vs Yr (BAU)'!V73</f>
        <v>15644.486580898325</v>
      </c>
      <c r="W176" s="19">
        <f>'Output - Jobs vs Yr (BAU)'!W55+'Output - Jobs vs Yr (BAU)'!W73</f>
        <v>15847.815203232709</v>
      </c>
      <c r="X176" s="182">
        <f>'Output - Jobs vs Yr (BAU)'!X55+'Output - Jobs vs Yr (BAU)'!X73</f>
        <v>15937.141676860447</v>
      </c>
      <c r="Y176" s="206">
        <f>'Output - Jobs vs Yr (BAU)'!Y55+'Output - Jobs vs Yr (BAU)'!Y73</f>
        <v>15978.501841726762</v>
      </c>
      <c r="Z176" s="206">
        <f>'Output - Jobs vs Yr (BAU)'!Z55+'Output - Jobs vs Yr (BAU)'!Z73</f>
        <v>16034.113243818418</v>
      </c>
      <c r="AA176" s="206">
        <f>'Output - Jobs vs Yr (BAU)'!AA55+'Output - Jobs vs Yr (BAU)'!AA73</f>
        <v>16077.081786873912</v>
      </c>
      <c r="AB176" s="206">
        <f>'Output - Jobs vs Yr (BAU)'!AB55+'Output - Jobs vs Yr (BAU)'!AB73</f>
        <v>16133.834010329012</v>
      </c>
      <c r="AC176" s="206">
        <f>'Output - Jobs vs Yr (BAU)'!AC55+'Output - Jobs vs Yr (BAU)'!AC73</f>
        <v>16210.930716057652</v>
      </c>
      <c r="AD176" s="206">
        <f>'Output - Jobs vs Yr (BAU)'!AD55+'Output - Jobs vs Yr (BAU)'!AD73</f>
        <v>16289.98878195912</v>
      </c>
      <c r="AE176" s="206">
        <f>'Output - Jobs vs Yr (BAU)'!AE55+'Output - Jobs vs Yr (BAU)'!AE73</f>
        <v>16395.478198034823</v>
      </c>
      <c r="AF176" s="206">
        <f>'Output - Jobs vs Yr (BAU)'!AF55+'Output - Jobs vs Yr (BAU)'!AF73</f>
        <v>16517.683902291807</v>
      </c>
      <c r="AG176" s="206">
        <f>'Output - Jobs vs Yr (BAU)'!AG55+'Output - Jobs vs Yr (BAU)'!AG73</f>
        <v>16623.715035220579</v>
      </c>
      <c r="AH176" s="182">
        <f>'Output - Jobs vs Yr (BAU)'!AH55+'Output - Jobs vs Yr (BAU)'!AH73</f>
        <v>16711.058533815205</v>
      </c>
      <c r="AI176" s="1"/>
    </row>
    <row r="177" spans="1:35">
      <c r="A177" s="76" t="s">
        <v>300</v>
      </c>
      <c r="C177" s="299">
        <f>'Output - Jobs vs Yr (BAU)'!C55</f>
        <v>7071.5012000000006</v>
      </c>
      <c r="D177" s="299">
        <f>'Output - Jobs vs Yr (BAU)'!D55</f>
        <v>7455.1512000000002</v>
      </c>
      <c r="E177" s="299">
        <f>'Output - Jobs vs Yr (BAU)'!E55</f>
        <v>7039.2256950164183</v>
      </c>
      <c r="F177" s="299">
        <f>'Output - Jobs vs Yr (BAU)'!F55</f>
        <v>6712.5454640241851</v>
      </c>
      <c r="G177" s="299">
        <f>'Output - Jobs vs Yr (BAU)'!G55</f>
        <v>6879.5005170609429</v>
      </c>
      <c r="H177" s="369">
        <f>'Output - Jobs vs Yr (BAU)'!H55</f>
        <v>6934.6636321290134</v>
      </c>
      <c r="I177" s="19">
        <f>'Output - Jobs vs Yr (BAU)'!I55</f>
        <v>6992.9757131490696</v>
      </c>
      <c r="J177" s="19">
        <f>'Output - Jobs vs Yr (BAU)'!J55</f>
        <v>7134.9953460746228</v>
      </c>
      <c r="K177" s="19">
        <f>'Output - Jobs vs Yr (BAU)'!K55</f>
        <v>7334.89942313133</v>
      </c>
      <c r="L177" s="19">
        <f>'Output - Jobs vs Yr (BAU)'!L55</f>
        <v>7454.7011200161251</v>
      </c>
      <c r="M177" s="19">
        <f>'Output - Jobs vs Yr (BAU)'!M55</f>
        <v>7529.9042384660697</v>
      </c>
      <c r="N177" s="182">
        <f>'Output - Jobs vs Yr (BAU)'!N55</f>
        <v>7586.1791207498354</v>
      </c>
      <c r="O177" s="19">
        <f>'Output - Jobs vs Yr (BAU)'!O55</f>
        <v>7665.0970834485133</v>
      </c>
      <c r="P177" s="19">
        <f>'Output - Jobs vs Yr (BAU)'!P55</f>
        <v>7738.7155778100878</v>
      </c>
      <c r="Q177" s="19">
        <f>'Output - Jobs vs Yr (BAU)'!Q55</f>
        <v>7868.5672803169546</v>
      </c>
      <c r="R177" s="19">
        <f>'Output - Jobs vs Yr (BAU)'!R55</f>
        <v>7962.9975696989313</v>
      </c>
      <c r="S177" s="19">
        <f>'Output - Jobs vs Yr (BAU)'!S55</f>
        <v>8094.4386683221092</v>
      </c>
      <c r="T177" s="19">
        <f>'Output - Jobs vs Yr (BAU)'!T55</f>
        <v>8143.4049864111403</v>
      </c>
      <c r="U177" s="19">
        <f>'Output - Jobs vs Yr (BAU)'!U55</f>
        <v>8185.7059755403625</v>
      </c>
      <c r="V177" s="19">
        <f>'Output - Jobs vs Yr (BAU)'!V55</f>
        <v>8233.9403057359596</v>
      </c>
      <c r="W177" s="19">
        <f>'Output - Jobs vs Yr (BAU)'!W55</f>
        <v>8340.9553701224795</v>
      </c>
      <c r="X177" s="182">
        <f>'Output - Jobs vs Yr (BAU)'!X55</f>
        <v>8387.9693036107619</v>
      </c>
      <c r="Y177" s="206">
        <f>'Output - Jobs vs Yr (BAU)'!Y55</f>
        <v>8409.7378114351377</v>
      </c>
      <c r="Z177" s="206">
        <f>'Output - Jobs vs Yr (BAU)'!Z55</f>
        <v>8439.0069704307462</v>
      </c>
      <c r="AA177" s="206">
        <f>'Output - Jobs vs Yr (BAU)'!AA55</f>
        <v>8461.621993091534</v>
      </c>
      <c r="AB177" s="206">
        <f>'Output - Jobs vs Yr (BAU)'!AB55</f>
        <v>8491.4915843836898</v>
      </c>
      <c r="AC177" s="206">
        <f>'Output - Jobs vs Yr (BAU)'!AC55</f>
        <v>8532.0687979250797</v>
      </c>
      <c r="AD177" s="206">
        <f>'Output - Jobs vs Yr (BAU)'!AD55</f>
        <v>8573.6783062942741</v>
      </c>
      <c r="AE177" s="206">
        <f>'Output - Jobs vs Yr (BAU)'!AE55</f>
        <v>8629.1990515972757</v>
      </c>
      <c r="AF177" s="206">
        <f>'Output - Jobs vs Yr (BAU)'!AF55</f>
        <v>8693.5178433114779</v>
      </c>
      <c r="AG177" s="206">
        <f>'Output - Jobs vs Yr (BAU)'!AG55</f>
        <v>8749.3237027476735</v>
      </c>
      <c r="AH177" s="182">
        <f>'Output - Jobs vs Yr (BAU)'!AH55</f>
        <v>8795.2939651658962</v>
      </c>
      <c r="AI177" s="1"/>
    </row>
    <row r="178" spans="1:35">
      <c r="A178" s="76" t="s">
        <v>301</v>
      </c>
      <c r="C178" s="299">
        <f>'Output - Jobs vs Yr (BAU)'!C73</f>
        <v>6364.3510800000013</v>
      </c>
      <c r="D178" s="299">
        <f>'Output - Jobs vs Yr (BAU)'!D73</f>
        <v>6709.6360800000002</v>
      </c>
      <c r="E178" s="299">
        <f>'Output - Jobs vs Yr (BAU)'!E73</f>
        <v>6335.3031255147744</v>
      </c>
      <c r="F178" s="299">
        <f>'Output - Jobs vs Yr (BAU)'!F73</f>
        <v>6041.2909176217663</v>
      </c>
      <c r="G178" s="299">
        <f>'Output - Jobs vs Yr (BAU)'!G73</f>
        <v>6191.5504653548487</v>
      </c>
      <c r="H178" s="369">
        <f>'Output - Jobs vs Yr (BAU)'!H73</f>
        <v>6241.197268916113</v>
      </c>
      <c r="I178" s="19">
        <f>'Output - Jobs vs Yr (BAU)'!I73</f>
        <v>6293.6781418341616</v>
      </c>
      <c r="J178" s="19">
        <f>'Output - Jobs vs Yr (BAU)'!J73</f>
        <v>6421.4958114671617</v>
      </c>
      <c r="K178" s="19">
        <f>'Output - Jobs vs Yr (BAU)'!K73</f>
        <v>6601.4094808181981</v>
      </c>
      <c r="L178" s="19">
        <f>'Output - Jobs vs Yr (BAU)'!L73</f>
        <v>6709.2310080145116</v>
      </c>
      <c r="M178" s="19">
        <f>'Output - Jobs vs Yr (BAU)'!M73</f>
        <v>6776.9138146194628</v>
      </c>
      <c r="N178" s="182">
        <f>'Output - Jobs vs Yr (BAU)'!N73</f>
        <v>6827.5612086748515</v>
      </c>
      <c r="O178" s="19">
        <f>'Output - Jobs vs Yr (BAU)'!O73</f>
        <v>6898.5873751036625</v>
      </c>
      <c r="P178" s="19">
        <f>'Output - Jobs vs Yr (BAU)'!P73</f>
        <v>6964.8440200290788</v>
      </c>
      <c r="Q178" s="19">
        <f>'Output - Jobs vs Yr (BAU)'!Q73</f>
        <v>7081.7105522852589</v>
      </c>
      <c r="R178" s="19">
        <f>'Output - Jobs vs Yr (BAU)'!R73</f>
        <v>7166.6978127290367</v>
      </c>
      <c r="S178" s="19">
        <f>'Output - Jobs vs Yr (BAU)'!S73</f>
        <v>7284.9948014898982</v>
      </c>
      <c r="T178" s="19">
        <f>'Output - Jobs vs Yr (BAU)'!T73</f>
        <v>7329.0644877700261</v>
      </c>
      <c r="U178" s="19">
        <f>'Output - Jobs vs Yr (BAU)'!U73</f>
        <v>7367.1353779863248</v>
      </c>
      <c r="V178" s="19">
        <f>'Output - Jobs vs Yr (BAU)'!V73</f>
        <v>7410.5462751623654</v>
      </c>
      <c r="W178" s="19">
        <f>'Output - Jobs vs Yr (BAU)'!W73</f>
        <v>7506.8598331102294</v>
      </c>
      <c r="X178" s="182">
        <f>'Output - Jobs vs Yr (BAU)'!X73</f>
        <v>7549.1723732496857</v>
      </c>
      <c r="Y178" s="206">
        <f>'Output - Jobs vs Yr (BAU)'!Y73</f>
        <v>7568.7640302916243</v>
      </c>
      <c r="Z178" s="206">
        <f>'Output - Jobs vs Yr (BAU)'!Z73</f>
        <v>7595.1062733876706</v>
      </c>
      <c r="AA178" s="206">
        <f>'Output - Jobs vs Yr (BAU)'!AA73</f>
        <v>7615.4597937823783</v>
      </c>
      <c r="AB178" s="206">
        <f>'Output - Jobs vs Yr (BAU)'!AB73</f>
        <v>7642.3424259453222</v>
      </c>
      <c r="AC178" s="206">
        <f>'Output - Jobs vs Yr (BAU)'!AC73</f>
        <v>7678.8619181325721</v>
      </c>
      <c r="AD178" s="206">
        <f>'Output - Jobs vs Yr (BAU)'!AD73</f>
        <v>7716.3104756648463</v>
      </c>
      <c r="AE178" s="206">
        <f>'Output - Jobs vs Yr (BAU)'!AE73</f>
        <v>7766.2791464375478</v>
      </c>
      <c r="AF178" s="206">
        <f>'Output - Jobs vs Yr (BAU)'!AF73</f>
        <v>7824.1660589803296</v>
      </c>
      <c r="AG178" s="206">
        <f>'Output - Jobs vs Yr (BAU)'!AG73</f>
        <v>7874.3913324729056</v>
      </c>
      <c r="AH178" s="182">
        <f>'Output - Jobs vs Yr (BAU)'!AH73</f>
        <v>7915.7645686493079</v>
      </c>
      <c r="AI178" s="80" t="s">
        <v>0</v>
      </c>
    </row>
    <row r="179" spans="1:35">
      <c r="A179" s="75" t="s">
        <v>298</v>
      </c>
      <c r="C179" s="296">
        <f>SUM(C118,C145)</f>
        <v>13440.45001</v>
      </c>
      <c r="D179" s="296">
        <f t="shared" ref="D179:AH179" si="99">SUM(D118,D145)+D249+D252</f>
        <v>14377.185040167213</v>
      </c>
      <c r="E179" s="296">
        <f t="shared" si="99"/>
        <v>13466.470674381315</v>
      </c>
      <c r="F179" s="296">
        <f t="shared" si="99"/>
        <v>12941.349111147378</v>
      </c>
      <c r="G179" s="296">
        <f t="shared" si="99"/>
        <v>13305.253542016106</v>
      </c>
      <c r="H179" s="367">
        <f>SUM(H118,H145)+H249+H252</f>
        <v>13175.588931045124</v>
      </c>
      <c r="I179" s="14">
        <f t="shared" si="99"/>
        <v>13321.318492621438</v>
      </c>
      <c r="J179" s="14">
        <f t="shared" si="99"/>
        <v>13649.249058410791</v>
      </c>
      <c r="K179" s="14">
        <f t="shared" si="99"/>
        <v>14116.05976256475</v>
      </c>
      <c r="L179" s="14">
        <f t="shared" si="99"/>
        <v>14463.317000917816</v>
      </c>
      <c r="M179" s="14">
        <f t="shared" si="99"/>
        <v>14769.441717100381</v>
      </c>
      <c r="N179" s="187">
        <f t="shared" si="99"/>
        <v>15067.342396712731</v>
      </c>
      <c r="O179" s="14">
        <f t="shared" si="99"/>
        <v>15234.763511642126</v>
      </c>
      <c r="P179" s="14">
        <f t="shared" si="99"/>
        <v>15404.958592664989</v>
      </c>
      <c r="Q179" s="14">
        <f t="shared" si="99"/>
        <v>15651.899827164227</v>
      </c>
      <c r="R179" s="14">
        <f t="shared" si="99"/>
        <v>15870.775706599019</v>
      </c>
      <c r="S179" s="14">
        <f t="shared" si="99"/>
        <v>16111.931651341936</v>
      </c>
      <c r="T179" s="14">
        <f t="shared" si="99"/>
        <v>16232.73620705049</v>
      </c>
      <c r="U179" s="14">
        <f t="shared" si="99"/>
        <v>16349.481832082085</v>
      </c>
      <c r="V179" s="14">
        <f t="shared" si="99"/>
        <v>16480.810162921043</v>
      </c>
      <c r="W179" s="14">
        <f t="shared" si="99"/>
        <v>16659.35608913844</v>
      </c>
      <c r="X179" s="187">
        <f t="shared" si="99"/>
        <v>16793.773174491103</v>
      </c>
      <c r="Y179" s="158">
        <f t="shared" si="99"/>
        <v>16887.287408868644</v>
      </c>
      <c r="Z179" s="158">
        <f t="shared" si="99"/>
        <v>17002.327102609604</v>
      </c>
      <c r="AA179" s="158">
        <f t="shared" si="99"/>
        <v>17102.906401606666</v>
      </c>
      <c r="AB179" s="158">
        <f t="shared" si="99"/>
        <v>17221.190787524778</v>
      </c>
      <c r="AC179" s="158">
        <f t="shared" si="99"/>
        <v>17368.360813223124</v>
      </c>
      <c r="AD179" s="158">
        <f t="shared" si="99"/>
        <v>17516.354135365436</v>
      </c>
      <c r="AE179" s="158">
        <f t="shared" si="99"/>
        <v>17700.681461430249</v>
      </c>
      <c r="AF179" s="158">
        <f t="shared" si="99"/>
        <v>17905.582885406329</v>
      </c>
      <c r="AG179" s="158">
        <f t="shared" si="99"/>
        <v>18094.326585299692</v>
      </c>
      <c r="AH179" s="187">
        <f t="shared" si="99"/>
        <v>18266.338334048443</v>
      </c>
    </row>
    <row r="180" spans="1:35">
      <c r="A180" s="76" t="s">
        <v>302</v>
      </c>
      <c r="C180" s="296">
        <f>C118</f>
        <v>7073.9211999999998</v>
      </c>
      <c r="D180" s="296">
        <f t="shared" ref="D180:AH180" si="100">D118+D250+D253</f>
        <v>7566.9396672772691</v>
      </c>
      <c r="E180" s="296">
        <f t="shared" si="100"/>
        <v>7087.6163277121086</v>
      </c>
      <c r="F180" s="296">
        <f t="shared" si="100"/>
        <v>6811.2365738133394</v>
      </c>
      <c r="G180" s="296">
        <f t="shared" si="100"/>
        <v>7002.765254150072</v>
      </c>
      <c r="H180" s="367">
        <f t="shared" si="100"/>
        <v>6934.5206321290134</v>
      </c>
      <c r="I180" s="14">
        <f t="shared" si="100"/>
        <v>7011.2204222426917</v>
      </c>
      <c r="J180" s="14">
        <f t="shared" si="100"/>
        <v>7183.8154831065867</v>
      </c>
      <c r="K180" s="14">
        <f t="shared" si="100"/>
        <v>7429.5053596002699</v>
      </c>
      <c r="L180" s="14">
        <f t="shared" si="100"/>
        <v>7612.2723621380483</v>
      </c>
      <c r="M180" s="14">
        <f t="shared" si="100"/>
        <v>7773.3906728357097</v>
      </c>
      <c r="N180" s="187">
        <f t="shared" si="100"/>
        <v>7930.1805481750962</v>
      </c>
      <c r="O180" s="14">
        <f t="shared" si="100"/>
        <v>8018.296939309108</v>
      </c>
      <c r="P180" s="14">
        <f t="shared" si="100"/>
        <v>8107.8733132383213</v>
      </c>
      <c r="Q180" s="14">
        <f t="shared" si="100"/>
        <v>8237.8424020211678</v>
      </c>
      <c r="R180" s="14">
        <f t="shared" si="100"/>
        <v>8353.0402513185636</v>
      </c>
      <c r="S180" s="14">
        <f t="shared" si="100"/>
        <v>8479.9644520837337</v>
      </c>
      <c r="T180" s="14">
        <f t="shared" si="100"/>
        <v>8543.54581401424</v>
      </c>
      <c r="U180" s="14">
        <f t="shared" si="100"/>
        <v>8604.9908971239984</v>
      </c>
      <c r="V180" s="14">
        <f t="shared" si="100"/>
        <v>8674.1110895822258</v>
      </c>
      <c r="W180" s="14">
        <f t="shared" si="100"/>
        <v>8768.0826500889434</v>
      </c>
      <c r="X180" s="187">
        <f t="shared" si="100"/>
        <v>8838.8285042741809</v>
      </c>
      <c r="Y180" s="158">
        <f t="shared" si="100"/>
        <v>8888.0465423380992</v>
      </c>
      <c r="Z180" s="158">
        <f t="shared" si="100"/>
        <v>8948.5937709328191</v>
      </c>
      <c r="AA180" s="158">
        <f t="shared" si="100"/>
        <v>9001.5302657096581</v>
      </c>
      <c r="AB180" s="158">
        <f t="shared" si="100"/>
        <v>9063.7852286444759</v>
      </c>
      <c r="AC180" s="158">
        <f t="shared" si="100"/>
        <v>9141.2431617253314</v>
      </c>
      <c r="AD180" s="158">
        <f t="shared" si="100"/>
        <v>9219.1344096384582</v>
      </c>
      <c r="AE180" s="158">
        <f t="shared" si="100"/>
        <v>9316.1488198197439</v>
      </c>
      <c r="AF180" s="158">
        <f t="shared" si="100"/>
        <v>9423.9917044254817</v>
      </c>
      <c r="AG180" s="158">
        <f t="shared" si="100"/>
        <v>9523.3305241628841</v>
      </c>
      <c r="AH180" s="187">
        <f t="shared" si="100"/>
        <v>9613.8630542048468</v>
      </c>
    </row>
    <row r="181" spans="1:35">
      <c r="A181" s="76" t="s">
        <v>303</v>
      </c>
      <c r="C181" s="296">
        <f>C145</f>
        <v>6366.5288099999998</v>
      </c>
      <c r="D181" s="296">
        <f t="shared" ref="D181:AH181" si="101">D145+D251+D254</f>
        <v>6810.2453728899427</v>
      </c>
      <c r="E181" s="296">
        <f t="shared" si="101"/>
        <v>6378.8543466692072</v>
      </c>
      <c r="F181" s="296">
        <f t="shared" si="101"/>
        <v>6130.1125373340392</v>
      </c>
      <c r="G181" s="296">
        <f t="shared" si="101"/>
        <v>6302.4882878660337</v>
      </c>
      <c r="H181" s="367">
        <f>H145+H251+H254</f>
        <v>6241.0682989161114</v>
      </c>
      <c r="I181" s="14">
        <f t="shared" si="101"/>
        <v>6310.0980703787463</v>
      </c>
      <c r="J181" s="14">
        <f t="shared" si="101"/>
        <v>6465.4335753042033</v>
      </c>
      <c r="K181" s="14">
        <f t="shared" si="101"/>
        <v>6686.5544029644807</v>
      </c>
      <c r="L181" s="14">
        <f t="shared" si="101"/>
        <v>6851.0446387797674</v>
      </c>
      <c r="M181" s="14">
        <f t="shared" si="101"/>
        <v>6996.0510442646719</v>
      </c>
      <c r="N181" s="187">
        <f t="shared" si="101"/>
        <v>7137.1618485376348</v>
      </c>
      <c r="O181" s="14">
        <f t="shared" si="101"/>
        <v>7216.4665723330172</v>
      </c>
      <c r="P181" s="14">
        <f t="shared" si="101"/>
        <v>7297.0852794266666</v>
      </c>
      <c r="Q181" s="14">
        <f t="shared" si="101"/>
        <v>7414.057425143058</v>
      </c>
      <c r="R181" s="14">
        <f t="shared" si="101"/>
        <v>7517.7354552804545</v>
      </c>
      <c r="S181" s="14">
        <f t="shared" si="101"/>
        <v>7631.9671992582025</v>
      </c>
      <c r="T181" s="14">
        <f t="shared" si="101"/>
        <v>7689.1903930362496</v>
      </c>
      <c r="U181" s="14">
        <f t="shared" si="101"/>
        <v>7744.4909349580876</v>
      </c>
      <c r="V181" s="14">
        <f t="shared" si="101"/>
        <v>7806.6990733388175</v>
      </c>
      <c r="W181" s="14">
        <f t="shared" si="101"/>
        <v>7891.2734390494961</v>
      </c>
      <c r="X181" s="187">
        <f t="shared" si="101"/>
        <v>7954.9446702169225</v>
      </c>
      <c r="Y181" s="158">
        <f t="shared" si="101"/>
        <v>7999.2408665305456</v>
      </c>
      <c r="Z181" s="158">
        <f t="shared" si="101"/>
        <v>8053.7333316767872</v>
      </c>
      <c r="AA181" s="158">
        <f t="shared" si="101"/>
        <v>8101.3761358970078</v>
      </c>
      <c r="AB181" s="158">
        <f t="shared" si="101"/>
        <v>8157.4055588803021</v>
      </c>
      <c r="AC181" s="158">
        <f t="shared" si="101"/>
        <v>8227.1176514977906</v>
      </c>
      <c r="AD181" s="158">
        <f t="shared" si="101"/>
        <v>8297.2197257269763</v>
      </c>
      <c r="AE181" s="158">
        <f t="shared" si="101"/>
        <v>8384.5326416105054</v>
      </c>
      <c r="AF181" s="158">
        <f t="shared" si="101"/>
        <v>8481.5911809808476</v>
      </c>
      <c r="AG181" s="158">
        <f t="shared" si="101"/>
        <v>8570.9960611368097</v>
      </c>
      <c r="AH181" s="187">
        <f t="shared" si="101"/>
        <v>8652.4752798435948</v>
      </c>
      <c r="AI181" s="31" t="s">
        <v>0</v>
      </c>
    </row>
    <row r="182" spans="1:35" s="1" customFormat="1">
      <c r="A182" s="75" t="s">
        <v>304</v>
      </c>
      <c r="B182" s="13"/>
      <c r="C182" s="306" t="s">
        <v>0</v>
      </c>
      <c r="D182" s="306">
        <f t="shared" ref="D182:AH182" si="102">D179-D176</f>
        <v>212.39776016721225</v>
      </c>
      <c r="E182" s="306">
        <f t="shared" si="102"/>
        <v>91.941853850123152</v>
      </c>
      <c r="F182" s="306">
        <f t="shared" si="102"/>
        <v>187.51272950142629</v>
      </c>
      <c r="G182" s="306">
        <f t="shared" si="102"/>
        <v>234.20255960031318</v>
      </c>
      <c r="H182" s="370">
        <f>H179-H176</f>
        <v>-0.27197000000160187</v>
      </c>
      <c r="I182" s="15">
        <f t="shared" si="102"/>
        <v>34.664637638206841</v>
      </c>
      <c r="J182" s="15">
        <f t="shared" si="102"/>
        <v>92.757900869006335</v>
      </c>
      <c r="K182" s="15">
        <f t="shared" si="102"/>
        <v>179.75085861522166</v>
      </c>
      <c r="L182" s="15">
        <f t="shared" si="102"/>
        <v>299.38487288717988</v>
      </c>
      <c r="M182" s="15">
        <f t="shared" si="102"/>
        <v>462.62366401484906</v>
      </c>
      <c r="N182" s="190">
        <f t="shared" si="102"/>
        <v>653.60206728804405</v>
      </c>
      <c r="O182" s="15">
        <f t="shared" si="102"/>
        <v>671.07905308995032</v>
      </c>
      <c r="P182" s="15">
        <f t="shared" si="102"/>
        <v>701.39899482582223</v>
      </c>
      <c r="Q182" s="15">
        <f t="shared" si="102"/>
        <v>701.62199456201415</v>
      </c>
      <c r="R182" s="15">
        <f t="shared" si="102"/>
        <v>741.08032417105096</v>
      </c>
      <c r="S182" s="15">
        <f t="shared" si="102"/>
        <v>732.49818152992884</v>
      </c>
      <c r="T182" s="15">
        <f t="shared" si="102"/>
        <v>760.26673286932419</v>
      </c>
      <c r="U182" s="15">
        <f t="shared" si="102"/>
        <v>796.64047855539684</v>
      </c>
      <c r="V182" s="15">
        <f t="shared" si="102"/>
        <v>836.32358202271826</v>
      </c>
      <c r="W182" s="15">
        <f t="shared" si="102"/>
        <v>811.54088590573156</v>
      </c>
      <c r="X182" s="190">
        <f t="shared" si="102"/>
        <v>856.63149763065667</v>
      </c>
      <c r="Y182" s="130">
        <f t="shared" si="102"/>
        <v>908.78556714188198</v>
      </c>
      <c r="Z182" s="130">
        <f t="shared" si="102"/>
        <v>968.21385879118679</v>
      </c>
      <c r="AA182" s="130">
        <f t="shared" si="102"/>
        <v>1025.8246147327536</v>
      </c>
      <c r="AB182" s="130">
        <f t="shared" si="102"/>
        <v>1087.356777195766</v>
      </c>
      <c r="AC182" s="130">
        <f t="shared" si="102"/>
        <v>1157.430097165472</v>
      </c>
      <c r="AD182" s="130">
        <f t="shared" si="102"/>
        <v>1226.365353406316</v>
      </c>
      <c r="AE182" s="130">
        <f t="shared" si="102"/>
        <v>1305.2032633954259</v>
      </c>
      <c r="AF182" s="130">
        <f t="shared" si="102"/>
        <v>1387.8989831145227</v>
      </c>
      <c r="AG182" s="130">
        <f t="shared" si="102"/>
        <v>1470.6115500791129</v>
      </c>
      <c r="AH182" s="190">
        <f t="shared" si="102"/>
        <v>1555.2798002332383</v>
      </c>
    </row>
    <row r="183" spans="1:35" s="20" customFormat="1">
      <c r="A183" s="20" t="s">
        <v>305</v>
      </c>
      <c r="B183" s="33"/>
      <c r="C183" s="299" t="s">
        <v>0</v>
      </c>
      <c r="D183" s="299">
        <f t="shared" ref="D183:AH183" si="103">D180-D177</f>
        <v>111.78846727726886</v>
      </c>
      <c r="E183" s="299">
        <f t="shared" si="103"/>
        <v>48.390632695690329</v>
      </c>
      <c r="F183" s="299">
        <f t="shared" si="103"/>
        <v>98.691109789154325</v>
      </c>
      <c r="G183" s="299">
        <f t="shared" si="103"/>
        <v>123.26473708912908</v>
      </c>
      <c r="H183" s="369">
        <f>H180-H177</f>
        <v>-0.1430000000000291</v>
      </c>
      <c r="I183" s="19">
        <f t="shared" si="103"/>
        <v>18.244709093622077</v>
      </c>
      <c r="J183" s="19">
        <f t="shared" si="103"/>
        <v>48.820137031963895</v>
      </c>
      <c r="K183" s="19">
        <f t="shared" si="103"/>
        <v>94.605936468939944</v>
      </c>
      <c r="L183" s="19">
        <f t="shared" si="103"/>
        <v>157.57124212192321</v>
      </c>
      <c r="M183" s="19">
        <f t="shared" si="103"/>
        <v>243.48643436963994</v>
      </c>
      <c r="N183" s="182">
        <f t="shared" si="103"/>
        <v>344.00142742526077</v>
      </c>
      <c r="O183" s="19">
        <f t="shared" si="103"/>
        <v>353.19985586059465</v>
      </c>
      <c r="P183" s="19">
        <f t="shared" si="103"/>
        <v>369.15773542823354</v>
      </c>
      <c r="Q183" s="19">
        <f t="shared" si="103"/>
        <v>369.27512170421323</v>
      </c>
      <c r="R183" s="19">
        <f t="shared" si="103"/>
        <v>390.04268161963228</v>
      </c>
      <c r="S183" s="19">
        <f t="shared" si="103"/>
        <v>385.52578376162455</v>
      </c>
      <c r="T183" s="19">
        <f t="shared" si="103"/>
        <v>400.14082760309975</v>
      </c>
      <c r="U183" s="19">
        <f t="shared" si="103"/>
        <v>419.28492158363588</v>
      </c>
      <c r="V183" s="19">
        <f t="shared" si="103"/>
        <v>440.1707838462662</v>
      </c>
      <c r="W183" s="19">
        <f t="shared" si="103"/>
        <v>427.1272799664639</v>
      </c>
      <c r="X183" s="182">
        <f t="shared" si="103"/>
        <v>450.85920066341896</v>
      </c>
      <c r="Y183" s="206">
        <f t="shared" si="103"/>
        <v>478.30873090296154</v>
      </c>
      <c r="Z183" s="206">
        <f t="shared" si="103"/>
        <v>509.58680050207295</v>
      </c>
      <c r="AA183" s="206">
        <f t="shared" si="103"/>
        <v>539.9082726181241</v>
      </c>
      <c r="AB183" s="206">
        <f t="shared" si="103"/>
        <v>572.2936442607861</v>
      </c>
      <c r="AC183" s="206">
        <f t="shared" si="103"/>
        <v>609.17436380025174</v>
      </c>
      <c r="AD183" s="206">
        <f t="shared" si="103"/>
        <v>645.45610334418416</v>
      </c>
      <c r="AE183" s="206">
        <f t="shared" si="103"/>
        <v>686.94976822246826</v>
      </c>
      <c r="AF183" s="206">
        <f t="shared" si="103"/>
        <v>730.47386111400374</v>
      </c>
      <c r="AG183" s="206">
        <f t="shared" si="103"/>
        <v>774.00682141521065</v>
      </c>
      <c r="AH183" s="182">
        <f t="shared" si="103"/>
        <v>818.56908903895055</v>
      </c>
    </row>
    <row r="184" spans="1:35" s="20" customFormat="1">
      <c r="A184" s="20" t="s">
        <v>306</v>
      </c>
      <c r="B184" s="33"/>
      <c r="C184" s="299" t="s">
        <v>0</v>
      </c>
      <c r="D184" s="299">
        <f t="shared" ref="D184:AH184" si="104">D181-D178</f>
        <v>100.60929288994248</v>
      </c>
      <c r="E184" s="299">
        <f t="shared" si="104"/>
        <v>43.551221154432824</v>
      </c>
      <c r="F184" s="299">
        <f t="shared" si="104"/>
        <v>88.821619712272877</v>
      </c>
      <c r="G184" s="299">
        <f t="shared" si="104"/>
        <v>110.937822511185</v>
      </c>
      <c r="H184" s="369">
        <f t="shared" si="104"/>
        <v>-0.12897000000157277</v>
      </c>
      <c r="I184" s="19">
        <f t="shared" si="104"/>
        <v>16.419928544584764</v>
      </c>
      <c r="J184" s="19">
        <f t="shared" si="104"/>
        <v>43.93776383704153</v>
      </c>
      <c r="K184" s="19">
        <f t="shared" si="104"/>
        <v>85.144922146282624</v>
      </c>
      <c r="L184" s="19">
        <f t="shared" si="104"/>
        <v>141.81363076525577</v>
      </c>
      <c r="M184" s="19">
        <f t="shared" si="104"/>
        <v>219.13722964520912</v>
      </c>
      <c r="N184" s="182">
        <f t="shared" si="104"/>
        <v>309.60063986278328</v>
      </c>
      <c r="O184" s="19">
        <f t="shared" si="104"/>
        <v>317.87919722935476</v>
      </c>
      <c r="P184" s="19">
        <f t="shared" si="104"/>
        <v>332.24125939758778</v>
      </c>
      <c r="Q184" s="19">
        <f t="shared" si="104"/>
        <v>332.3468728577991</v>
      </c>
      <c r="R184" s="19">
        <f t="shared" si="104"/>
        <v>351.03764255141778</v>
      </c>
      <c r="S184" s="19">
        <f t="shared" si="104"/>
        <v>346.97239776830429</v>
      </c>
      <c r="T184" s="19">
        <f t="shared" si="104"/>
        <v>360.12590526622353</v>
      </c>
      <c r="U184" s="19">
        <f t="shared" si="104"/>
        <v>377.35555697176278</v>
      </c>
      <c r="V184" s="19">
        <f t="shared" si="104"/>
        <v>396.15279817645205</v>
      </c>
      <c r="W184" s="19">
        <f t="shared" si="104"/>
        <v>384.41360593926674</v>
      </c>
      <c r="X184" s="182">
        <f t="shared" si="104"/>
        <v>405.7722969672368</v>
      </c>
      <c r="Y184" s="206">
        <f t="shared" si="104"/>
        <v>430.47683623892135</v>
      </c>
      <c r="Z184" s="206">
        <f t="shared" si="104"/>
        <v>458.62705828911658</v>
      </c>
      <c r="AA184" s="206">
        <f t="shared" si="104"/>
        <v>485.91634211462951</v>
      </c>
      <c r="AB184" s="206">
        <f t="shared" si="104"/>
        <v>515.06313293497988</v>
      </c>
      <c r="AC184" s="206">
        <f t="shared" si="104"/>
        <v>548.25573336521848</v>
      </c>
      <c r="AD184" s="206">
        <f t="shared" si="104"/>
        <v>580.90925006213001</v>
      </c>
      <c r="AE184" s="206">
        <f t="shared" si="104"/>
        <v>618.25349517295763</v>
      </c>
      <c r="AF184" s="206">
        <f t="shared" si="104"/>
        <v>657.42512200051806</v>
      </c>
      <c r="AG184" s="206">
        <f t="shared" si="104"/>
        <v>696.6047286639041</v>
      </c>
      <c r="AH184" s="182">
        <f t="shared" si="104"/>
        <v>736.71071119428689</v>
      </c>
    </row>
    <row r="185" spans="1:35" s="1" customFormat="1">
      <c r="A185" s="1" t="s">
        <v>450</v>
      </c>
      <c r="B185" s="13"/>
      <c r="C185" s="306"/>
      <c r="D185" s="306">
        <f>D182</f>
        <v>212.39776016721225</v>
      </c>
      <c r="E185" s="306">
        <f>D185+E182</f>
        <v>304.33961401733541</v>
      </c>
      <c r="F185" s="306">
        <f t="shared" ref="E185:N187" si="105">E185+F182</f>
        <v>491.8523435187617</v>
      </c>
      <c r="G185" s="306">
        <f t="shared" si="105"/>
        <v>726.05490311907488</v>
      </c>
      <c r="H185" s="370">
        <f>H182</f>
        <v>-0.27197000000160187</v>
      </c>
      <c r="I185" s="15">
        <f t="shared" si="105"/>
        <v>34.392667638205239</v>
      </c>
      <c r="J185" s="15">
        <f t="shared" si="105"/>
        <v>127.15056850721157</v>
      </c>
      <c r="K185" s="15">
        <f t="shared" si="105"/>
        <v>306.90142712243323</v>
      </c>
      <c r="L185" s="15">
        <f t="shared" si="105"/>
        <v>606.28630000961311</v>
      </c>
      <c r="M185" s="15">
        <f t="shared" si="105"/>
        <v>1068.9099640244622</v>
      </c>
      <c r="N185" s="15">
        <f t="shared" si="105"/>
        <v>1722.5120313125062</v>
      </c>
      <c r="O185" s="15">
        <f t="shared" ref="O185:X185" si="106">N185+O182</f>
        <v>2393.5910844024565</v>
      </c>
      <c r="P185" s="15">
        <f t="shared" si="106"/>
        <v>3094.9900792282788</v>
      </c>
      <c r="Q185" s="15">
        <f t="shared" si="106"/>
        <v>3796.6120737902929</v>
      </c>
      <c r="R185" s="15">
        <f t="shared" si="106"/>
        <v>4537.6923979613439</v>
      </c>
      <c r="S185" s="130">
        <f t="shared" si="106"/>
        <v>5270.1905794912727</v>
      </c>
      <c r="T185" s="15">
        <f t="shared" si="106"/>
        <v>6030.4573123605969</v>
      </c>
      <c r="U185" s="15">
        <f t="shared" si="106"/>
        <v>6827.0977909159938</v>
      </c>
      <c r="V185" s="15">
        <f t="shared" si="106"/>
        <v>7663.421372938712</v>
      </c>
      <c r="W185" s="15">
        <f t="shared" si="106"/>
        <v>8474.9622588444436</v>
      </c>
      <c r="X185" s="190">
        <f t="shared" si="106"/>
        <v>9331.5937564751002</v>
      </c>
      <c r="Y185" s="130">
        <f t="shared" ref="Y185:AH185" si="107">X185+Y182</f>
        <v>10240.379323616982</v>
      </c>
      <c r="Z185" s="130">
        <f t="shared" si="107"/>
        <v>11208.593182408169</v>
      </c>
      <c r="AA185" s="130">
        <f t="shared" si="107"/>
        <v>12234.417797140923</v>
      </c>
      <c r="AB185" s="130">
        <f t="shared" si="107"/>
        <v>13321.774574336689</v>
      </c>
      <c r="AC185" s="130">
        <f t="shared" si="107"/>
        <v>14479.204671502161</v>
      </c>
      <c r="AD185" s="130">
        <f t="shared" si="107"/>
        <v>15705.570024908477</v>
      </c>
      <c r="AE185" s="130">
        <f t="shared" si="107"/>
        <v>17010.773288303903</v>
      </c>
      <c r="AF185" s="130">
        <f t="shared" si="107"/>
        <v>18398.672271418425</v>
      </c>
      <c r="AG185" s="130">
        <f t="shared" si="107"/>
        <v>19869.283821497538</v>
      </c>
      <c r="AH185" s="190">
        <f t="shared" si="107"/>
        <v>21424.563621730777</v>
      </c>
    </row>
    <row r="186" spans="1:35" s="20" customFormat="1">
      <c r="A186" s="20" t="s">
        <v>451</v>
      </c>
      <c r="B186" s="33"/>
      <c r="C186" s="299"/>
      <c r="D186" s="299">
        <f>D183</f>
        <v>111.78846727726886</v>
      </c>
      <c r="E186" s="299">
        <f t="shared" si="105"/>
        <v>160.17909997295919</v>
      </c>
      <c r="F186" s="299">
        <f t="shared" si="105"/>
        <v>258.87020976211352</v>
      </c>
      <c r="G186" s="299">
        <f t="shared" si="105"/>
        <v>382.1349468512426</v>
      </c>
      <c r="H186" s="369">
        <f t="shared" si="105"/>
        <v>381.99194685124257</v>
      </c>
      <c r="I186" s="19">
        <f t="shared" ref="I186:X186" si="108">H186+I183</f>
        <v>400.23665594486465</v>
      </c>
      <c r="J186" s="19">
        <f t="shared" si="108"/>
        <v>449.05679297682855</v>
      </c>
      <c r="K186" s="19">
        <f t="shared" si="108"/>
        <v>543.66272944576849</v>
      </c>
      <c r="L186" s="19">
        <f t="shared" si="108"/>
        <v>701.2339715676917</v>
      </c>
      <c r="M186" s="19">
        <f t="shared" si="108"/>
        <v>944.72040593733163</v>
      </c>
      <c r="N186" s="182">
        <f t="shared" si="108"/>
        <v>1288.7218333625924</v>
      </c>
      <c r="O186" s="19">
        <f t="shared" si="108"/>
        <v>1641.9216892231871</v>
      </c>
      <c r="P186" s="19">
        <f t="shared" si="108"/>
        <v>2011.0794246514206</v>
      </c>
      <c r="Q186" s="19">
        <f t="shared" si="108"/>
        <v>2380.3545463556338</v>
      </c>
      <c r="R186" s="19">
        <f t="shared" si="108"/>
        <v>2770.3972279752661</v>
      </c>
      <c r="S186" s="206">
        <f t="shared" si="108"/>
        <v>3155.9230117368907</v>
      </c>
      <c r="T186" s="19">
        <f t="shared" si="108"/>
        <v>3556.0638393399904</v>
      </c>
      <c r="U186" s="19">
        <f t="shared" si="108"/>
        <v>3975.3487609236263</v>
      </c>
      <c r="V186" s="19">
        <f t="shared" si="108"/>
        <v>4415.5195447698925</v>
      </c>
      <c r="W186" s="19">
        <f t="shared" si="108"/>
        <v>4842.6468247363564</v>
      </c>
      <c r="X186" s="182">
        <f t="shared" si="108"/>
        <v>5293.5060253997754</v>
      </c>
      <c r="Y186" s="206">
        <f t="shared" ref="Y186:AH186" si="109">X186+Y183</f>
        <v>5771.8147563027369</v>
      </c>
      <c r="Z186" s="206">
        <f t="shared" si="109"/>
        <v>6281.4015568048098</v>
      </c>
      <c r="AA186" s="206">
        <f t="shared" si="109"/>
        <v>6821.3098294229339</v>
      </c>
      <c r="AB186" s="206">
        <f t="shared" si="109"/>
        <v>7393.60347368372</v>
      </c>
      <c r="AC186" s="206">
        <f t="shared" si="109"/>
        <v>8002.7778374839718</v>
      </c>
      <c r="AD186" s="206">
        <f t="shared" si="109"/>
        <v>8648.233940828155</v>
      </c>
      <c r="AE186" s="206">
        <f t="shared" si="109"/>
        <v>9335.1837090506233</v>
      </c>
      <c r="AF186" s="206">
        <f t="shared" si="109"/>
        <v>10065.657570164627</v>
      </c>
      <c r="AG186" s="206">
        <f t="shared" si="109"/>
        <v>10839.664391579838</v>
      </c>
      <c r="AH186" s="182">
        <f t="shared" si="109"/>
        <v>11658.233480618788</v>
      </c>
    </row>
    <row r="187" spans="1:35" s="20" customFormat="1">
      <c r="A187" s="20" t="s">
        <v>452</v>
      </c>
      <c r="B187" s="33"/>
      <c r="C187" s="299"/>
      <c r="D187" s="299">
        <f>D184</f>
        <v>100.60929288994248</v>
      </c>
      <c r="E187" s="299">
        <f t="shared" si="105"/>
        <v>144.1605140443753</v>
      </c>
      <c r="F187" s="299">
        <f t="shared" si="105"/>
        <v>232.98213375664818</v>
      </c>
      <c r="G187" s="299">
        <f t="shared" si="105"/>
        <v>343.91995626783319</v>
      </c>
      <c r="H187" s="369">
        <f t="shared" si="105"/>
        <v>343.79098626783161</v>
      </c>
      <c r="I187" s="19">
        <f t="shared" ref="I187:X187" si="110">H187+I184</f>
        <v>360.21091481241638</v>
      </c>
      <c r="J187" s="19">
        <f t="shared" si="110"/>
        <v>404.14867864945791</v>
      </c>
      <c r="K187" s="19">
        <f t="shared" si="110"/>
        <v>489.29360079574053</v>
      </c>
      <c r="L187" s="19">
        <f t="shared" si="110"/>
        <v>631.1072315609963</v>
      </c>
      <c r="M187" s="19">
        <f t="shared" si="110"/>
        <v>850.24446120620541</v>
      </c>
      <c r="N187" s="182">
        <f t="shared" si="110"/>
        <v>1159.8451010689887</v>
      </c>
      <c r="O187" s="19">
        <f t="shared" si="110"/>
        <v>1477.7242982983435</v>
      </c>
      <c r="P187" s="19">
        <f t="shared" si="110"/>
        <v>1809.9655576959312</v>
      </c>
      <c r="Q187" s="19">
        <f t="shared" si="110"/>
        <v>2142.3124305537303</v>
      </c>
      <c r="R187" s="19">
        <f t="shared" si="110"/>
        <v>2493.3500731051481</v>
      </c>
      <c r="S187" s="206">
        <f t="shared" si="110"/>
        <v>2840.3224708734524</v>
      </c>
      <c r="T187" s="19">
        <f t="shared" si="110"/>
        <v>3200.4483761396759</v>
      </c>
      <c r="U187" s="19">
        <f t="shared" si="110"/>
        <v>3577.8039331114387</v>
      </c>
      <c r="V187" s="19">
        <f t="shared" si="110"/>
        <v>3973.9567312878908</v>
      </c>
      <c r="W187" s="19">
        <f t="shared" si="110"/>
        <v>4358.3703372271575</v>
      </c>
      <c r="X187" s="182">
        <f t="shared" si="110"/>
        <v>4764.1426341943943</v>
      </c>
      <c r="Y187" s="206">
        <f t="shared" ref="Y187:AH187" si="111">X187+Y184</f>
        <v>5194.6194704333157</v>
      </c>
      <c r="Z187" s="206">
        <f t="shared" si="111"/>
        <v>5653.2465287224322</v>
      </c>
      <c r="AA187" s="206">
        <f t="shared" si="111"/>
        <v>6139.1628708370617</v>
      </c>
      <c r="AB187" s="206">
        <f t="shared" si="111"/>
        <v>6654.2260037720416</v>
      </c>
      <c r="AC187" s="206">
        <f t="shared" si="111"/>
        <v>7202.4817371372601</v>
      </c>
      <c r="AD187" s="206">
        <f t="shared" si="111"/>
        <v>7783.3909871993901</v>
      </c>
      <c r="AE187" s="206">
        <f t="shared" si="111"/>
        <v>8401.6444823723468</v>
      </c>
      <c r="AF187" s="206">
        <f t="shared" si="111"/>
        <v>9059.069604372864</v>
      </c>
      <c r="AG187" s="206">
        <f t="shared" si="111"/>
        <v>9755.6743330367681</v>
      </c>
      <c r="AH187" s="182">
        <f t="shared" si="111"/>
        <v>10492.385044231054</v>
      </c>
    </row>
    <row r="188" spans="1:35" s="427" customFormat="1">
      <c r="A188" s="427" t="s">
        <v>550</v>
      </c>
      <c r="B188" s="428"/>
      <c r="C188"/>
      <c r="D188"/>
      <c r="E188"/>
      <c r="F188"/>
      <c r="G188"/>
      <c r="H188"/>
      <c r="I188"/>
      <c r="J188"/>
      <c r="K188"/>
      <c r="L188"/>
      <c r="M188"/>
      <c r="N188"/>
      <c r="O188"/>
      <c r="P188"/>
      <c r="Q188"/>
      <c r="R188"/>
      <c r="S188"/>
      <c r="T188"/>
      <c r="U188"/>
      <c r="V188"/>
      <c r="W188"/>
      <c r="X188"/>
      <c r="Y188"/>
      <c r="Z188"/>
      <c r="AA188"/>
      <c r="AB188"/>
      <c r="AC188" s="430"/>
      <c r="AD188" s="430"/>
      <c r="AE188" s="430"/>
      <c r="AF188" s="430"/>
      <c r="AG188" s="430"/>
      <c r="AH188" s="429"/>
    </row>
    <row r="189" spans="1:35" s="1" customFormat="1">
      <c r="B189" s="13"/>
      <c r="C189" s="306"/>
      <c r="D189" s="306"/>
      <c r="E189" s="306"/>
      <c r="F189" s="306"/>
      <c r="G189" s="306"/>
      <c r="H189" s="370"/>
      <c r="I189" s="15" t="s">
        <v>0</v>
      </c>
      <c r="J189" s="15" t="s">
        <v>0</v>
      </c>
      <c r="K189" s="15" t="s">
        <v>0</v>
      </c>
      <c r="L189" s="15" t="s">
        <v>0</v>
      </c>
      <c r="M189" s="15" t="s">
        <v>0</v>
      </c>
      <c r="N189" s="15" t="s">
        <v>0</v>
      </c>
      <c r="O189" s="130"/>
      <c r="P189" s="130"/>
      <c r="Q189" s="130"/>
      <c r="R189" s="130"/>
      <c r="S189" s="158"/>
      <c r="T189" s="130"/>
      <c r="U189" s="15"/>
      <c r="V189" s="15"/>
      <c r="W189" s="15"/>
      <c r="X189" s="190"/>
      <c r="Y189"/>
      <c r="Z189"/>
      <c r="AA189"/>
      <c r="AB189"/>
      <c r="AC189"/>
      <c r="AD189"/>
      <c r="AE189"/>
      <c r="AF189"/>
      <c r="AG189"/>
      <c r="AH189" s="245"/>
    </row>
    <row r="190" spans="1:35" s="1" customFormat="1">
      <c r="A190" s="1" t="s">
        <v>412</v>
      </c>
      <c r="B190" s="13"/>
      <c r="C190" s="293"/>
      <c r="D190" s="293"/>
      <c r="E190" s="293"/>
      <c r="F190" s="293"/>
      <c r="G190" s="293"/>
      <c r="H190" s="365"/>
      <c r="I190" s="15" t="s">
        <v>0</v>
      </c>
      <c r="J190" s="13"/>
      <c r="K190" s="13"/>
      <c r="L190" s="13"/>
      <c r="M190" s="13"/>
      <c r="N190" s="191"/>
      <c r="O190" s="13"/>
      <c r="P190" s="13"/>
      <c r="Q190" s="13"/>
      <c r="R190" s="13"/>
      <c r="T190" s="13"/>
      <c r="U190" s="13"/>
      <c r="V190" s="13"/>
      <c r="W190" s="13"/>
      <c r="X190" s="176"/>
      <c r="Y190"/>
      <c r="Z190"/>
      <c r="AA190"/>
      <c r="AB190"/>
      <c r="AC190"/>
      <c r="AD190"/>
      <c r="AE190"/>
      <c r="AF190"/>
      <c r="AG190"/>
      <c r="AH190" s="245"/>
    </row>
    <row r="191" spans="1:35">
      <c r="A191" t="s">
        <v>406</v>
      </c>
      <c r="I191" s="112"/>
      <c r="J191" s="112"/>
      <c r="K191" s="112"/>
      <c r="L191" s="112"/>
      <c r="M191" s="131"/>
      <c r="N191" s="192"/>
      <c r="O191" s="131"/>
      <c r="P191" s="112"/>
      <c r="Q191" s="112"/>
      <c r="R191" s="131"/>
      <c r="S191" s="131"/>
      <c r="T191" s="131"/>
      <c r="U191" s="131"/>
      <c r="V191" s="112"/>
      <c r="W191" s="112"/>
    </row>
    <row r="192" spans="1:35">
      <c r="A192" t="s">
        <v>407</v>
      </c>
      <c r="I192" s="112"/>
      <c r="J192" s="112"/>
      <c r="K192" s="112"/>
      <c r="L192" s="112"/>
      <c r="M192" s="131"/>
      <c r="N192" s="192"/>
      <c r="O192" s="131"/>
      <c r="P192" s="112"/>
      <c r="Q192" s="112"/>
      <c r="R192" s="131"/>
      <c r="S192" s="131"/>
      <c r="T192" s="131"/>
      <c r="U192" s="131"/>
      <c r="V192" s="112"/>
      <c r="W192" s="112"/>
    </row>
    <row r="193" spans="1:34">
      <c r="A193" t="s">
        <v>408</v>
      </c>
      <c r="I193" s="112"/>
      <c r="J193" s="112"/>
      <c r="K193" s="112"/>
      <c r="L193" s="112"/>
      <c r="M193" s="131"/>
      <c r="N193" s="192"/>
      <c r="O193" s="131"/>
      <c r="P193" s="112"/>
      <c r="Q193" s="112"/>
      <c r="R193" s="131"/>
      <c r="S193" s="131"/>
      <c r="T193" s="131"/>
      <c r="U193" s="131"/>
      <c r="V193" s="112"/>
      <c r="W193" s="112"/>
    </row>
    <row r="194" spans="1:34">
      <c r="A194" t="s">
        <v>388</v>
      </c>
      <c r="C194" s="296">
        <f>SUM(C195:C196)</f>
        <v>619.76612999999998</v>
      </c>
      <c r="D194" s="296">
        <f t="shared" ref="D194:AH194" si="112">SUM(D195:D196)</f>
        <v>636.06813</v>
      </c>
      <c r="E194" s="296">
        <f t="shared" si="112"/>
        <v>675.87341134577582</v>
      </c>
      <c r="F194" s="296">
        <f t="shared" si="112"/>
        <v>653.99399090558575</v>
      </c>
      <c r="G194" s="296">
        <f t="shared" si="112"/>
        <v>718.61948417839722</v>
      </c>
      <c r="H194" s="367">
        <f t="shared" si="112"/>
        <v>740.10018834394555</v>
      </c>
      <c r="I194" s="14">
        <f t="shared" si="112"/>
        <v>765.18932469730362</v>
      </c>
      <c r="J194" s="14">
        <f t="shared" si="112"/>
        <v>811.34460492712083</v>
      </c>
      <c r="K194" s="14">
        <f t="shared" si="112"/>
        <v>878.44530114333384</v>
      </c>
      <c r="L194" s="14">
        <f t="shared" si="112"/>
        <v>916.93155438434792</v>
      </c>
      <c r="M194" s="14">
        <f t="shared" si="112"/>
        <v>952.90112524393965</v>
      </c>
      <c r="N194" s="187">
        <f t="shared" si="112"/>
        <v>998.84008764888722</v>
      </c>
      <c r="O194" s="14">
        <f t="shared" si="112"/>
        <v>1069.7503530433312</v>
      </c>
      <c r="P194" s="14">
        <f t="shared" si="112"/>
        <v>1117.9780165437983</v>
      </c>
      <c r="Q194" s="14">
        <f t="shared" si="112"/>
        <v>1255.8029690329727</v>
      </c>
      <c r="R194" s="14">
        <f t="shared" si="112"/>
        <v>1309.5647375663443</v>
      </c>
      <c r="S194" s="15">
        <f t="shared" si="112"/>
        <v>1476.4357394196606</v>
      </c>
      <c r="T194" s="14">
        <f t="shared" si="112"/>
        <v>1525.1657188194749</v>
      </c>
      <c r="U194" s="14">
        <f t="shared" si="112"/>
        <v>1558.7511211080082</v>
      </c>
      <c r="V194" s="14">
        <f t="shared" si="112"/>
        <v>1589.8919887263846</v>
      </c>
      <c r="W194" s="14">
        <f t="shared" si="112"/>
        <v>1778.4219340804307</v>
      </c>
      <c r="X194" s="187">
        <f t="shared" si="112"/>
        <v>1807.0099401547759</v>
      </c>
      <c r="Y194" s="158">
        <f t="shared" si="112"/>
        <v>1830.9570214227078</v>
      </c>
      <c r="Z194" s="158">
        <f t="shared" si="112"/>
        <v>1849.0501544571803</v>
      </c>
      <c r="AA194" s="158">
        <f t="shared" si="112"/>
        <v>1873.3142993399592</v>
      </c>
      <c r="AB194" s="158">
        <f t="shared" si="112"/>
        <v>1901.2757017559825</v>
      </c>
      <c r="AC194" s="158">
        <f t="shared" si="112"/>
        <v>1924.9060847714682</v>
      </c>
      <c r="AD194" s="158">
        <f t="shared" si="112"/>
        <v>1957.8104089775361</v>
      </c>
      <c r="AE194" s="158">
        <f t="shared" si="112"/>
        <v>1993.7025637924864</v>
      </c>
      <c r="AF194" s="158">
        <f t="shared" si="112"/>
        <v>2034.6203453884093</v>
      </c>
      <c r="AG194" s="158">
        <f t="shared" si="112"/>
        <v>2077.2404878117381</v>
      </c>
      <c r="AH194" s="187">
        <f t="shared" si="112"/>
        <v>2115.302929681226</v>
      </c>
    </row>
    <row r="195" spans="1:34">
      <c r="A195" t="s">
        <v>389</v>
      </c>
      <c r="C195" s="295">
        <f>'Output - Jobs vs Yr (BAU)'!C51</f>
        <v>326.1927</v>
      </c>
      <c r="D195" s="295">
        <f>'Output - Jobs vs Yr (BAU)'!D51</f>
        <v>334.77269999999999</v>
      </c>
      <c r="E195" s="295">
        <f>'Output - Jobs vs Yr (BAU)'!E51</f>
        <v>355.72284807672418</v>
      </c>
      <c r="F195" s="295">
        <f>'Output - Jobs vs Yr (BAU)'!F51</f>
        <v>344.20736363451886</v>
      </c>
      <c r="G195" s="295">
        <f>'Output - Jobs vs Yr (BAU)'!G51</f>
        <v>378.22078114652493</v>
      </c>
      <c r="H195" s="251">
        <f>'Output - Jobs vs Yr (BAU)'!H51</f>
        <v>389.52641491786608</v>
      </c>
      <c r="I195" s="118">
        <f>'Output - Jobs vs Yr (BAU)'!I51</f>
        <v>402.73122352489662</v>
      </c>
      <c r="J195" s="118">
        <f>'Output - Jobs vs Yr (BAU)'!J51</f>
        <v>427.023476277432</v>
      </c>
      <c r="K195" s="118">
        <f>'Output - Jobs vs Yr (BAU)'!K51</f>
        <v>462.3396321807021</v>
      </c>
      <c r="L195" s="118">
        <f>'Output - Jobs vs Yr (BAU)'!L51</f>
        <v>482.59555493913052</v>
      </c>
      <c r="M195" s="118">
        <f>'Output - Jobs vs Yr (BAU)'!M51</f>
        <v>501.52690802312617</v>
      </c>
      <c r="N195" s="177">
        <f>'Output - Jobs vs Yr (BAU)'!N51</f>
        <v>525.70530928888809</v>
      </c>
      <c r="O195" s="118">
        <f>'Output - Jobs vs Yr (BAU)'!O51</f>
        <v>563.02650160175324</v>
      </c>
      <c r="P195" s="118">
        <f>'Output - Jobs vs Yr (BAU)'!P51</f>
        <v>588.40948239147269</v>
      </c>
      <c r="Q195" s="118">
        <f>'Output - Jobs vs Yr (BAU)'!Q51</f>
        <v>660.94893106998563</v>
      </c>
      <c r="R195" s="118">
        <f>'Output - Jobs vs Yr (BAU)'!R51</f>
        <v>689.24459871912859</v>
      </c>
      <c r="S195" s="118">
        <f>'Output - Jobs vs Yr (BAU)'!S51</f>
        <v>777.0714417998214</v>
      </c>
      <c r="T195" s="118">
        <f>'Output - Jobs vs Yr (BAU)'!T51</f>
        <v>802.71879937867106</v>
      </c>
      <c r="U195" s="118">
        <f>'Output - Jobs vs Yr (BAU)'!U51</f>
        <v>820.39532689895179</v>
      </c>
      <c r="V195" s="118">
        <f>'Output - Jobs vs Yr (BAU)'!V51</f>
        <v>836.78525722441293</v>
      </c>
      <c r="W195" s="118">
        <f>'Output - Jobs vs Yr (BAU)'!W51</f>
        <v>936.01154425285824</v>
      </c>
      <c r="X195" s="184">
        <f>'Output - Jobs vs Yr (BAU)'!X51</f>
        <v>951.05786323935581</v>
      </c>
      <c r="Y195" s="236">
        <f>'Output - Jobs vs Yr (BAU)'!Y51</f>
        <v>963.66159022247768</v>
      </c>
      <c r="Z195" s="236">
        <f>'Output - Jobs vs Yr (BAU)'!Z51</f>
        <v>973.18429181956856</v>
      </c>
      <c r="AA195" s="236">
        <f>'Output - Jobs vs Yr (BAU)'!AA51</f>
        <v>985.95489438945219</v>
      </c>
      <c r="AB195" s="236">
        <f>'Output - Jobs vs Yr (BAU)'!AB51</f>
        <v>1000.6714219768329</v>
      </c>
      <c r="AC195" s="236">
        <f>'Output - Jobs vs Yr (BAU)'!AC51</f>
        <v>1013.1084656691937</v>
      </c>
      <c r="AD195" s="236">
        <f>'Output - Jobs vs Yr (BAU)'!AD51</f>
        <v>1030.4265310408084</v>
      </c>
      <c r="AE195" s="236">
        <f>'Output - Jobs vs Yr (BAU)'!AE51</f>
        <v>1049.3171388381506</v>
      </c>
      <c r="AF195" s="236">
        <f>'Output - Jobs vs Yr (BAU)'!AF51</f>
        <v>1070.8528133623206</v>
      </c>
      <c r="AG195" s="236">
        <f>'Output - Jobs vs Yr (BAU)'!AG51</f>
        <v>1093.2844672693357</v>
      </c>
      <c r="AH195" s="184">
        <f>'Output - Jobs vs Yr (BAU)'!AH51</f>
        <v>1113.3173314111714</v>
      </c>
    </row>
    <row r="196" spans="1:34">
      <c r="A196" t="s">
        <v>390</v>
      </c>
      <c r="C196" s="295">
        <f>'Output - Jobs vs Yr (BAU)'!C69</f>
        <v>293.57342999999997</v>
      </c>
      <c r="D196" s="295">
        <f>'Output - Jobs vs Yr (BAU)'!D69</f>
        <v>301.29543000000001</v>
      </c>
      <c r="E196" s="295">
        <f>'Output - Jobs vs Yr (BAU)'!E69</f>
        <v>320.1505632690517</v>
      </c>
      <c r="F196" s="295">
        <f>'Output - Jobs vs Yr (BAU)'!F69</f>
        <v>309.78662727106689</v>
      </c>
      <c r="G196" s="295">
        <f>'Output - Jobs vs Yr (BAU)'!G69</f>
        <v>340.39870303187234</v>
      </c>
      <c r="H196" s="251">
        <f>'Output - Jobs vs Yr (BAU)'!H69</f>
        <v>350.57377342607941</v>
      </c>
      <c r="I196" s="118">
        <f>'Output - Jobs vs Yr (BAU)'!I69</f>
        <v>362.45810117240694</v>
      </c>
      <c r="J196" s="118">
        <f>'Output - Jobs vs Yr (BAU)'!J69</f>
        <v>384.32112864968877</v>
      </c>
      <c r="K196" s="118">
        <f>'Output - Jobs vs Yr (BAU)'!K69</f>
        <v>416.1056689626318</v>
      </c>
      <c r="L196" s="118">
        <f>'Output - Jobs vs Yr (BAU)'!L69</f>
        <v>434.3359994452174</v>
      </c>
      <c r="M196" s="118">
        <f>'Output - Jobs vs Yr (BAU)'!M69</f>
        <v>451.37421722081348</v>
      </c>
      <c r="N196" s="177">
        <f>'Output - Jobs vs Yr (BAU)'!N69</f>
        <v>473.13477835999919</v>
      </c>
      <c r="O196" s="118">
        <f>'Output - Jobs vs Yr (BAU)'!O69</f>
        <v>506.72385144157789</v>
      </c>
      <c r="P196" s="118">
        <f>'Output - Jobs vs Yr (BAU)'!P69</f>
        <v>529.56853415232547</v>
      </c>
      <c r="Q196" s="118">
        <f>'Output - Jobs vs Yr (BAU)'!Q69</f>
        <v>594.85403796298715</v>
      </c>
      <c r="R196" s="118">
        <f>'Output - Jobs vs Yr (BAU)'!R69</f>
        <v>620.32013884721573</v>
      </c>
      <c r="S196" s="118">
        <f>'Output - Jobs vs Yr (BAU)'!S69</f>
        <v>699.36429761983925</v>
      </c>
      <c r="T196" s="118">
        <f>'Output - Jobs vs Yr (BAU)'!T69</f>
        <v>722.44691944080398</v>
      </c>
      <c r="U196" s="118">
        <f>'Output - Jobs vs Yr (BAU)'!U69</f>
        <v>738.35579420905651</v>
      </c>
      <c r="V196" s="118">
        <f>'Output - Jobs vs Yr (BAU)'!V69</f>
        <v>753.10673150197169</v>
      </c>
      <c r="W196" s="118">
        <f>'Output - Jobs vs Yr (BAU)'!W69</f>
        <v>842.41038982757232</v>
      </c>
      <c r="X196" s="184">
        <f>'Output - Jobs vs Yr (BAU)'!X69</f>
        <v>855.95207691542021</v>
      </c>
      <c r="Y196" s="236">
        <f>'Output - Jobs vs Yr (BAU)'!Y69</f>
        <v>867.29543120023004</v>
      </c>
      <c r="Z196" s="236">
        <f>'Output - Jobs vs Yr (BAU)'!Z69</f>
        <v>875.86586263761183</v>
      </c>
      <c r="AA196" s="236">
        <f>'Output - Jobs vs Yr (BAU)'!AA69</f>
        <v>887.35940495050704</v>
      </c>
      <c r="AB196" s="236">
        <f>'Output - Jobs vs Yr (BAU)'!AB69</f>
        <v>900.60427977914958</v>
      </c>
      <c r="AC196" s="236">
        <f>'Output - Jobs vs Yr (BAU)'!AC69</f>
        <v>911.79761910227444</v>
      </c>
      <c r="AD196" s="236">
        <f>'Output - Jobs vs Yr (BAU)'!AD69</f>
        <v>927.3838779367278</v>
      </c>
      <c r="AE196" s="236">
        <f>'Output - Jobs vs Yr (BAU)'!AE69</f>
        <v>944.3854249543358</v>
      </c>
      <c r="AF196" s="236">
        <f>'Output - Jobs vs Yr (BAU)'!AF69</f>
        <v>963.7675320260887</v>
      </c>
      <c r="AG196" s="236">
        <f>'Output - Jobs vs Yr (BAU)'!AG69</f>
        <v>983.95602054240248</v>
      </c>
      <c r="AH196" s="184">
        <f>'Output - Jobs vs Yr (BAU)'!AH69</f>
        <v>1001.9855982700547</v>
      </c>
    </row>
    <row r="197" spans="1:34">
      <c r="A197" t="s">
        <v>391</v>
      </c>
      <c r="C197" s="296">
        <f>SUM(C198:C199)</f>
        <v>5230.2221500000005</v>
      </c>
      <c r="D197" s="296">
        <f t="shared" ref="D197:AH197" si="113">SUM(D198:D199)</f>
        <v>5038.9301500000001</v>
      </c>
      <c r="E197" s="296">
        <f t="shared" si="113"/>
        <v>5307.7971420694776</v>
      </c>
      <c r="F197" s="296">
        <f t="shared" si="113"/>
        <v>5038.3001906876698</v>
      </c>
      <c r="G197" s="296">
        <f t="shared" si="113"/>
        <v>5246.7880594935596</v>
      </c>
      <c r="H197" s="367">
        <f t="shared" si="113"/>
        <v>5289.4529708545488</v>
      </c>
      <c r="I197" s="14">
        <f t="shared" si="113"/>
        <v>5467.568435090081</v>
      </c>
      <c r="J197" s="14">
        <f t="shared" si="113"/>
        <v>5665.8592580521881</v>
      </c>
      <c r="K197" s="14">
        <f t="shared" si="113"/>
        <v>5851.6836510179737</v>
      </c>
      <c r="L197" s="14">
        <f t="shared" si="113"/>
        <v>5983.5499320895615</v>
      </c>
      <c r="M197" s="14">
        <f t="shared" si="113"/>
        <v>6006.5885355295577</v>
      </c>
      <c r="N197" s="187">
        <f t="shared" si="113"/>
        <v>6006.5882904492782</v>
      </c>
      <c r="O197" s="14">
        <f t="shared" si="113"/>
        <v>6006.5886235067392</v>
      </c>
      <c r="P197" s="14">
        <f t="shared" si="113"/>
        <v>6006.5876135118178</v>
      </c>
      <c r="Q197" s="14">
        <f t="shared" si="113"/>
        <v>6014.2237437864751</v>
      </c>
      <c r="R197" s="14">
        <f t="shared" si="113"/>
        <v>6014.2230729587354</v>
      </c>
      <c r="S197" s="15">
        <f t="shared" si="113"/>
        <v>6014.2330108102633</v>
      </c>
      <c r="T197" s="14">
        <f t="shared" si="113"/>
        <v>6017.1256626309896</v>
      </c>
      <c r="U197" s="14">
        <f t="shared" si="113"/>
        <v>6018.8679864117166</v>
      </c>
      <c r="V197" s="14">
        <f t="shared" si="113"/>
        <v>6028.7320104920173</v>
      </c>
      <c r="W197" s="14">
        <f t="shared" si="113"/>
        <v>6038.3675232888272</v>
      </c>
      <c r="X197" s="187">
        <f t="shared" si="113"/>
        <v>6049.1190128413291</v>
      </c>
      <c r="Y197" s="158">
        <f t="shared" si="113"/>
        <v>6049.1192071248497</v>
      </c>
      <c r="Z197" s="158">
        <f t="shared" si="113"/>
        <v>6055.35549688641</v>
      </c>
      <c r="AA197" s="158">
        <f t="shared" si="113"/>
        <v>6055.3557057457747</v>
      </c>
      <c r="AB197" s="158">
        <f t="shared" si="113"/>
        <v>6055.3557636117603</v>
      </c>
      <c r="AC197" s="158">
        <f t="shared" si="113"/>
        <v>6061.2744661509787</v>
      </c>
      <c r="AD197" s="158">
        <f t="shared" si="113"/>
        <v>6065.3739316777046</v>
      </c>
      <c r="AE197" s="158">
        <f t="shared" si="113"/>
        <v>6065.3744867734749</v>
      </c>
      <c r="AF197" s="158">
        <f t="shared" si="113"/>
        <v>6069.0938782263966</v>
      </c>
      <c r="AG197" s="158">
        <f t="shared" si="113"/>
        <v>6069.0937733169603</v>
      </c>
      <c r="AH197" s="187">
        <f t="shared" si="113"/>
        <v>6069.0939120909024</v>
      </c>
    </row>
    <row r="198" spans="1:34">
      <c r="A198" t="s">
        <v>393</v>
      </c>
      <c r="C198" s="295">
        <f>SUM('Output - Jobs vs Yr (BAU)'!C40:C43)</f>
        <v>2752.7485000000001</v>
      </c>
      <c r="D198" s="295">
        <f>SUM('Output - Jobs vs Yr (BAU)'!D40:D43)</f>
        <v>2652.0685000000003</v>
      </c>
      <c r="E198" s="295">
        <f>SUM('Output - Jobs vs Yr (BAU)'!E40:E43)</f>
        <v>2793.5774431944619</v>
      </c>
      <c r="F198" s="295">
        <f>SUM('Output - Jobs vs Yr (BAU)'!F40:F43)</f>
        <v>2651.7369424671947</v>
      </c>
      <c r="G198" s="295">
        <f>SUM('Output - Jobs vs Yr (BAU)'!G40:G43)</f>
        <v>2761.4673997334526</v>
      </c>
      <c r="H198" s="251">
        <f>SUM('Output - Jobs vs Yr (BAU)'!H40:H43)</f>
        <v>2783.922616239236</v>
      </c>
      <c r="I198" s="118">
        <f>SUM('Output - Jobs vs Yr (BAU)'!I40:I43)</f>
        <v>2877.6675974158325</v>
      </c>
      <c r="J198" s="118">
        <f>SUM('Output - Jobs vs Yr (BAU)'!J40:J43)</f>
        <v>2982.03118844852</v>
      </c>
      <c r="K198" s="118">
        <f>SUM('Output - Jobs vs Yr (BAU)'!K40:K43)</f>
        <v>3079.8335005357758</v>
      </c>
      <c r="L198" s="118">
        <f>SUM('Output - Jobs vs Yr (BAU)'!L40:L43)</f>
        <v>3149.2368063629274</v>
      </c>
      <c r="M198" s="118">
        <f>SUM('Output - Jobs vs Yr (BAU)'!M40:M43)</f>
        <v>3161.3623871208201</v>
      </c>
      <c r="N198" s="177">
        <f>SUM('Output - Jobs vs Yr (BAU)'!N40:N43)</f>
        <v>3161.3622581311993</v>
      </c>
      <c r="O198" s="118">
        <f>SUM('Output - Jobs vs Yr (BAU)'!O40:O43)</f>
        <v>3161.3624334245997</v>
      </c>
      <c r="P198" s="118">
        <f>SUM('Output - Jobs vs Yr (BAU)'!P40:P43)</f>
        <v>3161.361901848325</v>
      </c>
      <c r="Q198" s="118">
        <f>SUM('Output - Jobs vs Yr (BAU)'!Q40:Q43)</f>
        <v>3165.3809177823555</v>
      </c>
      <c r="R198" s="118">
        <f>SUM('Output - Jobs vs Yr (BAU)'!R40:R43)</f>
        <v>3165.3805647151239</v>
      </c>
      <c r="S198" s="118">
        <f>SUM('Output - Jobs vs Yr (BAU)'!S40:S43)</f>
        <v>3165.3857951632963</v>
      </c>
      <c r="T198" s="118">
        <f>SUM('Output - Jobs vs Yr (BAU)'!T40:T43)</f>
        <v>3166.9082434899947</v>
      </c>
      <c r="U198" s="118">
        <f>SUM('Output - Jobs vs Yr (BAU)'!U40:U43)</f>
        <v>3167.8252560061669</v>
      </c>
      <c r="V198" s="118">
        <f>SUM('Output - Jobs vs Yr (BAU)'!V40:V43)</f>
        <v>3173.0168476273775</v>
      </c>
      <c r="W198" s="118">
        <f>SUM('Output - Jobs vs Yr (BAU)'!W40:W43)</f>
        <v>3178.0881701520143</v>
      </c>
      <c r="X198" s="184">
        <f>SUM('Output - Jobs vs Yr (BAU)'!X40:X43)</f>
        <v>3183.7468488638574</v>
      </c>
      <c r="Y198" s="236">
        <f>SUM('Output - Jobs vs Yr (BAU)'!Y40:Y43)</f>
        <v>3183.7469511183417</v>
      </c>
      <c r="Z198" s="236">
        <f>SUM('Output - Jobs vs Yr (BAU)'!Z40:Z43)</f>
        <v>3187.029208887584</v>
      </c>
      <c r="AA198" s="236">
        <f>SUM('Output - Jobs vs Yr (BAU)'!AA40:AA43)</f>
        <v>3187.0293188135656</v>
      </c>
      <c r="AB198" s="236">
        <f>SUM('Output - Jobs vs Yr (BAU)'!AB40:AB43)</f>
        <v>3187.0293492693472</v>
      </c>
      <c r="AC198" s="236">
        <f>SUM('Output - Jobs vs Yr (BAU)'!AC40:AC43)</f>
        <v>3190.1444558689363</v>
      </c>
      <c r="AD198" s="236">
        <f>SUM('Output - Jobs vs Yr (BAU)'!AD40:AD43)</f>
        <v>3192.3020693040548</v>
      </c>
      <c r="AE198" s="236">
        <f>SUM('Output - Jobs vs Yr (BAU)'!AE40:AE43)</f>
        <v>3192.3023614597232</v>
      </c>
      <c r="AF198" s="236">
        <f>SUM('Output - Jobs vs Yr (BAU)'!AF40:AF43)</f>
        <v>3194.2599359086294</v>
      </c>
      <c r="AG198" s="236">
        <f>SUM('Output - Jobs vs Yr (BAU)'!AG40:AG43)</f>
        <v>3194.2598806931369</v>
      </c>
      <c r="AH198" s="184">
        <f>SUM('Output - Jobs vs Yr (BAU)'!AH40:AH43)</f>
        <v>3194.2599537320539</v>
      </c>
    </row>
    <row r="199" spans="1:34">
      <c r="A199" t="s">
        <v>392</v>
      </c>
      <c r="C199" s="295">
        <f>SUM('Output - Jobs vs Yr (BAU)'!C58:C61)</f>
        <v>2477.4736500000004</v>
      </c>
      <c r="D199" s="295">
        <f>SUM('Output - Jobs vs Yr (BAU)'!D58:D61)</f>
        <v>2386.8616500000003</v>
      </c>
      <c r="E199" s="295">
        <f>SUM('Output - Jobs vs Yr (BAU)'!E58:E61)</f>
        <v>2514.2196988750156</v>
      </c>
      <c r="F199" s="295">
        <f>SUM('Output - Jobs vs Yr (BAU)'!F58:F61)</f>
        <v>2386.5632482204751</v>
      </c>
      <c r="G199" s="295">
        <f>SUM('Output - Jobs vs Yr (BAU)'!G58:G61)</f>
        <v>2485.3206597601074</v>
      </c>
      <c r="H199" s="251">
        <f>SUM('Output - Jobs vs Yr (BAU)'!H58:H61)</f>
        <v>2505.5303546153127</v>
      </c>
      <c r="I199" s="118">
        <f>SUM('Output - Jobs vs Yr (BAU)'!I58:I61)</f>
        <v>2589.900837674249</v>
      </c>
      <c r="J199" s="118">
        <f>SUM('Output - Jobs vs Yr (BAU)'!J58:J61)</f>
        <v>2683.8280696036682</v>
      </c>
      <c r="K199" s="118">
        <f>SUM('Output - Jobs vs Yr (BAU)'!K58:K61)</f>
        <v>2771.8501504821979</v>
      </c>
      <c r="L199" s="118">
        <f>SUM('Output - Jobs vs Yr (BAU)'!L58:L61)</f>
        <v>2834.3131257266341</v>
      </c>
      <c r="M199" s="118">
        <f>SUM('Output - Jobs vs Yr (BAU)'!M58:M61)</f>
        <v>2845.226148408738</v>
      </c>
      <c r="N199" s="177">
        <f>SUM('Output - Jobs vs Yr (BAU)'!N58:N61)</f>
        <v>2845.226032318079</v>
      </c>
      <c r="O199" s="118">
        <f>SUM('Output - Jobs vs Yr (BAU)'!O58:O61)</f>
        <v>2845.22619008214</v>
      </c>
      <c r="P199" s="118">
        <f>SUM('Output - Jobs vs Yr (BAU)'!P58:P61)</f>
        <v>2845.2257116634928</v>
      </c>
      <c r="Q199" s="118">
        <f>SUM('Output - Jobs vs Yr (BAU)'!Q58:Q61)</f>
        <v>2848.8428260041201</v>
      </c>
      <c r="R199" s="118">
        <f>SUM('Output - Jobs vs Yr (BAU)'!R58:R61)</f>
        <v>2848.8425082436115</v>
      </c>
      <c r="S199" s="118">
        <f>SUM('Output - Jobs vs Yr (BAU)'!S58:S61)</f>
        <v>2848.847215646967</v>
      </c>
      <c r="T199" s="118">
        <f>SUM('Output - Jobs vs Yr (BAU)'!T58:T61)</f>
        <v>2850.2174191409949</v>
      </c>
      <c r="U199" s="118">
        <f>SUM('Output - Jobs vs Yr (BAU)'!U58:U61)</f>
        <v>2851.0427304055502</v>
      </c>
      <c r="V199" s="118">
        <f>SUM('Output - Jobs vs Yr (BAU)'!V58:V61)</f>
        <v>2855.7151628646398</v>
      </c>
      <c r="W199" s="118">
        <f>SUM('Output - Jobs vs Yr (BAU)'!W58:W61)</f>
        <v>2860.2793531368129</v>
      </c>
      <c r="X199" s="184">
        <f>SUM('Output - Jobs vs Yr (BAU)'!X58:X61)</f>
        <v>2865.3721639774722</v>
      </c>
      <c r="Y199" s="236">
        <f>SUM('Output - Jobs vs Yr (BAU)'!Y58:Y61)</f>
        <v>2865.3722560065075</v>
      </c>
      <c r="Z199" s="236">
        <f>SUM('Output - Jobs vs Yr (BAU)'!Z58:Z61)</f>
        <v>2868.3262879988256</v>
      </c>
      <c r="AA199" s="236">
        <f>SUM('Output - Jobs vs Yr (BAU)'!AA58:AA61)</f>
        <v>2868.3263869322091</v>
      </c>
      <c r="AB199" s="236">
        <f>SUM('Output - Jobs vs Yr (BAU)'!AB58:AB61)</f>
        <v>2868.3264143424126</v>
      </c>
      <c r="AC199" s="236">
        <f>SUM('Output - Jobs vs Yr (BAU)'!AC58:AC61)</f>
        <v>2871.1300102820428</v>
      </c>
      <c r="AD199" s="236">
        <f>SUM('Output - Jobs vs Yr (BAU)'!AD58:AD61)</f>
        <v>2873.0718623736493</v>
      </c>
      <c r="AE199" s="236">
        <f>SUM('Output - Jobs vs Yr (BAU)'!AE58:AE61)</f>
        <v>2873.0721253137513</v>
      </c>
      <c r="AF199" s="236">
        <f>SUM('Output - Jobs vs Yr (BAU)'!AF58:AF61)</f>
        <v>2874.8339423177667</v>
      </c>
      <c r="AG199" s="236">
        <f>SUM('Output - Jobs vs Yr (BAU)'!AG58:AG61)</f>
        <v>2874.8338926238234</v>
      </c>
      <c r="AH199" s="184">
        <f>SUM('Output - Jobs vs Yr (BAU)'!AH58:AH61)</f>
        <v>2874.833958358849</v>
      </c>
    </row>
    <row r="200" spans="1:34">
      <c r="A200" t="s">
        <v>394</v>
      </c>
      <c r="C200" s="296">
        <f>SUM(C201:C202)</f>
        <v>7585.8639999999996</v>
      </c>
      <c r="D200" s="296">
        <f t="shared" ref="D200:AH200" si="114">SUM(D201:D202)</f>
        <v>8489.7889999999989</v>
      </c>
      <c r="E200" s="296">
        <f t="shared" si="114"/>
        <v>7390.8582671159402</v>
      </c>
      <c r="F200" s="296">
        <f t="shared" si="114"/>
        <v>7061.542200052696</v>
      </c>
      <c r="G200" s="296">
        <f t="shared" si="114"/>
        <v>7105.643438743833</v>
      </c>
      <c r="H200" s="367">
        <f t="shared" si="114"/>
        <v>7146.3077418466328</v>
      </c>
      <c r="I200" s="14">
        <f t="shared" si="114"/>
        <v>7053.896095195847</v>
      </c>
      <c r="J200" s="14">
        <f t="shared" si="114"/>
        <v>7079.2872945624749</v>
      </c>
      <c r="K200" s="14">
        <f t="shared" si="114"/>
        <v>7206.1799517882209</v>
      </c>
      <c r="L200" s="14">
        <f t="shared" si="114"/>
        <v>7263.4506415567266</v>
      </c>
      <c r="M200" s="14">
        <f t="shared" si="114"/>
        <v>7347.3283923120343</v>
      </c>
      <c r="N200" s="187">
        <f t="shared" si="114"/>
        <v>7408.311951326521</v>
      </c>
      <c r="O200" s="14">
        <f t="shared" si="114"/>
        <v>7487.3454820021052</v>
      </c>
      <c r="P200" s="14">
        <f t="shared" si="114"/>
        <v>7578.99396778355</v>
      </c>
      <c r="Q200" s="14">
        <f t="shared" si="114"/>
        <v>7680.2511197827662</v>
      </c>
      <c r="R200" s="14">
        <f t="shared" si="114"/>
        <v>7805.9075719028879</v>
      </c>
      <c r="S200" s="15">
        <f t="shared" si="114"/>
        <v>7888.7647195820819</v>
      </c>
      <c r="T200" s="14">
        <f t="shared" si="114"/>
        <v>7930.1780927307018</v>
      </c>
      <c r="U200" s="14">
        <f t="shared" si="114"/>
        <v>7975.2222460069615</v>
      </c>
      <c r="V200" s="14">
        <f t="shared" si="114"/>
        <v>8025.862581679924</v>
      </c>
      <c r="W200" s="14">
        <f t="shared" si="114"/>
        <v>8031.0257458634514</v>
      </c>
      <c r="X200" s="187">
        <f t="shared" si="114"/>
        <v>8081.0127238643408</v>
      </c>
      <c r="Y200" s="158">
        <f t="shared" si="114"/>
        <v>8098.4256131792063</v>
      </c>
      <c r="Z200" s="158">
        <f t="shared" si="114"/>
        <v>8129.707592474826</v>
      </c>
      <c r="AA200" s="158">
        <f t="shared" si="114"/>
        <v>8148.411781788177</v>
      </c>
      <c r="AB200" s="158">
        <f t="shared" si="114"/>
        <v>8177.202544961272</v>
      </c>
      <c r="AC200" s="158">
        <f t="shared" si="114"/>
        <v>8224.750165135205</v>
      </c>
      <c r="AD200" s="158">
        <f t="shared" si="114"/>
        <v>8266.8044413038806</v>
      </c>
      <c r="AE200" s="158">
        <f t="shared" si="114"/>
        <v>8336.4011474688596</v>
      </c>
      <c r="AF200" s="158">
        <f t="shared" si="114"/>
        <v>8413.969678677</v>
      </c>
      <c r="AG200" s="158">
        <f t="shared" si="114"/>
        <v>8477.3807740918801</v>
      </c>
      <c r="AH200" s="187">
        <f t="shared" si="114"/>
        <v>8526.6616920430752</v>
      </c>
    </row>
    <row r="201" spans="1:34">
      <c r="A201" t="s">
        <v>395</v>
      </c>
      <c r="C201" s="295">
        <f>SUM('Output - Jobs vs Yr (BAU)'!C53:C54)</f>
        <v>3992.56</v>
      </c>
      <c r="D201" s="295">
        <f>SUM('Output - Jobs vs Yr (BAU)'!D53:D54)</f>
        <v>4468.3099999999995</v>
      </c>
      <c r="E201" s="295">
        <f>SUM('Output - Jobs vs Yr (BAU)'!E53:E54)</f>
        <v>3889.9254037452315</v>
      </c>
      <c r="F201" s="295">
        <f>SUM('Output - Jobs vs Yr (BAU)'!F53:F54)</f>
        <v>3716.6011579224714</v>
      </c>
      <c r="G201" s="295">
        <f>SUM('Output - Jobs vs Yr (BAU)'!G53:G54)</f>
        <v>3739.8123361809648</v>
      </c>
      <c r="H201" s="251">
        <f>SUM('Output - Jobs vs Yr (BAU)'!H53:H54)</f>
        <v>3761.2146009719118</v>
      </c>
      <c r="I201" s="118">
        <f>SUM('Output - Jobs vs Yr (BAU)'!I53:I54)</f>
        <v>3712.5768922083407</v>
      </c>
      <c r="J201" s="118">
        <f>SUM('Output - Jobs vs Yr (BAU)'!J53:J54)</f>
        <v>3725.9406813486712</v>
      </c>
      <c r="K201" s="118">
        <f>SUM('Output - Jobs vs Yr (BAU)'!K53:K54)</f>
        <v>3792.7262904148529</v>
      </c>
      <c r="L201" s="118">
        <f>SUM('Output - Jobs vs Yr (BAU)'!L53:L54)</f>
        <v>3822.8687587140666</v>
      </c>
      <c r="M201" s="118">
        <f>SUM('Output - Jobs vs Yr (BAU)'!M53:M54)</f>
        <v>3867.0149433221231</v>
      </c>
      <c r="N201" s="177">
        <f>SUM('Output - Jobs vs Yr (BAU)'!N53:N54)</f>
        <v>3899.1115533297479</v>
      </c>
      <c r="O201" s="118">
        <f>SUM('Output - Jobs vs Yr (BAU)'!O53:O54)</f>
        <v>3940.7081484221608</v>
      </c>
      <c r="P201" s="118">
        <f>SUM('Output - Jobs vs Yr (BAU)'!P53:P54)</f>
        <v>3988.9441935702898</v>
      </c>
      <c r="Q201" s="118">
        <f>SUM('Output - Jobs vs Yr (BAU)'!Q53:Q54)</f>
        <v>4042.237431464614</v>
      </c>
      <c r="R201" s="118">
        <f>SUM('Output - Jobs vs Yr (BAU)'!R53:R54)</f>
        <v>4108.3724062646779</v>
      </c>
      <c r="S201" s="118">
        <f>SUM('Output - Jobs vs Yr (BAU)'!S53:S54)</f>
        <v>4151.9814313589904</v>
      </c>
      <c r="T201" s="118">
        <f>SUM('Output - Jobs vs Yr (BAU)'!T53:T54)</f>
        <v>4173.7779435424745</v>
      </c>
      <c r="U201" s="118">
        <f>SUM('Output - Jobs vs Yr (BAU)'!U53:U54)</f>
        <v>4197.4853926352425</v>
      </c>
      <c r="V201" s="118">
        <f>SUM('Output - Jobs vs Yr (BAU)'!V53:V54)</f>
        <v>4224.1382008841701</v>
      </c>
      <c r="W201" s="118">
        <f>SUM('Output - Jobs vs Yr (BAU)'!W53:W54)</f>
        <v>4226.8556557176062</v>
      </c>
      <c r="X201" s="184">
        <f>SUM('Output - Jobs vs Yr (BAU)'!X53:X54)</f>
        <v>4253.1645915075478</v>
      </c>
      <c r="Y201" s="236">
        <f>SUM('Output - Jobs vs Yr (BAU)'!Y53:Y54)</f>
        <v>4262.3292700943193</v>
      </c>
      <c r="Z201" s="236">
        <f>SUM('Output - Jobs vs Yr (BAU)'!Z53:Z54)</f>
        <v>4278.7934697235924</v>
      </c>
      <c r="AA201" s="236">
        <f>SUM('Output - Jobs vs Yr (BAU)'!AA53:AA54)</f>
        <v>4288.6377798885142</v>
      </c>
      <c r="AB201" s="236">
        <f>SUM('Output - Jobs vs Yr (BAU)'!AB53:AB54)</f>
        <v>4303.7908131375116</v>
      </c>
      <c r="AC201" s="236">
        <f>SUM('Output - Jobs vs Yr (BAU)'!AC53:AC54)</f>
        <v>4328.8158763869496</v>
      </c>
      <c r="AD201" s="236">
        <f>SUM('Output - Jobs vs Yr (BAU)'!AD53:AD54)</f>
        <v>4350.9497059494106</v>
      </c>
      <c r="AE201" s="236">
        <f>SUM('Output - Jobs vs Yr (BAU)'!AE53:AE54)</f>
        <v>4387.5795512994</v>
      </c>
      <c r="AF201" s="236">
        <f>SUM('Output - Jobs vs Yr (BAU)'!AF53:AF54)</f>
        <v>4428.4050940405268</v>
      </c>
      <c r="AG201" s="236">
        <f>SUM('Output - Jobs vs Yr (BAU)'!AG53:AG54)</f>
        <v>4461.7793547851998</v>
      </c>
      <c r="AH201" s="184">
        <f>SUM('Output - Jobs vs Yr (BAU)'!AH53:AH54)</f>
        <v>4487.7166800226705</v>
      </c>
    </row>
    <row r="202" spans="1:34">
      <c r="A202" t="s">
        <v>396</v>
      </c>
      <c r="C202" s="295">
        <f>SUM('Output - Jobs vs Yr (BAU)'!C71:C72)</f>
        <v>3593.3040000000001</v>
      </c>
      <c r="D202" s="295">
        <f>SUM('Output - Jobs vs Yr (BAU)'!D71:D72)</f>
        <v>4021.4789999999998</v>
      </c>
      <c r="E202" s="295">
        <f>SUM('Output - Jobs vs Yr (BAU)'!E71:E72)</f>
        <v>3500.9328633707082</v>
      </c>
      <c r="F202" s="295">
        <f>SUM('Output - Jobs vs Yr (BAU)'!F71:F72)</f>
        <v>3344.9410421302246</v>
      </c>
      <c r="G202" s="295">
        <f>SUM('Output - Jobs vs Yr (BAU)'!G71:G72)</f>
        <v>3365.8311025628686</v>
      </c>
      <c r="H202" s="251">
        <f>SUM('Output - Jobs vs Yr (BAU)'!H71:H72)</f>
        <v>3385.0931408747206</v>
      </c>
      <c r="I202" s="118">
        <f>SUM('Output - Jobs vs Yr (BAU)'!I71:I72)</f>
        <v>3341.3192029875067</v>
      </c>
      <c r="J202" s="118">
        <f>SUM('Output - Jobs vs Yr (BAU)'!J71:J72)</f>
        <v>3353.3466132138042</v>
      </c>
      <c r="K202" s="118">
        <f>SUM('Output - Jobs vs Yr (BAU)'!K71:K72)</f>
        <v>3413.453661373368</v>
      </c>
      <c r="L202" s="118">
        <f>SUM('Output - Jobs vs Yr (BAU)'!L71:L72)</f>
        <v>3440.58188284266</v>
      </c>
      <c r="M202" s="118">
        <f>SUM('Output - Jobs vs Yr (BAU)'!M71:M72)</f>
        <v>3480.3134489899112</v>
      </c>
      <c r="N202" s="177">
        <f>SUM('Output - Jobs vs Yr (BAU)'!N71:N72)</f>
        <v>3509.2003979967735</v>
      </c>
      <c r="O202" s="118">
        <f>SUM('Output - Jobs vs Yr (BAU)'!O71:O72)</f>
        <v>3546.6373335799444</v>
      </c>
      <c r="P202" s="118">
        <f>SUM('Output - Jobs vs Yr (BAU)'!P71:P72)</f>
        <v>3590.0497742132607</v>
      </c>
      <c r="Q202" s="118">
        <f>SUM('Output - Jobs vs Yr (BAU)'!Q71:Q72)</f>
        <v>3638.0136883181522</v>
      </c>
      <c r="R202" s="118">
        <f>SUM('Output - Jobs vs Yr (BAU)'!R71:R72)</f>
        <v>3697.5351656382104</v>
      </c>
      <c r="S202" s="118">
        <f>SUM('Output - Jobs vs Yr (BAU)'!S71:S72)</f>
        <v>3736.7832882230914</v>
      </c>
      <c r="T202" s="118">
        <f>SUM('Output - Jobs vs Yr (BAU)'!T71:T72)</f>
        <v>3756.4001491882273</v>
      </c>
      <c r="U202" s="118">
        <f>SUM('Output - Jobs vs Yr (BAU)'!U71:U72)</f>
        <v>3777.736853371719</v>
      </c>
      <c r="V202" s="118">
        <f>SUM('Output - Jobs vs Yr (BAU)'!V71:V72)</f>
        <v>3801.7243807957539</v>
      </c>
      <c r="W202" s="118">
        <f>SUM('Output - Jobs vs Yr (BAU)'!W71:W72)</f>
        <v>3804.1700901458453</v>
      </c>
      <c r="X202" s="184">
        <f>SUM('Output - Jobs vs Yr (BAU)'!X71:X72)</f>
        <v>3827.848132356793</v>
      </c>
      <c r="Y202" s="236">
        <f>SUM('Output - Jobs vs Yr (BAU)'!Y71:Y72)</f>
        <v>3836.0963430848874</v>
      </c>
      <c r="Z202" s="236">
        <f>SUM('Output - Jobs vs Yr (BAU)'!Z71:Z72)</f>
        <v>3850.9141227512337</v>
      </c>
      <c r="AA202" s="236">
        <f>SUM('Output - Jobs vs Yr (BAU)'!AA71:AA72)</f>
        <v>3859.7740018996628</v>
      </c>
      <c r="AB202" s="236">
        <f>SUM('Output - Jobs vs Yr (BAU)'!AB71:AB72)</f>
        <v>3873.41173182376</v>
      </c>
      <c r="AC202" s="236">
        <f>SUM('Output - Jobs vs Yr (BAU)'!AC71:AC72)</f>
        <v>3895.9342887482549</v>
      </c>
      <c r="AD202" s="236">
        <f>SUM('Output - Jobs vs Yr (BAU)'!AD71:AD72)</f>
        <v>3915.8547353544695</v>
      </c>
      <c r="AE202" s="236">
        <f>SUM('Output - Jobs vs Yr (BAU)'!AE71:AE72)</f>
        <v>3948.8215961694605</v>
      </c>
      <c r="AF202" s="236">
        <f>SUM('Output - Jobs vs Yr (BAU)'!AF71:AF72)</f>
        <v>3985.5645846364741</v>
      </c>
      <c r="AG202" s="236">
        <f>SUM('Output - Jobs vs Yr (BAU)'!AG71:AG72)</f>
        <v>4015.6014193066799</v>
      </c>
      <c r="AH202" s="184">
        <f>SUM('Output - Jobs vs Yr (BAU)'!AH71:AH72)</f>
        <v>4038.9450120204037</v>
      </c>
    </row>
    <row r="203" spans="1:34">
      <c r="A203" s="1" t="s">
        <v>425</v>
      </c>
      <c r="C203" s="296">
        <f>SUM(C191,C194,C197,C200)</f>
        <v>13435.852279999999</v>
      </c>
      <c r="D203" s="296">
        <f t="shared" ref="D203:AH203" si="115">SUM(D191,D194,D197,D200)</f>
        <v>14164.787279999999</v>
      </c>
      <c r="E203" s="296">
        <f t="shared" si="115"/>
        <v>13374.528820531194</v>
      </c>
      <c r="F203" s="296">
        <f t="shared" si="115"/>
        <v>12753.836381645951</v>
      </c>
      <c r="G203" s="296">
        <f t="shared" si="115"/>
        <v>13071.050982415789</v>
      </c>
      <c r="H203" s="367">
        <f t="shared" si="115"/>
        <v>13175.860901045127</v>
      </c>
      <c r="I203" s="14">
        <f t="shared" si="115"/>
        <v>13286.653854983231</v>
      </c>
      <c r="J203" s="14">
        <f t="shared" si="115"/>
        <v>13556.491157541783</v>
      </c>
      <c r="K203" s="14">
        <f t="shared" si="115"/>
        <v>13936.308903949528</v>
      </c>
      <c r="L203" s="14">
        <f t="shared" si="115"/>
        <v>14163.932128030636</v>
      </c>
      <c r="M203" s="132">
        <f t="shared" si="115"/>
        <v>14306.818053085532</v>
      </c>
      <c r="N203" s="193">
        <f t="shared" si="115"/>
        <v>14413.740329424687</v>
      </c>
      <c r="O203" s="14">
        <f t="shared" si="115"/>
        <v>14563.684458552176</v>
      </c>
      <c r="P203" s="14">
        <f t="shared" si="115"/>
        <v>14703.559597839167</v>
      </c>
      <c r="Q203" s="14">
        <f t="shared" si="115"/>
        <v>14950.277832602214</v>
      </c>
      <c r="R203" s="14">
        <f t="shared" si="115"/>
        <v>15129.695382427968</v>
      </c>
      <c r="S203" s="14">
        <f t="shared" si="115"/>
        <v>15379.433469812006</v>
      </c>
      <c r="T203" s="14">
        <f t="shared" si="115"/>
        <v>15472.469474181165</v>
      </c>
      <c r="U203" s="14">
        <f t="shared" si="115"/>
        <v>15552.841353526686</v>
      </c>
      <c r="V203" s="14">
        <f t="shared" si="115"/>
        <v>15644.486580898327</v>
      </c>
      <c r="W203" s="14">
        <f t="shared" si="115"/>
        <v>15847.815203232709</v>
      </c>
      <c r="X203" s="187">
        <f t="shared" si="115"/>
        <v>15937.141676860447</v>
      </c>
      <c r="Y203" s="158">
        <f t="shared" si="115"/>
        <v>15978.501841726764</v>
      </c>
      <c r="Z203" s="158">
        <f t="shared" si="115"/>
        <v>16034.113243818416</v>
      </c>
      <c r="AA203" s="158">
        <f t="shared" si="115"/>
        <v>16077.08178687391</v>
      </c>
      <c r="AB203" s="158">
        <f t="shared" si="115"/>
        <v>16133.834010329014</v>
      </c>
      <c r="AC203" s="158">
        <f t="shared" si="115"/>
        <v>16210.930716057652</v>
      </c>
      <c r="AD203" s="158">
        <f t="shared" si="115"/>
        <v>16289.98878195912</v>
      </c>
      <c r="AE203" s="158">
        <f t="shared" si="115"/>
        <v>16395.47819803482</v>
      </c>
      <c r="AF203" s="158">
        <f t="shared" si="115"/>
        <v>16517.683902291807</v>
      </c>
      <c r="AG203" s="158">
        <f t="shared" si="115"/>
        <v>16623.715035220579</v>
      </c>
      <c r="AH203" s="187">
        <f t="shared" si="115"/>
        <v>16711.058533815201</v>
      </c>
    </row>
    <row r="204" spans="1:34">
      <c r="A204" s="1" t="s">
        <v>448</v>
      </c>
      <c r="C204" s="296"/>
      <c r="D204" s="296">
        <f>D194+D197</f>
        <v>5674.9982799999998</v>
      </c>
      <c r="E204" s="296">
        <f t="shared" ref="E204:AH204" si="116">E194+E197</f>
        <v>5983.6705534152534</v>
      </c>
      <c r="F204" s="296">
        <f t="shared" si="116"/>
        <v>5692.2941815932554</v>
      </c>
      <c r="G204" s="296">
        <f t="shared" si="116"/>
        <v>5965.4075436719568</v>
      </c>
      <c r="H204" s="367">
        <f t="shared" si="116"/>
        <v>6029.5531591984945</v>
      </c>
      <c r="I204" s="14">
        <f t="shared" si="116"/>
        <v>6232.7577597873842</v>
      </c>
      <c r="J204" s="14">
        <f t="shared" si="116"/>
        <v>6477.2038629793087</v>
      </c>
      <c r="K204" s="14">
        <f t="shared" si="116"/>
        <v>6730.1289521613071</v>
      </c>
      <c r="L204" s="14">
        <f t="shared" si="116"/>
        <v>6900.4814864739092</v>
      </c>
      <c r="M204" s="14">
        <f t="shared" si="116"/>
        <v>6959.4896607734972</v>
      </c>
      <c r="N204" s="187">
        <f t="shared" si="116"/>
        <v>7005.4283780981659</v>
      </c>
      <c r="O204" s="14">
        <f t="shared" si="116"/>
        <v>7076.3389765500706</v>
      </c>
      <c r="P204" s="14">
        <f t="shared" si="116"/>
        <v>7124.5656300556166</v>
      </c>
      <c r="Q204" s="14">
        <f t="shared" si="116"/>
        <v>7270.0267128194482</v>
      </c>
      <c r="R204" s="14">
        <f t="shared" si="116"/>
        <v>7323.7878105250802</v>
      </c>
      <c r="S204" s="14">
        <f t="shared" si="116"/>
        <v>7490.6687502299237</v>
      </c>
      <c r="T204" s="14">
        <f t="shared" si="116"/>
        <v>7542.2913814504645</v>
      </c>
      <c r="U204" s="14">
        <f t="shared" si="116"/>
        <v>7577.6191075197248</v>
      </c>
      <c r="V204" s="14">
        <f t="shared" si="116"/>
        <v>7618.6239992184019</v>
      </c>
      <c r="W204" s="14">
        <f t="shared" si="116"/>
        <v>7816.7894573692574</v>
      </c>
      <c r="X204" s="187">
        <f t="shared" si="116"/>
        <v>7856.128952996105</v>
      </c>
      <c r="Y204" s="158">
        <f t="shared" si="116"/>
        <v>7880.0762285475575</v>
      </c>
      <c r="Z204" s="158">
        <f t="shared" si="116"/>
        <v>7904.4056513435899</v>
      </c>
      <c r="AA204" s="158">
        <f t="shared" si="116"/>
        <v>7928.6700050857344</v>
      </c>
      <c r="AB204" s="158">
        <f t="shared" si="116"/>
        <v>7956.6314653677427</v>
      </c>
      <c r="AC204" s="158">
        <f t="shared" si="116"/>
        <v>7986.1805509224469</v>
      </c>
      <c r="AD204" s="158">
        <f t="shared" si="116"/>
        <v>8023.1843406552407</v>
      </c>
      <c r="AE204" s="158">
        <f t="shared" si="116"/>
        <v>8059.0770505659611</v>
      </c>
      <c r="AF204" s="158">
        <f t="shared" si="116"/>
        <v>8103.7142236148056</v>
      </c>
      <c r="AG204" s="158">
        <f t="shared" si="116"/>
        <v>8146.3342611286989</v>
      </c>
      <c r="AH204" s="187">
        <f t="shared" si="116"/>
        <v>8184.396841772128</v>
      </c>
    </row>
    <row r="205" spans="1:34">
      <c r="A205" s="1"/>
      <c r="C205" s="296"/>
      <c r="D205" s="296"/>
      <c r="E205" s="296"/>
      <c r="F205" s="296"/>
      <c r="G205" s="296"/>
      <c r="H205" s="367"/>
      <c r="I205" s="14"/>
      <c r="J205" s="14"/>
      <c r="K205" s="14"/>
      <c r="L205" s="14"/>
      <c r="M205" s="14"/>
      <c r="N205" s="187"/>
      <c r="O205" s="14"/>
      <c r="P205" s="14"/>
      <c r="Q205" s="14"/>
      <c r="R205" s="14"/>
      <c r="S205" s="14"/>
      <c r="T205" s="14"/>
      <c r="U205" s="14"/>
      <c r="V205" s="14"/>
      <c r="W205" s="14"/>
      <c r="X205" s="187"/>
    </row>
    <row r="206" spans="1:34">
      <c r="A206" s="1" t="s">
        <v>453</v>
      </c>
      <c r="C206" s="296"/>
      <c r="D206" s="296">
        <f>D194</f>
        <v>636.06813</v>
      </c>
      <c r="E206" s="296">
        <f>D206+E194</f>
        <v>1311.9415413457759</v>
      </c>
      <c r="F206" s="296">
        <f>E206+F194</f>
        <v>1965.9355322513616</v>
      </c>
      <c r="G206" s="296">
        <f>F206+G194</f>
        <v>2684.5550164297588</v>
      </c>
      <c r="H206" s="367">
        <f t="shared" ref="H206:X206" si="117">G206+H194</f>
        <v>3424.6552047737041</v>
      </c>
      <c r="I206" s="14">
        <f t="shared" si="117"/>
        <v>4189.8445294710073</v>
      </c>
      <c r="J206" s="14">
        <f t="shared" si="117"/>
        <v>5001.1891343981279</v>
      </c>
      <c r="K206" s="14">
        <f t="shared" si="117"/>
        <v>5879.6344355414622</v>
      </c>
      <c r="L206" s="14">
        <f t="shared" si="117"/>
        <v>6796.5659899258098</v>
      </c>
      <c r="M206" s="14">
        <f t="shared" si="117"/>
        <v>7749.4671151697494</v>
      </c>
      <c r="N206" s="187">
        <f t="shared" si="117"/>
        <v>8748.3072028186361</v>
      </c>
      <c r="O206" s="14">
        <f t="shared" si="117"/>
        <v>9818.0575558619676</v>
      </c>
      <c r="P206" s="14">
        <f t="shared" si="117"/>
        <v>10936.035572405766</v>
      </c>
      <c r="Q206" s="14">
        <f t="shared" si="117"/>
        <v>12191.838541438739</v>
      </c>
      <c r="R206" s="14">
        <f t="shared" si="117"/>
        <v>13501.403279005084</v>
      </c>
      <c r="S206" s="14">
        <f t="shared" si="117"/>
        <v>14977.839018424746</v>
      </c>
      <c r="T206" s="14">
        <f t="shared" si="117"/>
        <v>16503.00473724422</v>
      </c>
      <c r="U206" s="14">
        <f t="shared" si="117"/>
        <v>18061.75585835223</v>
      </c>
      <c r="V206" s="14">
        <f t="shared" si="117"/>
        <v>19651.647847078613</v>
      </c>
      <c r="W206" s="14">
        <f t="shared" si="117"/>
        <v>21430.069781159043</v>
      </c>
      <c r="X206" s="187">
        <f t="shared" si="117"/>
        <v>23237.079721313821</v>
      </c>
      <c r="Y206" s="158">
        <f t="shared" ref="Y206:AH206" si="118">X206+Y194</f>
        <v>25068.036742736527</v>
      </c>
      <c r="Z206" s="158">
        <f t="shared" si="118"/>
        <v>26917.086897193709</v>
      </c>
      <c r="AA206" s="158">
        <f t="shared" si="118"/>
        <v>28790.401196533669</v>
      </c>
      <c r="AB206" s="158">
        <f t="shared" si="118"/>
        <v>30691.67689828965</v>
      </c>
      <c r="AC206" s="158">
        <f t="shared" si="118"/>
        <v>32616.582983061118</v>
      </c>
      <c r="AD206" s="158">
        <f t="shared" si="118"/>
        <v>34574.393392038655</v>
      </c>
      <c r="AE206" s="158">
        <f t="shared" si="118"/>
        <v>36568.095955831144</v>
      </c>
      <c r="AF206" s="158">
        <f t="shared" si="118"/>
        <v>38602.716301219552</v>
      </c>
      <c r="AG206" s="158">
        <f t="shared" si="118"/>
        <v>40679.95678903129</v>
      </c>
      <c r="AH206" s="187">
        <f t="shared" si="118"/>
        <v>42795.259718712514</v>
      </c>
    </row>
    <row r="207" spans="1:34">
      <c r="A207" s="1" t="s">
        <v>456</v>
      </c>
      <c r="C207" s="296"/>
      <c r="D207" s="296">
        <f>D200</f>
        <v>8489.7889999999989</v>
      </c>
      <c r="E207" s="296">
        <f>D207+E200</f>
        <v>15880.647267115939</v>
      </c>
      <c r="F207" s="296">
        <f>E207+F200</f>
        <v>22942.189467168635</v>
      </c>
      <c r="G207" s="296">
        <f t="shared" ref="G207:X207" si="119">F207+G200</f>
        <v>30047.832905912466</v>
      </c>
      <c r="H207" s="367">
        <f t="shared" si="119"/>
        <v>37194.140647759101</v>
      </c>
      <c r="I207" s="14">
        <f t="shared" si="119"/>
        <v>44248.036742954951</v>
      </c>
      <c r="J207" s="14">
        <f t="shared" si="119"/>
        <v>51327.324037517428</v>
      </c>
      <c r="K207" s="14">
        <f t="shared" si="119"/>
        <v>58533.503989305653</v>
      </c>
      <c r="L207" s="14">
        <f t="shared" si="119"/>
        <v>65796.954630862383</v>
      </c>
      <c r="M207" s="14">
        <f t="shared" si="119"/>
        <v>73144.283023174416</v>
      </c>
      <c r="N207" s="187">
        <f t="shared" si="119"/>
        <v>80552.594974500942</v>
      </c>
      <c r="O207" s="14">
        <f t="shared" si="119"/>
        <v>88039.940456503042</v>
      </c>
      <c r="P207" s="14">
        <f t="shared" si="119"/>
        <v>95618.934424286592</v>
      </c>
      <c r="Q207" s="14">
        <f t="shared" si="119"/>
        <v>103299.18554406936</v>
      </c>
      <c r="R207" s="14">
        <f t="shared" si="119"/>
        <v>111105.09311597225</v>
      </c>
      <c r="S207" s="14">
        <f t="shared" si="119"/>
        <v>118993.85783555433</v>
      </c>
      <c r="T207" s="14">
        <f t="shared" si="119"/>
        <v>126924.03592828503</v>
      </c>
      <c r="U207" s="14">
        <f t="shared" si="119"/>
        <v>134899.25817429199</v>
      </c>
      <c r="V207" s="14">
        <f t="shared" si="119"/>
        <v>142925.1207559719</v>
      </c>
      <c r="W207" s="14">
        <f t="shared" si="119"/>
        <v>150956.14650183535</v>
      </c>
      <c r="X207" s="187">
        <f t="shared" si="119"/>
        <v>159037.1592256997</v>
      </c>
      <c r="Y207" s="158">
        <f t="shared" ref="Y207:AH207" si="120">X207+Y200</f>
        <v>167135.58483887889</v>
      </c>
      <c r="Z207" s="158">
        <f t="shared" si="120"/>
        <v>175265.29243135371</v>
      </c>
      <c r="AA207" s="158">
        <f t="shared" si="120"/>
        <v>183413.70421314187</v>
      </c>
      <c r="AB207" s="158">
        <f t="shared" si="120"/>
        <v>191590.90675810314</v>
      </c>
      <c r="AC207" s="158">
        <f t="shared" si="120"/>
        <v>199815.65692323833</v>
      </c>
      <c r="AD207" s="158">
        <f t="shared" si="120"/>
        <v>208082.46136454222</v>
      </c>
      <c r="AE207" s="158">
        <f t="shared" si="120"/>
        <v>216418.86251201108</v>
      </c>
      <c r="AF207" s="158">
        <f t="shared" si="120"/>
        <v>224832.83219068809</v>
      </c>
      <c r="AG207" s="158">
        <f t="shared" si="120"/>
        <v>233310.21296477996</v>
      </c>
      <c r="AH207" s="187">
        <f t="shared" si="120"/>
        <v>241836.87465682303</v>
      </c>
    </row>
    <row r="208" spans="1:34">
      <c r="A208" s="1"/>
      <c r="C208" s="296"/>
      <c r="D208" s="296"/>
      <c r="E208" s="296"/>
      <c r="F208" s="296"/>
      <c r="G208" s="296"/>
      <c r="H208" s="367"/>
      <c r="I208" s="14"/>
      <c r="J208" s="14"/>
      <c r="K208" s="14"/>
      <c r="L208" s="14"/>
      <c r="M208" s="14"/>
      <c r="N208" s="187"/>
      <c r="O208" s="14"/>
      <c r="P208" s="14"/>
      <c r="Q208" s="14"/>
      <c r="R208" s="14"/>
      <c r="S208" s="14"/>
      <c r="T208" s="14"/>
      <c r="U208" s="14"/>
      <c r="V208" s="14"/>
      <c r="W208" s="14"/>
      <c r="X208" s="187"/>
    </row>
    <row r="209" spans="1:34">
      <c r="A209" s="1" t="s">
        <v>412</v>
      </c>
      <c r="C209" s="296"/>
      <c r="D209" s="296"/>
      <c r="E209" s="296"/>
      <c r="F209" s="296"/>
      <c r="G209" s="296"/>
      <c r="H209" s="367"/>
      <c r="I209" s="14"/>
      <c r="J209" s="14"/>
      <c r="K209" s="14"/>
      <c r="L209" s="14"/>
      <c r="M209" s="14"/>
      <c r="N209" s="187"/>
      <c r="O209" s="14"/>
      <c r="P209" s="14"/>
      <c r="Q209" s="14"/>
      <c r="R209" s="14"/>
      <c r="S209" s="14"/>
      <c r="T209" s="14"/>
      <c r="U209" s="14"/>
      <c r="V209" s="14"/>
      <c r="W209" s="14"/>
      <c r="X209" s="187"/>
    </row>
    <row r="210" spans="1:34" s="1" customFormat="1">
      <c r="A210" s="1" t="s">
        <v>409</v>
      </c>
      <c r="B210" s="13"/>
      <c r="C210" s="306">
        <f>SUM(C211:C212)</f>
        <v>0</v>
      </c>
      <c r="D210" s="306">
        <f t="shared" ref="D210:AH210" si="121">SUM(D211:D212)</f>
        <v>0</v>
      </c>
      <c r="E210" s="306">
        <f t="shared" si="121"/>
        <v>0</v>
      </c>
      <c r="F210" s="306">
        <f t="shared" si="121"/>
        <v>0</v>
      </c>
      <c r="G210" s="306">
        <f t="shared" si="121"/>
        <v>0</v>
      </c>
      <c r="H210" s="370">
        <f t="shared" si="121"/>
        <v>0</v>
      </c>
      <c r="I210" s="15">
        <f t="shared" si="121"/>
        <v>0</v>
      </c>
      <c r="J210" s="15">
        <f t="shared" si="121"/>
        <v>0</v>
      </c>
      <c r="K210" s="15">
        <f t="shared" si="121"/>
        <v>0</v>
      </c>
      <c r="L210" s="15">
        <f t="shared" si="121"/>
        <v>0</v>
      </c>
      <c r="M210" s="15">
        <f t="shared" si="121"/>
        <v>0</v>
      </c>
      <c r="N210" s="190">
        <f t="shared" si="121"/>
        <v>0</v>
      </c>
      <c r="O210" s="15">
        <f>SUM(O211:O212)</f>
        <v>0</v>
      </c>
      <c r="P210" s="15">
        <f t="shared" si="121"/>
        <v>0</v>
      </c>
      <c r="Q210" s="15">
        <f t="shared" si="121"/>
        <v>0</v>
      </c>
      <c r="R210" s="15">
        <f t="shared" si="121"/>
        <v>0</v>
      </c>
      <c r="S210" s="15">
        <f t="shared" si="121"/>
        <v>0</v>
      </c>
      <c r="T210" s="15">
        <f t="shared" si="121"/>
        <v>0</v>
      </c>
      <c r="U210" s="15">
        <f t="shared" si="121"/>
        <v>0</v>
      </c>
      <c r="V210" s="15">
        <f t="shared" si="121"/>
        <v>0</v>
      </c>
      <c r="W210" s="15">
        <f t="shared" si="121"/>
        <v>0</v>
      </c>
      <c r="X210" s="190">
        <f t="shared" si="121"/>
        <v>0</v>
      </c>
      <c r="Y210" s="130">
        <f t="shared" si="121"/>
        <v>0</v>
      </c>
      <c r="Z210" s="130">
        <f t="shared" si="121"/>
        <v>0</v>
      </c>
      <c r="AA210" s="130">
        <f t="shared" si="121"/>
        <v>0</v>
      </c>
      <c r="AB210" s="130">
        <f t="shared" si="121"/>
        <v>0</v>
      </c>
      <c r="AC210" s="130">
        <f t="shared" si="121"/>
        <v>0</v>
      </c>
      <c r="AD210" s="130">
        <f t="shared" si="121"/>
        <v>0</v>
      </c>
      <c r="AE210" s="130">
        <f t="shared" si="121"/>
        <v>0</v>
      </c>
      <c r="AF210" s="130">
        <f t="shared" si="121"/>
        <v>0</v>
      </c>
      <c r="AG210" s="130">
        <f t="shared" si="121"/>
        <v>0</v>
      </c>
      <c r="AH210" s="190">
        <f t="shared" si="121"/>
        <v>0</v>
      </c>
    </row>
    <row r="211" spans="1:34">
      <c r="A211" t="s">
        <v>410</v>
      </c>
      <c r="C211" s="296">
        <f>C100</f>
        <v>0</v>
      </c>
      <c r="D211" s="296">
        <f t="shared" ref="D211:AH211" si="122">D100</f>
        <v>0</v>
      </c>
      <c r="E211" s="296">
        <f t="shared" si="122"/>
        <v>0</v>
      </c>
      <c r="F211" s="296">
        <f t="shared" si="122"/>
        <v>0</v>
      </c>
      <c r="G211" s="296">
        <f t="shared" si="122"/>
        <v>0</v>
      </c>
      <c r="H211" s="367">
        <f t="shared" si="122"/>
        <v>0</v>
      </c>
      <c r="I211" s="14">
        <f t="shared" si="122"/>
        <v>0</v>
      </c>
      <c r="J211" s="14">
        <f t="shared" si="122"/>
        <v>0</v>
      </c>
      <c r="K211" s="14">
        <f t="shared" si="122"/>
        <v>0</v>
      </c>
      <c r="L211" s="14">
        <f t="shared" si="122"/>
        <v>0</v>
      </c>
      <c r="M211" s="14">
        <f t="shared" si="122"/>
        <v>0</v>
      </c>
      <c r="N211" s="187">
        <f t="shared" si="122"/>
        <v>0</v>
      </c>
      <c r="O211" s="14">
        <f>O100</f>
        <v>0</v>
      </c>
      <c r="P211" s="14">
        <f t="shared" si="122"/>
        <v>0</v>
      </c>
      <c r="Q211" s="14">
        <f t="shared" si="122"/>
        <v>0</v>
      </c>
      <c r="R211" s="14">
        <f t="shared" si="122"/>
        <v>0</v>
      </c>
      <c r="S211" s="14">
        <f t="shared" si="122"/>
        <v>0</v>
      </c>
      <c r="T211" s="14">
        <f t="shared" si="122"/>
        <v>0</v>
      </c>
      <c r="U211" s="14">
        <f t="shared" si="122"/>
        <v>0</v>
      </c>
      <c r="V211" s="14">
        <f t="shared" si="122"/>
        <v>0</v>
      </c>
      <c r="W211" s="14">
        <f t="shared" si="122"/>
        <v>0</v>
      </c>
      <c r="X211" s="187">
        <f t="shared" si="122"/>
        <v>0</v>
      </c>
      <c r="Y211" s="158">
        <f t="shared" si="122"/>
        <v>0</v>
      </c>
      <c r="Z211" s="158">
        <f t="shared" si="122"/>
        <v>0</v>
      </c>
      <c r="AA211" s="158">
        <f t="shared" si="122"/>
        <v>0</v>
      </c>
      <c r="AB211" s="158">
        <f t="shared" si="122"/>
        <v>0</v>
      </c>
      <c r="AC211" s="158">
        <f t="shared" si="122"/>
        <v>0</v>
      </c>
      <c r="AD211" s="158">
        <f t="shared" si="122"/>
        <v>0</v>
      </c>
      <c r="AE211" s="158">
        <f t="shared" si="122"/>
        <v>0</v>
      </c>
      <c r="AF211" s="158">
        <f t="shared" si="122"/>
        <v>0</v>
      </c>
      <c r="AG211" s="158">
        <f t="shared" si="122"/>
        <v>0</v>
      </c>
      <c r="AH211" s="187">
        <f t="shared" si="122"/>
        <v>0</v>
      </c>
    </row>
    <row r="212" spans="1:34">
      <c r="A212" t="s">
        <v>411</v>
      </c>
      <c r="C212" s="296">
        <f>C127</f>
        <v>0</v>
      </c>
      <c r="D212" s="296">
        <f t="shared" ref="D212:AH212" si="123">D127</f>
        <v>0</v>
      </c>
      <c r="E212" s="296">
        <f t="shared" si="123"/>
        <v>0</v>
      </c>
      <c r="F212" s="296">
        <f t="shared" si="123"/>
        <v>0</v>
      </c>
      <c r="G212" s="296">
        <f t="shared" si="123"/>
        <v>0</v>
      </c>
      <c r="H212" s="367">
        <f t="shared" si="123"/>
        <v>0</v>
      </c>
      <c r="I212" s="14">
        <f t="shared" si="123"/>
        <v>0</v>
      </c>
      <c r="J212" s="14">
        <f t="shared" si="123"/>
        <v>0</v>
      </c>
      <c r="K212" s="14">
        <f t="shared" si="123"/>
        <v>0</v>
      </c>
      <c r="L212" s="14">
        <f t="shared" si="123"/>
        <v>0</v>
      </c>
      <c r="M212" s="14">
        <f t="shared" si="123"/>
        <v>0</v>
      </c>
      <c r="N212" s="187">
        <f t="shared" si="123"/>
        <v>0</v>
      </c>
      <c r="O212" s="14">
        <f>O127</f>
        <v>0</v>
      </c>
      <c r="P212" s="14">
        <f t="shared" si="123"/>
        <v>0</v>
      </c>
      <c r="Q212" s="14">
        <f t="shared" si="123"/>
        <v>0</v>
      </c>
      <c r="R212" s="14">
        <f t="shared" si="123"/>
        <v>0</v>
      </c>
      <c r="S212" s="14">
        <f t="shared" si="123"/>
        <v>0</v>
      </c>
      <c r="T212" s="14">
        <f t="shared" si="123"/>
        <v>0</v>
      </c>
      <c r="U212" s="14">
        <f t="shared" si="123"/>
        <v>0</v>
      </c>
      <c r="V212" s="14">
        <f t="shared" si="123"/>
        <v>0</v>
      </c>
      <c r="W212" s="14">
        <f t="shared" si="123"/>
        <v>0</v>
      </c>
      <c r="X212" s="187">
        <f t="shared" si="123"/>
        <v>0</v>
      </c>
      <c r="Y212" s="158">
        <f t="shared" si="123"/>
        <v>0</v>
      </c>
      <c r="Z212" s="158">
        <f t="shared" si="123"/>
        <v>0</v>
      </c>
      <c r="AA212" s="158">
        <f t="shared" si="123"/>
        <v>0</v>
      </c>
      <c r="AB212" s="158">
        <f t="shared" si="123"/>
        <v>0</v>
      </c>
      <c r="AC212" s="158">
        <f t="shared" si="123"/>
        <v>0</v>
      </c>
      <c r="AD212" s="158">
        <f t="shared" si="123"/>
        <v>0</v>
      </c>
      <c r="AE212" s="158">
        <f t="shared" si="123"/>
        <v>0</v>
      </c>
      <c r="AF212" s="158">
        <f t="shared" si="123"/>
        <v>0</v>
      </c>
      <c r="AG212" s="158">
        <f t="shared" si="123"/>
        <v>0</v>
      </c>
      <c r="AH212" s="187">
        <f t="shared" si="123"/>
        <v>0</v>
      </c>
    </row>
    <row r="213" spans="1:34" s="1" customFormat="1">
      <c r="A213" s="1" t="s">
        <v>397</v>
      </c>
      <c r="B213" s="13"/>
      <c r="C213" s="306">
        <f>SUM(C214:C215)</f>
        <v>619.76585999999998</v>
      </c>
      <c r="D213" s="306">
        <f t="shared" ref="D213:AH213" si="124">SUM(D214:D215)</f>
        <v>790.83662940584566</v>
      </c>
      <c r="E213" s="306">
        <f t="shared" si="124"/>
        <v>890.30567726697984</v>
      </c>
      <c r="F213" s="306">
        <f t="shared" si="124"/>
        <v>1017.4905438160905</v>
      </c>
      <c r="G213" s="306">
        <f t="shared" si="124"/>
        <v>1237.5381140867185</v>
      </c>
      <c r="H213" s="370">
        <f t="shared" si="124"/>
        <v>740.09991834394555</v>
      </c>
      <c r="I213" s="15">
        <f t="shared" si="124"/>
        <v>892.17175297053996</v>
      </c>
      <c r="J213" s="15">
        <f t="shared" si="124"/>
        <v>1088.8310508561513</v>
      </c>
      <c r="K213" s="15">
        <f t="shared" si="124"/>
        <v>1339.4105280919371</v>
      </c>
      <c r="L213" s="15">
        <f t="shared" si="124"/>
        <v>1630.544419827469</v>
      </c>
      <c r="M213" s="15">
        <f t="shared" si="124"/>
        <v>1975.0692151599048</v>
      </c>
      <c r="N213" s="190">
        <f t="shared" si="124"/>
        <v>2385.4512698880671</v>
      </c>
      <c r="O213" s="15">
        <f t="shared" si="124"/>
        <v>2489.8678697640357</v>
      </c>
      <c r="P213" s="15">
        <f t="shared" si="124"/>
        <v>2598.788184534932</v>
      </c>
      <c r="Q213" s="15">
        <f t="shared" si="124"/>
        <v>2725.2641274802518</v>
      </c>
      <c r="R213" s="15">
        <f t="shared" si="124"/>
        <v>2851.8957820967926</v>
      </c>
      <c r="S213" s="15">
        <f t="shared" si="124"/>
        <v>2987.7043382965012</v>
      </c>
      <c r="T213" s="15">
        <f t="shared" si="124"/>
        <v>3105.9351975980303</v>
      </c>
      <c r="U213" s="15">
        <f t="shared" si="124"/>
        <v>3227.5603904213867</v>
      </c>
      <c r="V213" s="15">
        <f t="shared" si="124"/>
        <v>3356.4169220757367</v>
      </c>
      <c r="W213" s="15">
        <f t="shared" si="124"/>
        <v>3499.751794245276</v>
      </c>
      <c r="X213" s="190">
        <f t="shared" si="124"/>
        <v>3638.8468543217505</v>
      </c>
      <c r="Y213" s="130">
        <f t="shared" si="124"/>
        <v>3779.2167773847577</v>
      </c>
      <c r="Z213" s="130">
        <f t="shared" si="124"/>
        <v>3929.3720343931959</v>
      </c>
      <c r="AA213" s="130">
        <f t="shared" si="124"/>
        <v>4081.3397142035819</v>
      </c>
      <c r="AB213" s="130">
        <f t="shared" si="124"/>
        <v>4242.8485697095384</v>
      </c>
      <c r="AC213" s="130">
        <f t="shared" si="124"/>
        <v>4417.295138706193</v>
      </c>
      <c r="AD213" s="130">
        <f t="shared" si="124"/>
        <v>4598.1688594716288</v>
      </c>
      <c r="AE213" s="130">
        <f t="shared" si="124"/>
        <v>4795.2718663026972</v>
      </c>
      <c r="AF213" s="130">
        <f t="shared" si="124"/>
        <v>5005.305027315293</v>
      </c>
      <c r="AG213" s="130">
        <f t="shared" si="124"/>
        <v>5218.4193353907685</v>
      </c>
      <c r="AH213" s="190">
        <f t="shared" si="124"/>
        <v>5434.2093643553935</v>
      </c>
    </row>
    <row r="214" spans="1:34">
      <c r="A214" t="s">
        <v>398</v>
      </c>
      <c r="C214" s="296">
        <f>C115</f>
        <v>326.1927</v>
      </c>
      <c r="D214" s="296">
        <f t="shared" ref="D214:AH214" si="125">D115</f>
        <v>416.22997740286593</v>
      </c>
      <c r="E214" s="296">
        <f t="shared" si="125"/>
        <v>468.58211870456341</v>
      </c>
      <c r="F214" s="296">
        <f t="shared" si="125"/>
        <v>535.52153837581955</v>
      </c>
      <c r="G214" s="296">
        <f t="shared" si="125"/>
        <v>651.33608155565639</v>
      </c>
      <c r="H214" s="367">
        <f t="shared" si="125"/>
        <v>389.52641491786608</v>
      </c>
      <c r="I214" s="14">
        <f t="shared" si="125"/>
        <v>469.56424347906102</v>
      </c>
      <c r="J214" s="14">
        <f t="shared" si="125"/>
        <v>573.06916334098776</v>
      </c>
      <c r="K214" s="14">
        <f t="shared" si="125"/>
        <v>704.95313093036759</v>
      </c>
      <c r="L214" s="14">
        <f t="shared" si="125"/>
        <v>858.18152998523408</v>
      </c>
      <c r="M214" s="14">
        <f t="shared" si="125"/>
        <v>1039.5104086565111</v>
      </c>
      <c r="N214" s="182">
        <f t="shared" si="125"/>
        <v>1255.5010077410625</v>
      </c>
      <c r="O214" s="14">
        <f t="shared" si="125"/>
        <v>1310.4571277943242</v>
      </c>
      <c r="P214" s="14">
        <f t="shared" si="125"/>
        <v>1367.783624748819</v>
      </c>
      <c r="Q214" s="14">
        <f t="shared" si="125"/>
        <v>1434.3499285032867</v>
      </c>
      <c r="R214" s="14">
        <f t="shared" si="125"/>
        <v>1500.9981857910766</v>
      </c>
      <c r="S214" s="14">
        <f t="shared" si="125"/>
        <v>1572.4763925861346</v>
      </c>
      <c r="T214" s="14">
        <f t="shared" si="125"/>
        <v>1634.7031774603133</v>
      </c>
      <c r="U214" s="14">
        <f t="shared" si="125"/>
        <v>1698.7164541446828</v>
      </c>
      <c r="V214" s="14">
        <f t="shared" si="125"/>
        <v>1766.5356996636431</v>
      </c>
      <c r="W214" s="14">
        <f t="shared" si="125"/>
        <v>1841.9751264609622</v>
      </c>
      <c r="X214" s="187">
        <f t="shared" si="125"/>
        <v>1915.1830726061007</v>
      </c>
      <c r="Y214" s="158">
        <f t="shared" si="125"/>
        <v>1989.0619994518415</v>
      </c>
      <c r="Z214" s="158">
        <f t="shared" si="125"/>
        <v>2068.0911034504988</v>
      </c>
      <c r="AA214" s="158">
        <f t="shared" si="125"/>
        <v>2148.0741144448771</v>
      </c>
      <c r="AB214" s="158">
        <f t="shared" si="125"/>
        <v>2233.0787982154025</v>
      </c>
      <c r="AC214" s="158">
        <f t="shared" si="125"/>
        <v>2324.8928067164225</v>
      </c>
      <c r="AD214" s="158">
        <f t="shared" si="125"/>
        <v>2420.0895275890875</v>
      </c>
      <c r="AE214" s="158">
        <f t="shared" si="125"/>
        <v>2523.827980278927</v>
      </c>
      <c r="AF214" s="158">
        <f t="shared" si="125"/>
        <v>2634.3717791144104</v>
      </c>
      <c r="AG214" s="158">
        <f t="shared" si="125"/>
        <v>2746.5372347371331</v>
      </c>
      <c r="AH214" s="187">
        <f t="shared" si="125"/>
        <v>2860.1109648927163</v>
      </c>
    </row>
    <row r="215" spans="1:34">
      <c r="A215" t="s">
        <v>399</v>
      </c>
      <c r="C215" s="296">
        <f>C142</f>
        <v>293.57315999999997</v>
      </c>
      <c r="D215" s="296">
        <f t="shared" ref="D215:AH215" si="126">D142</f>
        <v>374.60665200297973</v>
      </c>
      <c r="E215" s="296">
        <f t="shared" si="126"/>
        <v>421.72355856241643</v>
      </c>
      <c r="F215" s="296">
        <f t="shared" si="126"/>
        <v>481.96900544027096</v>
      </c>
      <c r="G215" s="296">
        <f t="shared" si="126"/>
        <v>586.20203253106195</v>
      </c>
      <c r="H215" s="367">
        <f t="shared" si="126"/>
        <v>350.57350342607941</v>
      </c>
      <c r="I215" s="14">
        <f t="shared" si="126"/>
        <v>422.60750949147899</v>
      </c>
      <c r="J215" s="14">
        <f t="shared" si="126"/>
        <v>515.76188751516338</v>
      </c>
      <c r="K215" s="14">
        <f t="shared" si="126"/>
        <v>634.45739716156947</v>
      </c>
      <c r="L215" s="14">
        <f t="shared" si="126"/>
        <v>772.36288984223484</v>
      </c>
      <c r="M215" s="14">
        <f t="shared" si="126"/>
        <v>935.55880650339373</v>
      </c>
      <c r="N215" s="182">
        <f t="shared" si="126"/>
        <v>1129.9502621470047</v>
      </c>
      <c r="O215" s="14">
        <f t="shared" si="126"/>
        <v>1179.4107419697116</v>
      </c>
      <c r="P215" s="14">
        <f t="shared" si="126"/>
        <v>1231.0045597861133</v>
      </c>
      <c r="Q215" s="14">
        <f t="shared" si="126"/>
        <v>1290.9141989769653</v>
      </c>
      <c r="R215" s="14">
        <f t="shared" si="126"/>
        <v>1350.8975963057158</v>
      </c>
      <c r="S215" s="14">
        <f t="shared" si="126"/>
        <v>1415.2279457103668</v>
      </c>
      <c r="T215" s="14">
        <f t="shared" si="126"/>
        <v>1471.232020137717</v>
      </c>
      <c r="U215" s="14">
        <f t="shared" si="126"/>
        <v>1528.8439362767037</v>
      </c>
      <c r="V215" s="14">
        <f t="shared" si="126"/>
        <v>1589.8812224120934</v>
      </c>
      <c r="W215" s="14">
        <f t="shared" si="126"/>
        <v>1657.7766677843138</v>
      </c>
      <c r="X215" s="187">
        <f t="shared" si="126"/>
        <v>1723.6637817156495</v>
      </c>
      <c r="Y215" s="158">
        <f t="shared" si="126"/>
        <v>1790.154777932916</v>
      </c>
      <c r="Z215" s="158">
        <f t="shared" si="126"/>
        <v>1861.2809309426971</v>
      </c>
      <c r="AA215" s="158">
        <f t="shared" si="126"/>
        <v>1933.2655997587051</v>
      </c>
      <c r="AB215" s="158">
        <f t="shared" si="126"/>
        <v>2009.7697714941357</v>
      </c>
      <c r="AC215" s="158">
        <f t="shared" si="126"/>
        <v>2092.4023319897706</v>
      </c>
      <c r="AD215" s="158">
        <f t="shared" si="126"/>
        <v>2178.0793318825408</v>
      </c>
      <c r="AE215" s="158">
        <f t="shared" si="126"/>
        <v>2271.4438860237706</v>
      </c>
      <c r="AF215" s="158">
        <f t="shared" si="126"/>
        <v>2370.9332482008826</v>
      </c>
      <c r="AG215" s="158">
        <f t="shared" si="126"/>
        <v>2471.8821006536355</v>
      </c>
      <c r="AH215" s="187">
        <f t="shared" si="126"/>
        <v>2574.0983994626772</v>
      </c>
    </row>
    <row r="216" spans="1:34">
      <c r="A216" t="s">
        <v>400</v>
      </c>
      <c r="C216" s="296">
        <f>SUM(C217:C218)</f>
        <v>5230.2221500000005</v>
      </c>
      <c r="D216" s="296">
        <f t="shared" ref="D216:AH216" si="127">SUM(D217:D218)</f>
        <v>5610.0421907508953</v>
      </c>
      <c r="E216" s="296">
        <f t="shared" si="127"/>
        <v>5270.0785995462065</v>
      </c>
      <c r="F216" s="296">
        <f t="shared" si="127"/>
        <v>5069.6200260358946</v>
      </c>
      <c r="G216" s="296">
        <f t="shared" si="127"/>
        <v>5209.8886277792335</v>
      </c>
      <c r="H216" s="367">
        <f t="shared" si="127"/>
        <v>5289.4529708545488</v>
      </c>
      <c r="I216" s="14">
        <f t="shared" si="127"/>
        <v>5360.0052872688975</v>
      </c>
      <c r="J216" s="14">
        <f t="shared" si="127"/>
        <v>5498.3201901693392</v>
      </c>
      <c r="K216" s="14">
        <f t="shared" si="127"/>
        <v>5684.5029918672653</v>
      </c>
      <c r="L216" s="14">
        <f t="shared" si="127"/>
        <v>5815.3853825108145</v>
      </c>
      <c r="M216" s="14">
        <f t="shared" si="127"/>
        <v>5919.0777739221448</v>
      </c>
      <c r="N216" s="190">
        <f t="shared" si="127"/>
        <v>6006.5882904492782</v>
      </c>
      <c r="O216" s="14">
        <f t="shared" si="127"/>
        <v>6015.9550639047111</v>
      </c>
      <c r="P216" s="14">
        <f t="shared" si="127"/>
        <v>6024.8274829865977</v>
      </c>
      <c r="Q216" s="14">
        <f t="shared" si="127"/>
        <v>6061.8036945834137</v>
      </c>
      <c r="R216" s="14">
        <f t="shared" si="127"/>
        <v>6085.8344943471129</v>
      </c>
      <c r="S216" s="15">
        <f t="shared" si="127"/>
        <v>6116.325499323475</v>
      </c>
      <c r="T216" s="14">
        <f t="shared" si="127"/>
        <v>6099.3659441804257</v>
      </c>
      <c r="U216" s="14">
        <f t="shared" si="127"/>
        <v>6079.6476978427754</v>
      </c>
      <c r="V216" s="14">
        <f t="shared" si="127"/>
        <v>6064.0620690794385</v>
      </c>
      <c r="W216" s="14">
        <f t="shared" si="127"/>
        <v>6064.2931488808717</v>
      </c>
      <c r="X216" s="187">
        <f t="shared" si="127"/>
        <v>6046.9025006847214</v>
      </c>
      <c r="Y216" s="158">
        <f t="shared" si="127"/>
        <v>6035.6269614271669</v>
      </c>
      <c r="Z216" s="158">
        <f t="shared" si="127"/>
        <v>6030.9813466624501</v>
      </c>
      <c r="AA216" s="158">
        <f t="shared" si="127"/>
        <v>6020.1127195379058</v>
      </c>
      <c r="AB216" s="158">
        <f t="shared" si="127"/>
        <v>6014.35676049831</v>
      </c>
      <c r="AC216" s="158">
        <f t="shared" si="127"/>
        <v>6017.4227327039916</v>
      </c>
      <c r="AD216" s="158">
        <f t="shared" si="127"/>
        <v>6019.412217007557</v>
      </c>
      <c r="AE216" s="158">
        <f t="shared" si="127"/>
        <v>6032.3984634591379</v>
      </c>
      <c r="AF216" s="158">
        <f t="shared" si="127"/>
        <v>6050.7253785379216</v>
      </c>
      <c r="AG216" s="158">
        <f t="shared" si="127"/>
        <v>6061.8949034145844</v>
      </c>
      <c r="AH216" s="187">
        <f t="shared" si="127"/>
        <v>6065.8363994485753</v>
      </c>
    </row>
    <row r="217" spans="1:34">
      <c r="A217" t="s">
        <v>401</v>
      </c>
      <c r="C217" s="296">
        <f>C114</f>
        <v>2752.7485000000001</v>
      </c>
      <c r="D217" s="296">
        <f t="shared" ref="D217:AH217" si="128">D114</f>
        <v>2952.6537846057345</v>
      </c>
      <c r="E217" s="296">
        <f t="shared" si="128"/>
        <v>2773.7255787085296</v>
      </c>
      <c r="F217" s="296">
        <f t="shared" si="128"/>
        <v>2668.2210663346814</v>
      </c>
      <c r="G217" s="296">
        <f t="shared" si="128"/>
        <v>2742.0466461995966</v>
      </c>
      <c r="H217" s="367">
        <f t="shared" si="128"/>
        <v>2783.922616239236</v>
      </c>
      <c r="I217" s="14">
        <f t="shared" si="128"/>
        <v>2821.0554143520517</v>
      </c>
      <c r="J217" s="14">
        <f t="shared" si="128"/>
        <v>2893.8527316680734</v>
      </c>
      <c r="K217" s="14">
        <f t="shared" si="128"/>
        <v>2991.8436799301398</v>
      </c>
      <c r="L217" s="14">
        <f t="shared" si="128"/>
        <v>3060.7291486899026</v>
      </c>
      <c r="M217" s="14">
        <f t="shared" si="128"/>
        <v>3115.3040915379706</v>
      </c>
      <c r="N217" s="187">
        <f t="shared" si="128"/>
        <v>3161.3622581311993</v>
      </c>
      <c r="O217" s="14">
        <f t="shared" si="128"/>
        <v>3166.2921388972163</v>
      </c>
      <c r="P217" s="14">
        <f t="shared" si="128"/>
        <v>3170.9618331508409</v>
      </c>
      <c r="Q217" s="14">
        <f t="shared" si="128"/>
        <v>3190.422997149165</v>
      </c>
      <c r="R217" s="14">
        <f t="shared" si="128"/>
        <v>3203.0707864984806</v>
      </c>
      <c r="S217" s="14">
        <f t="shared" si="128"/>
        <v>3219.1186838544609</v>
      </c>
      <c r="T217" s="14">
        <f t="shared" si="128"/>
        <v>3210.192602200224</v>
      </c>
      <c r="U217" s="14">
        <f t="shared" si="128"/>
        <v>3199.814577811987</v>
      </c>
      <c r="V217" s="14">
        <f t="shared" si="128"/>
        <v>3191.6116153049675</v>
      </c>
      <c r="W217" s="14">
        <f t="shared" si="128"/>
        <v>3191.7332362530906</v>
      </c>
      <c r="X217" s="187">
        <f t="shared" si="128"/>
        <v>3182.5802635182745</v>
      </c>
      <c r="Y217" s="158">
        <f t="shared" si="128"/>
        <v>3176.645769172193</v>
      </c>
      <c r="Z217" s="158">
        <f t="shared" si="128"/>
        <v>3174.2007087697107</v>
      </c>
      <c r="AA217" s="158">
        <f t="shared" si="128"/>
        <v>3168.480378704161</v>
      </c>
      <c r="AB217" s="158">
        <f t="shared" si="128"/>
        <v>3165.450926578058</v>
      </c>
      <c r="AC217" s="158">
        <f t="shared" si="128"/>
        <v>3167.0645961599957</v>
      </c>
      <c r="AD217" s="158">
        <f t="shared" si="128"/>
        <v>3168.1116931618722</v>
      </c>
      <c r="AE217" s="158">
        <f t="shared" si="128"/>
        <v>3174.9465597153358</v>
      </c>
      <c r="AF217" s="158">
        <f t="shared" si="128"/>
        <v>3184.592304493643</v>
      </c>
      <c r="AG217" s="158">
        <f t="shared" si="128"/>
        <v>3190.4710017971497</v>
      </c>
      <c r="AH217" s="187">
        <f t="shared" si="128"/>
        <v>3192.5454733939869</v>
      </c>
    </row>
    <row r="218" spans="1:34">
      <c r="A218" t="s">
        <v>402</v>
      </c>
      <c r="C218" s="296">
        <f>C141</f>
        <v>2477.4736500000004</v>
      </c>
      <c r="D218" s="296">
        <f t="shared" ref="D218:AH218" si="129">D141</f>
        <v>2657.3884061451613</v>
      </c>
      <c r="E218" s="296">
        <f t="shared" si="129"/>
        <v>2496.3530208376769</v>
      </c>
      <c r="F218" s="296">
        <f t="shared" si="129"/>
        <v>2401.3989597012132</v>
      </c>
      <c r="G218" s="296">
        <f t="shared" si="129"/>
        <v>2467.8419815796369</v>
      </c>
      <c r="H218" s="367">
        <f t="shared" si="129"/>
        <v>2505.5303546153127</v>
      </c>
      <c r="I218" s="14">
        <f t="shared" si="129"/>
        <v>2538.9498729168463</v>
      </c>
      <c r="J218" s="14">
        <f t="shared" si="129"/>
        <v>2604.4674585012663</v>
      </c>
      <c r="K218" s="14">
        <f t="shared" si="129"/>
        <v>2692.6593119371255</v>
      </c>
      <c r="L218" s="14">
        <f t="shared" si="129"/>
        <v>2754.6562338209123</v>
      </c>
      <c r="M218" s="14">
        <f t="shared" si="129"/>
        <v>2803.7736823841738</v>
      </c>
      <c r="N218" s="187">
        <f t="shared" si="129"/>
        <v>2845.226032318079</v>
      </c>
      <c r="O218" s="14">
        <f t="shared" si="129"/>
        <v>2849.6629250074948</v>
      </c>
      <c r="P218" s="14">
        <f t="shared" si="129"/>
        <v>2853.8656498357568</v>
      </c>
      <c r="Q218" s="14">
        <f t="shared" si="129"/>
        <v>2871.3806974342488</v>
      </c>
      <c r="R218" s="14">
        <f t="shared" si="129"/>
        <v>2882.7637078486327</v>
      </c>
      <c r="S218" s="14">
        <f t="shared" si="129"/>
        <v>2897.2068154690146</v>
      </c>
      <c r="T218" s="14">
        <f t="shared" si="129"/>
        <v>2889.1733419802017</v>
      </c>
      <c r="U218" s="14">
        <f t="shared" si="129"/>
        <v>2879.8331200307885</v>
      </c>
      <c r="V218" s="14">
        <f t="shared" si="129"/>
        <v>2872.4504537744706</v>
      </c>
      <c r="W218" s="14">
        <f t="shared" si="129"/>
        <v>2872.5599126277816</v>
      </c>
      <c r="X218" s="187">
        <f t="shared" si="129"/>
        <v>2864.3222371664469</v>
      </c>
      <c r="Y218" s="158">
        <f t="shared" si="129"/>
        <v>2858.9811922549738</v>
      </c>
      <c r="Z218" s="158">
        <f t="shared" si="129"/>
        <v>2856.7806378927394</v>
      </c>
      <c r="AA218" s="158">
        <f t="shared" si="129"/>
        <v>2851.6323408337448</v>
      </c>
      <c r="AB218" s="158">
        <f t="shared" si="129"/>
        <v>2848.905833920252</v>
      </c>
      <c r="AC218" s="158">
        <f t="shared" si="129"/>
        <v>2850.3581365439964</v>
      </c>
      <c r="AD218" s="158">
        <f t="shared" si="129"/>
        <v>2851.3005238456849</v>
      </c>
      <c r="AE218" s="158">
        <f t="shared" si="129"/>
        <v>2857.4519037438022</v>
      </c>
      <c r="AF218" s="158">
        <f t="shared" si="129"/>
        <v>2866.1330740442791</v>
      </c>
      <c r="AG218" s="158">
        <f t="shared" si="129"/>
        <v>2871.4239016174351</v>
      </c>
      <c r="AH218" s="187">
        <f t="shared" si="129"/>
        <v>2873.2909260545885</v>
      </c>
    </row>
    <row r="219" spans="1:34" s="1" customFormat="1">
      <c r="A219" s="1" t="s">
        <v>394</v>
      </c>
      <c r="B219" s="13"/>
      <c r="C219" s="306">
        <f>SUM(C220:C221)</f>
        <v>7590.4619999999995</v>
      </c>
      <c r="D219" s="306">
        <f t="shared" ref="D219:AH219" si="130">SUM(D220:D221)</f>
        <v>7976.3062200104705</v>
      </c>
      <c r="E219" s="306">
        <f t="shared" si="130"/>
        <v>7306.0863975681314</v>
      </c>
      <c r="F219" s="306">
        <f t="shared" si="130"/>
        <v>6854.2385412953954</v>
      </c>
      <c r="G219" s="306">
        <f t="shared" si="130"/>
        <v>6857.8268001501547</v>
      </c>
      <c r="H219" s="370">
        <f t="shared" si="130"/>
        <v>7146.0360418466298</v>
      </c>
      <c r="I219" s="15">
        <f t="shared" si="130"/>
        <v>7069.1414523820004</v>
      </c>
      <c r="J219" s="15">
        <f t="shared" si="130"/>
        <v>7062.0978173852982</v>
      </c>
      <c r="K219" s="15">
        <f t="shared" si="130"/>
        <v>7092.1462426055477</v>
      </c>
      <c r="L219" s="15">
        <f t="shared" si="130"/>
        <v>7017.3871985795322</v>
      </c>
      <c r="M219" s="15">
        <f t="shared" si="130"/>
        <v>6875.2947280183325</v>
      </c>
      <c r="N219" s="190">
        <f t="shared" si="130"/>
        <v>6675.3028363753838</v>
      </c>
      <c r="O219" s="15">
        <f t="shared" si="130"/>
        <v>6728.9405779733788</v>
      </c>
      <c r="P219" s="15">
        <f t="shared" si="130"/>
        <v>6781.3429251434573</v>
      </c>
      <c r="Q219" s="15">
        <f t="shared" si="130"/>
        <v>6864.8320051005621</v>
      </c>
      <c r="R219" s="15">
        <f t="shared" si="130"/>
        <v>6933.0454301551126</v>
      </c>
      <c r="S219" s="15">
        <f t="shared" si="130"/>
        <v>7007.9018137219609</v>
      </c>
      <c r="T219" s="15">
        <f t="shared" si="130"/>
        <v>7027.435065272035</v>
      </c>
      <c r="U219" s="15">
        <f t="shared" si="130"/>
        <v>7042.2737438179211</v>
      </c>
      <c r="V219" s="15">
        <f t="shared" si="130"/>
        <v>7060.3311717658689</v>
      </c>
      <c r="W219" s="15">
        <f t="shared" si="130"/>
        <v>7095.3111460122891</v>
      </c>
      <c r="X219" s="190">
        <f t="shared" si="130"/>
        <v>7108.0238194846315</v>
      </c>
      <c r="Y219" s="130">
        <f t="shared" si="130"/>
        <v>7072.4436700567203</v>
      </c>
      <c r="Z219" s="130">
        <f t="shared" si="130"/>
        <v>7041.9737215539608</v>
      </c>
      <c r="AA219" s="130">
        <f t="shared" si="130"/>
        <v>7001.4539678651754</v>
      </c>
      <c r="AB219" s="130">
        <f t="shared" si="130"/>
        <v>6963.9854573169287</v>
      </c>
      <c r="AC219" s="130">
        <f t="shared" si="130"/>
        <v>6933.6429418129374</v>
      </c>
      <c r="AD219" s="130">
        <f t="shared" si="130"/>
        <v>6898.7730588862487</v>
      </c>
      <c r="AE219" s="130">
        <f t="shared" si="130"/>
        <v>6873.0111316684161</v>
      </c>
      <c r="AF219" s="130">
        <f t="shared" si="130"/>
        <v>6849.5524795531128</v>
      </c>
      <c r="AG219" s="130">
        <f t="shared" si="130"/>
        <v>6814.0123464943435</v>
      </c>
      <c r="AH219" s="190">
        <f t="shared" si="130"/>
        <v>6766.2925702444736</v>
      </c>
    </row>
    <row r="220" spans="1:34">
      <c r="A220" t="s">
        <v>403</v>
      </c>
      <c r="C220" s="296">
        <f>SUM(C116:C117)</f>
        <v>3994.9799999999996</v>
      </c>
      <c r="D220" s="296">
        <f t="shared" ref="D220:AH220" si="131">SUM(D116:D117)</f>
        <v>4198.0559052686685</v>
      </c>
      <c r="E220" s="296">
        <f t="shared" si="131"/>
        <v>3845.3086302990164</v>
      </c>
      <c r="F220" s="296">
        <f t="shared" si="131"/>
        <v>3607.4939691028394</v>
      </c>
      <c r="G220" s="296">
        <f t="shared" si="131"/>
        <v>3609.3825263948183</v>
      </c>
      <c r="H220" s="367">
        <f t="shared" si="131"/>
        <v>3761.0716009719108</v>
      </c>
      <c r="I220" s="14">
        <f t="shared" si="131"/>
        <v>3720.6007644115789</v>
      </c>
      <c r="J220" s="14">
        <f t="shared" si="131"/>
        <v>3716.8935880975255</v>
      </c>
      <c r="K220" s="14">
        <f t="shared" si="131"/>
        <v>3732.7085487397617</v>
      </c>
      <c r="L220" s="14">
        <f t="shared" si="131"/>
        <v>3693.3616834629115</v>
      </c>
      <c r="M220" s="14">
        <f t="shared" si="131"/>
        <v>3618.5761726412275</v>
      </c>
      <c r="N220" s="187">
        <f t="shared" si="131"/>
        <v>3513.3172823028331</v>
      </c>
      <c r="O220" s="14">
        <f t="shared" si="131"/>
        <v>3541.547672617568</v>
      </c>
      <c r="P220" s="14">
        <f t="shared" si="131"/>
        <v>3569.1278553386619</v>
      </c>
      <c r="Q220" s="14">
        <f t="shared" si="131"/>
        <v>3613.069476368717</v>
      </c>
      <c r="R220" s="14">
        <f t="shared" si="131"/>
        <v>3648.9712790290068</v>
      </c>
      <c r="S220" s="14">
        <f t="shared" si="131"/>
        <v>3688.3693756431371</v>
      </c>
      <c r="T220" s="14">
        <f t="shared" si="131"/>
        <v>3698.6500343537027</v>
      </c>
      <c r="U220" s="14">
        <f t="shared" si="131"/>
        <v>3706.4598651673268</v>
      </c>
      <c r="V220" s="14">
        <f t="shared" si="131"/>
        <v>3715.963774613615</v>
      </c>
      <c r="W220" s="14">
        <f t="shared" si="131"/>
        <v>3734.3742873748893</v>
      </c>
      <c r="X220" s="187">
        <f t="shared" si="131"/>
        <v>3741.0651681498061</v>
      </c>
      <c r="Y220" s="158">
        <f t="shared" si="131"/>
        <v>3722.3387737140633</v>
      </c>
      <c r="Z220" s="158">
        <f t="shared" si="131"/>
        <v>3706.3019587126109</v>
      </c>
      <c r="AA220" s="158">
        <f t="shared" si="131"/>
        <v>3684.9757725606187</v>
      </c>
      <c r="AB220" s="158">
        <f t="shared" si="131"/>
        <v>3665.255503851015</v>
      </c>
      <c r="AC220" s="158">
        <f t="shared" si="131"/>
        <v>3649.2857588489142</v>
      </c>
      <c r="AD220" s="158">
        <f t="shared" si="131"/>
        <v>3630.933188887499</v>
      </c>
      <c r="AE220" s="158">
        <f t="shared" si="131"/>
        <v>3617.3742798254821</v>
      </c>
      <c r="AF220" s="158">
        <f t="shared" si="131"/>
        <v>3605.0276208174278</v>
      </c>
      <c r="AG220" s="158">
        <f t="shared" si="131"/>
        <v>3586.3222876286018</v>
      </c>
      <c r="AH220" s="187">
        <f t="shared" si="131"/>
        <v>3561.2066159181441</v>
      </c>
    </row>
    <row r="221" spans="1:34">
      <c r="A221" t="s">
        <v>404</v>
      </c>
      <c r="C221" s="296">
        <f>SUM(C143:C144)</f>
        <v>3595.482</v>
      </c>
      <c r="D221" s="296">
        <f t="shared" ref="D221:AH221" si="132">SUM(D143:D144)</f>
        <v>3778.250314741802</v>
      </c>
      <c r="E221" s="296">
        <f t="shared" si="132"/>
        <v>3460.777767269115</v>
      </c>
      <c r="F221" s="296">
        <f t="shared" si="132"/>
        <v>3246.7445721925556</v>
      </c>
      <c r="G221" s="296">
        <f t="shared" si="132"/>
        <v>3248.4442737553363</v>
      </c>
      <c r="H221" s="367">
        <f t="shared" si="132"/>
        <v>3384.9644408747195</v>
      </c>
      <c r="I221" s="14">
        <f t="shared" si="132"/>
        <v>3348.5406879704215</v>
      </c>
      <c r="J221" s="14">
        <f t="shared" si="132"/>
        <v>3345.2042292877732</v>
      </c>
      <c r="K221" s="14">
        <f t="shared" si="132"/>
        <v>3359.4376938657861</v>
      </c>
      <c r="L221" s="14">
        <f t="shared" si="132"/>
        <v>3324.0255151166207</v>
      </c>
      <c r="M221" s="14">
        <f t="shared" si="132"/>
        <v>3256.7185553771046</v>
      </c>
      <c r="N221" s="187">
        <f t="shared" si="132"/>
        <v>3161.9855540725503</v>
      </c>
      <c r="O221" s="14">
        <f t="shared" si="132"/>
        <v>3187.3929053558113</v>
      </c>
      <c r="P221" s="14">
        <f t="shared" si="132"/>
        <v>3212.2150698047958</v>
      </c>
      <c r="Q221" s="14">
        <f t="shared" si="132"/>
        <v>3251.7625287318451</v>
      </c>
      <c r="R221" s="14">
        <f t="shared" si="132"/>
        <v>3284.0741511261062</v>
      </c>
      <c r="S221" s="14">
        <f t="shared" si="132"/>
        <v>3319.5324380788234</v>
      </c>
      <c r="T221" s="14">
        <f t="shared" si="132"/>
        <v>3328.7850309183323</v>
      </c>
      <c r="U221" s="14">
        <f t="shared" si="132"/>
        <v>3335.8138786505942</v>
      </c>
      <c r="V221" s="14">
        <f t="shared" si="132"/>
        <v>3344.3673971522535</v>
      </c>
      <c r="W221" s="14">
        <f t="shared" si="132"/>
        <v>3360.9368586374003</v>
      </c>
      <c r="X221" s="187">
        <f t="shared" si="132"/>
        <v>3366.9586513348258</v>
      </c>
      <c r="Y221" s="158">
        <f t="shared" si="132"/>
        <v>3350.104896342657</v>
      </c>
      <c r="Z221" s="158">
        <f t="shared" si="132"/>
        <v>3335.6717628413498</v>
      </c>
      <c r="AA221" s="158">
        <f t="shared" si="132"/>
        <v>3316.4781953045567</v>
      </c>
      <c r="AB221" s="158">
        <f t="shared" si="132"/>
        <v>3298.7299534659137</v>
      </c>
      <c r="AC221" s="158">
        <f t="shared" si="132"/>
        <v>3284.3571829640227</v>
      </c>
      <c r="AD221" s="158">
        <f t="shared" si="132"/>
        <v>3267.8398699987492</v>
      </c>
      <c r="AE221" s="158">
        <f t="shared" si="132"/>
        <v>3255.636851842934</v>
      </c>
      <c r="AF221" s="158">
        <f t="shared" si="132"/>
        <v>3244.524858735685</v>
      </c>
      <c r="AG221" s="158">
        <f t="shared" si="132"/>
        <v>3227.6900588657418</v>
      </c>
      <c r="AH221" s="187">
        <f t="shared" si="132"/>
        <v>3205.0859543263296</v>
      </c>
    </row>
    <row r="222" spans="1:34">
      <c r="A222" s="1" t="s">
        <v>426</v>
      </c>
      <c r="C222" s="296">
        <f>SUM(C210,C213,C216,C219)</f>
        <v>13440.45001</v>
      </c>
      <c r="D222" s="296">
        <f t="shared" ref="D222:AH222" si="133">SUM(D210,D213,D216,D219)</f>
        <v>14377.185040167213</v>
      </c>
      <c r="E222" s="296">
        <f t="shared" si="133"/>
        <v>13466.470674381319</v>
      </c>
      <c r="F222" s="296">
        <f t="shared" si="133"/>
        <v>12941.349111147381</v>
      </c>
      <c r="G222" s="296">
        <f t="shared" si="133"/>
        <v>13305.253542016108</v>
      </c>
      <c r="H222" s="367">
        <f t="shared" si="133"/>
        <v>13175.588931045124</v>
      </c>
      <c r="I222" s="14">
        <f t="shared" si="133"/>
        <v>13321.318492621438</v>
      </c>
      <c r="J222" s="14">
        <f t="shared" si="133"/>
        <v>13649.249058410789</v>
      </c>
      <c r="K222" s="14">
        <f t="shared" si="133"/>
        <v>14116.05976256475</v>
      </c>
      <c r="L222" s="14">
        <f t="shared" si="133"/>
        <v>14463.317000917816</v>
      </c>
      <c r="M222" s="14">
        <f t="shared" si="133"/>
        <v>14769.441717100382</v>
      </c>
      <c r="N222" s="187">
        <f t="shared" si="133"/>
        <v>15067.342396712729</v>
      </c>
      <c r="O222" s="14">
        <f t="shared" si="133"/>
        <v>15234.763511642126</v>
      </c>
      <c r="P222" s="14">
        <f t="shared" si="133"/>
        <v>15404.958592664987</v>
      </c>
      <c r="Q222" s="14">
        <f t="shared" si="133"/>
        <v>15651.899827164227</v>
      </c>
      <c r="R222" s="14">
        <f t="shared" si="133"/>
        <v>15870.775706599017</v>
      </c>
      <c r="S222" s="14">
        <f t="shared" si="133"/>
        <v>16111.931651341936</v>
      </c>
      <c r="T222" s="14">
        <f t="shared" si="133"/>
        <v>16232.736207050491</v>
      </c>
      <c r="U222" s="14">
        <f t="shared" si="133"/>
        <v>16349.481832082083</v>
      </c>
      <c r="V222" s="14">
        <f t="shared" si="133"/>
        <v>16480.810162921043</v>
      </c>
      <c r="W222" s="14">
        <f t="shared" si="133"/>
        <v>16659.356089138437</v>
      </c>
      <c r="X222" s="187">
        <f t="shared" si="133"/>
        <v>16793.773174491103</v>
      </c>
      <c r="Y222" s="158">
        <f t="shared" si="133"/>
        <v>16887.287408868644</v>
      </c>
      <c r="Z222" s="158">
        <f t="shared" si="133"/>
        <v>17002.327102609604</v>
      </c>
      <c r="AA222" s="158">
        <f t="shared" si="133"/>
        <v>17102.906401606662</v>
      </c>
      <c r="AB222" s="158">
        <f t="shared" si="133"/>
        <v>17221.190787524778</v>
      </c>
      <c r="AC222" s="158">
        <f t="shared" si="133"/>
        <v>17368.360813223124</v>
      </c>
      <c r="AD222" s="158">
        <f t="shared" si="133"/>
        <v>17516.354135365436</v>
      </c>
      <c r="AE222" s="158">
        <f t="shared" si="133"/>
        <v>17700.681461430249</v>
      </c>
      <c r="AF222" s="158">
        <f t="shared" si="133"/>
        <v>17905.582885406329</v>
      </c>
      <c r="AG222" s="158">
        <f t="shared" si="133"/>
        <v>18094.326585299696</v>
      </c>
      <c r="AH222" s="187">
        <f t="shared" si="133"/>
        <v>18266.338334048443</v>
      </c>
    </row>
    <row r="223" spans="1:34" s="1" customFormat="1">
      <c r="A223" s="1" t="s">
        <v>444</v>
      </c>
      <c r="B223" s="13"/>
      <c r="C223" s="293" t="s">
        <v>0</v>
      </c>
      <c r="D223" s="306">
        <f>D210+D213</f>
        <v>790.83662940584566</v>
      </c>
      <c r="E223" s="306">
        <f t="shared" ref="E223:AH223" si="134">E210+E213</f>
        <v>890.30567726697984</v>
      </c>
      <c r="F223" s="306">
        <f t="shared" si="134"/>
        <v>1017.4905438160905</v>
      </c>
      <c r="G223" s="306">
        <f t="shared" si="134"/>
        <v>1237.5381140867185</v>
      </c>
      <c r="H223" s="370">
        <f>H210+H213</f>
        <v>740.09991834394555</v>
      </c>
      <c r="I223" s="15">
        <f t="shared" si="134"/>
        <v>892.17175297053996</v>
      </c>
      <c r="J223" s="15">
        <f t="shared" si="134"/>
        <v>1088.8310508561513</v>
      </c>
      <c r="K223" s="15">
        <f t="shared" si="134"/>
        <v>1339.4105280919371</v>
      </c>
      <c r="L223" s="15">
        <f t="shared" si="134"/>
        <v>1630.544419827469</v>
      </c>
      <c r="M223" s="15">
        <f t="shared" si="134"/>
        <v>1975.0692151599048</v>
      </c>
      <c r="N223" s="190">
        <f t="shared" si="134"/>
        <v>2385.4512698880671</v>
      </c>
      <c r="O223" s="15">
        <f t="shared" si="134"/>
        <v>2489.8678697640357</v>
      </c>
      <c r="P223" s="15">
        <f t="shared" si="134"/>
        <v>2598.788184534932</v>
      </c>
      <c r="Q223" s="15">
        <f t="shared" si="134"/>
        <v>2725.2641274802518</v>
      </c>
      <c r="R223" s="15">
        <f t="shared" si="134"/>
        <v>2851.8957820967926</v>
      </c>
      <c r="S223" s="15">
        <f t="shared" si="134"/>
        <v>2987.7043382965012</v>
      </c>
      <c r="T223" s="15">
        <f t="shared" si="134"/>
        <v>3105.9351975980303</v>
      </c>
      <c r="U223" s="15">
        <f t="shared" si="134"/>
        <v>3227.5603904213867</v>
      </c>
      <c r="V223" s="15">
        <f t="shared" si="134"/>
        <v>3356.4169220757367</v>
      </c>
      <c r="W223" s="15">
        <f t="shared" si="134"/>
        <v>3499.751794245276</v>
      </c>
      <c r="X223" s="190">
        <f t="shared" si="134"/>
        <v>3638.8468543217505</v>
      </c>
      <c r="Y223" s="130">
        <f t="shared" si="134"/>
        <v>3779.2167773847577</v>
      </c>
      <c r="Z223" s="130">
        <f t="shared" si="134"/>
        <v>3929.3720343931959</v>
      </c>
      <c r="AA223" s="130">
        <f t="shared" si="134"/>
        <v>4081.3397142035819</v>
      </c>
      <c r="AB223" s="130">
        <f t="shared" si="134"/>
        <v>4242.8485697095384</v>
      </c>
      <c r="AC223" s="130">
        <f t="shared" si="134"/>
        <v>4417.295138706193</v>
      </c>
      <c r="AD223" s="130">
        <f t="shared" si="134"/>
        <v>4598.1688594716288</v>
      </c>
      <c r="AE223" s="130">
        <f t="shared" si="134"/>
        <v>4795.2718663026972</v>
      </c>
      <c r="AF223" s="130">
        <f t="shared" si="134"/>
        <v>5005.305027315293</v>
      </c>
      <c r="AG223" s="130">
        <f t="shared" si="134"/>
        <v>5218.4193353907685</v>
      </c>
      <c r="AH223" s="190">
        <f t="shared" si="134"/>
        <v>5434.2093643553935</v>
      </c>
    </row>
    <row r="224" spans="1:34">
      <c r="A224" t="s">
        <v>447</v>
      </c>
      <c r="D224" s="296">
        <f>D210+D213+D216</f>
        <v>6400.8788201567413</v>
      </c>
      <c r="E224" s="296">
        <f t="shared" ref="E224:AH224" si="135">E210+E213+E216</f>
        <v>6160.3842768131863</v>
      </c>
      <c r="F224" s="296">
        <f t="shared" si="135"/>
        <v>6087.110569851985</v>
      </c>
      <c r="G224" s="296">
        <f t="shared" si="135"/>
        <v>6447.426741865952</v>
      </c>
      <c r="H224" s="367">
        <f t="shared" si="135"/>
        <v>6029.5528891984941</v>
      </c>
      <c r="I224" s="14">
        <f t="shared" si="135"/>
        <v>6252.1770402394377</v>
      </c>
      <c r="J224" s="14">
        <f t="shared" si="135"/>
        <v>6587.1512410254909</v>
      </c>
      <c r="K224" s="14">
        <f t="shared" si="135"/>
        <v>7023.9135199592019</v>
      </c>
      <c r="L224" s="14">
        <f t="shared" si="135"/>
        <v>7445.9298023382835</v>
      </c>
      <c r="M224" s="14">
        <f t="shared" si="135"/>
        <v>7894.1469890820499</v>
      </c>
      <c r="N224" s="187">
        <f t="shared" si="135"/>
        <v>8392.0395603373454</v>
      </c>
      <c r="O224" s="14">
        <f t="shared" si="135"/>
        <v>8505.8229336687473</v>
      </c>
      <c r="P224" s="14">
        <f t="shared" si="135"/>
        <v>8623.6156675215298</v>
      </c>
      <c r="Q224" s="14">
        <f t="shared" si="135"/>
        <v>8787.0678220636655</v>
      </c>
      <c r="R224" s="14">
        <f t="shared" si="135"/>
        <v>8937.7302764439046</v>
      </c>
      <c r="S224" s="14">
        <f t="shared" si="135"/>
        <v>9104.0298376199753</v>
      </c>
      <c r="T224" s="14">
        <f t="shared" si="135"/>
        <v>9205.3011417784564</v>
      </c>
      <c r="U224" s="14">
        <f t="shared" si="135"/>
        <v>9307.2080882641621</v>
      </c>
      <c r="V224" s="14">
        <f t="shared" si="135"/>
        <v>9420.4789911551743</v>
      </c>
      <c r="W224" s="14">
        <f t="shared" si="135"/>
        <v>9564.0449431261477</v>
      </c>
      <c r="X224" s="187">
        <f t="shared" si="135"/>
        <v>9685.7493550064719</v>
      </c>
      <c r="Y224" s="158">
        <f t="shared" si="135"/>
        <v>9814.8437388119237</v>
      </c>
      <c r="Z224" s="158">
        <f t="shared" si="135"/>
        <v>9960.3533810556455</v>
      </c>
      <c r="AA224" s="158">
        <f t="shared" si="135"/>
        <v>10101.452433741488</v>
      </c>
      <c r="AB224" s="158">
        <f t="shared" si="135"/>
        <v>10257.205330207849</v>
      </c>
      <c r="AC224" s="158">
        <f t="shared" si="135"/>
        <v>10434.717871410185</v>
      </c>
      <c r="AD224" s="158">
        <f t="shared" si="135"/>
        <v>10617.581076479186</v>
      </c>
      <c r="AE224" s="158">
        <f t="shared" si="135"/>
        <v>10827.670329761835</v>
      </c>
      <c r="AF224" s="158">
        <f t="shared" si="135"/>
        <v>11056.030405853215</v>
      </c>
      <c r="AG224" s="158">
        <f t="shared" si="135"/>
        <v>11280.314238805353</v>
      </c>
      <c r="AH224" s="187">
        <f t="shared" si="135"/>
        <v>11500.04576380397</v>
      </c>
    </row>
    <row r="225" spans="1:34">
      <c r="D225" s="296"/>
      <c r="E225" s="296"/>
      <c r="F225" s="296"/>
      <c r="G225" s="296"/>
      <c r="H225" s="367"/>
      <c r="I225" s="14"/>
      <c r="J225" s="14"/>
      <c r="K225" s="14"/>
      <c r="L225" s="14"/>
      <c r="M225" s="14"/>
      <c r="N225" s="187"/>
      <c r="O225" s="14"/>
      <c r="P225" s="14"/>
      <c r="Q225" s="14"/>
      <c r="R225" s="14"/>
      <c r="S225" s="14"/>
      <c r="T225" s="14"/>
      <c r="U225" s="14"/>
      <c r="V225" s="14"/>
      <c r="W225" s="14"/>
      <c r="X225" s="187"/>
    </row>
    <row r="226" spans="1:34">
      <c r="A226" s="1" t="s">
        <v>454</v>
      </c>
      <c r="D226" s="296">
        <f>D210+D213</f>
        <v>790.83662940584566</v>
      </c>
      <c r="E226" s="296">
        <f>D226+E210+E213</f>
        <v>1681.1423066728255</v>
      </c>
      <c r="F226" s="296">
        <f>E226+F210+F213</f>
        <v>2698.6328504889161</v>
      </c>
      <c r="G226" s="296">
        <f>F226+G210+G213</f>
        <v>3936.1709645756346</v>
      </c>
      <c r="H226" s="367">
        <f t="shared" ref="H226:X226" si="136">G226+H210+H213</f>
        <v>4676.2708829195799</v>
      </c>
      <c r="I226" s="14">
        <f t="shared" si="136"/>
        <v>5568.4426358901201</v>
      </c>
      <c r="J226" s="14">
        <f t="shared" si="136"/>
        <v>6657.2736867462718</v>
      </c>
      <c r="K226" s="14">
        <f t="shared" si="136"/>
        <v>7996.6842148382093</v>
      </c>
      <c r="L226" s="14">
        <f t="shared" si="136"/>
        <v>9627.2286346656783</v>
      </c>
      <c r="M226" s="14">
        <f t="shared" si="136"/>
        <v>11602.297849825583</v>
      </c>
      <c r="N226" s="187">
        <f t="shared" si="136"/>
        <v>13987.749119713651</v>
      </c>
      <c r="O226" s="14">
        <f t="shared" si="136"/>
        <v>16477.616989477687</v>
      </c>
      <c r="P226" s="14">
        <f t="shared" si="136"/>
        <v>19076.40517401262</v>
      </c>
      <c r="Q226" s="14">
        <f t="shared" si="136"/>
        <v>21801.669301492871</v>
      </c>
      <c r="R226" s="14">
        <f t="shared" si="136"/>
        <v>24653.565083589663</v>
      </c>
      <c r="S226" s="14">
        <f t="shared" si="136"/>
        <v>27641.269421886165</v>
      </c>
      <c r="T226" s="14">
        <f t="shared" si="136"/>
        <v>30747.204619484197</v>
      </c>
      <c r="U226" s="14">
        <f t="shared" si="136"/>
        <v>33974.765009905583</v>
      </c>
      <c r="V226" s="14">
        <f t="shared" si="136"/>
        <v>37331.181931981322</v>
      </c>
      <c r="W226" s="14">
        <f t="shared" si="136"/>
        <v>40830.933726226598</v>
      </c>
      <c r="X226" s="187">
        <f t="shared" si="136"/>
        <v>44469.780580548351</v>
      </c>
      <c r="Y226" s="158">
        <f t="shared" ref="Y226:AH226" si="137">X226+Y210+Y213</f>
        <v>48248.997357933113</v>
      </c>
      <c r="Z226" s="158">
        <f t="shared" si="137"/>
        <v>52178.369392326305</v>
      </c>
      <c r="AA226" s="158">
        <f t="shared" si="137"/>
        <v>56259.709106529888</v>
      </c>
      <c r="AB226" s="158">
        <f t="shared" si="137"/>
        <v>60502.557676239427</v>
      </c>
      <c r="AC226" s="158">
        <f t="shared" si="137"/>
        <v>64919.852814945618</v>
      </c>
      <c r="AD226" s="158">
        <f t="shared" si="137"/>
        <v>69518.02167441725</v>
      </c>
      <c r="AE226" s="158">
        <f t="shared" si="137"/>
        <v>74313.293540719955</v>
      </c>
      <c r="AF226" s="158">
        <f t="shared" si="137"/>
        <v>79318.598568035246</v>
      </c>
      <c r="AG226" s="158">
        <f t="shared" si="137"/>
        <v>84537.017903426022</v>
      </c>
      <c r="AH226" s="187">
        <f t="shared" si="137"/>
        <v>89971.227267781418</v>
      </c>
    </row>
    <row r="227" spans="1:34">
      <c r="A227" s="1" t="s">
        <v>455</v>
      </c>
      <c r="D227" s="296">
        <f>D219</f>
        <v>7976.3062200104705</v>
      </c>
      <c r="E227" s="296">
        <f>D227+E219</f>
        <v>15282.392617578602</v>
      </c>
      <c r="F227" s="296">
        <f>E227+F219</f>
        <v>22136.631158873999</v>
      </c>
      <c r="G227" s="296">
        <f t="shared" ref="G227:X227" si="138">F227+G219</f>
        <v>28994.457959024156</v>
      </c>
      <c r="H227" s="367">
        <f t="shared" si="138"/>
        <v>36140.494000870785</v>
      </c>
      <c r="I227" s="14">
        <f t="shared" si="138"/>
        <v>43209.635453252784</v>
      </c>
      <c r="J227" s="14">
        <f t="shared" si="138"/>
        <v>50271.733270638084</v>
      </c>
      <c r="K227" s="14">
        <f t="shared" si="138"/>
        <v>57363.879513243635</v>
      </c>
      <c r="L227" s="14">
        <f t="shared" si="138"/>
        <v>64381.266711823169</v>
      </c>
      <c r="M227" s="14">
        <f t="shared" si="138"/>
        <v>71256.561439841505</v>
      </c>
      <c r="N227" s="187">
        <f t="shared" si="138"/>
        <v>77931.864276216889</v>
      </c>
      <c r="O227" s="14">
        <f t="shared" si="138"/>
        <v>84660.804854190268</v>
      </c>
      <c r="P227" s="14">
        <f t="shared" si="138"/>
        <v>91442.147779333725</v>
      </c>
      <c r="Q227" s="14">
        <f t="shared" si="138"/>
        <v>98306.979784434283</v>
      </c>
      <c r="R227" s="14">
        <f t="shared" si="138"/>
        <v>105240.02521458939</v>
      </c>
      <c r="S227" s="14">
        <f t="shared" si="138"/>
        <v>112247.92702831136</v>
      </c>
      <c r="T227" s="14">
        <f t="shared" si="138"/>
        <v>119275.36209358339</v>
      </c>
      <c r="U227" s="14">
        <f t="shared" si="138"/>
        <v>126317.63583740131</v>
      </c>
      <c r="V227" s="14">
        <f t="shared" si="138"/>
        <v>133377.96700916719</v>
      </c>
      <c r="W227" s="14">
        <f t="shared" si="138"/>
        <v>140473.27815517946</v>
      </c>
      <c r="X227" s="187">
        <f t="shared" si="138"/>
        <v>147581.30197466409</v>
      </c>
      <c r="Y227" s="158">
        <f t="shared" ref="Y227:AH227" si="139">X227+Y219</f>
        <v>154653.74564472082</v>
      </c>
      <c r="Z227" s="158">
        <f t="shared" si="139"/>
        <v>161695.71936627477</v>
      </c>
      <c r="AA227" s="158">
        <f t="shared" si="139"/>
        <v>168697.17333413995</v>
      </c>
      <c r="AB227" s="158">
        <f t="shared" si="139"/>
        <v>175661.1587914569</v>
      </c>
      <c r="AC227" s="158">
        <f t="shared" si="139"/>
        <v>182594.80173326982</v>
      </c>
      <c r="AD227" s="158">
        <f t="shared" si="139"/>
        <v>189493.57479215608</v>
      </c>
      <c r="AE227" s="158">
        <f t="shared" si="139"/>
        <v>196366.58592382449</v>
      </c>
      <c r="AF227" s="158">
        <f t="shared" si="139"/>
        <v>203216.13840337761</v>
      </c>
      <c r="AG227" s="158">
        <f t="shared" si="139"/>
        <v>210030.15074987194</v>
      </c>
      <c r="AH227" s="187">
        <f t="shared" si="139"/>
        <v>216796.44332011641</v>
      </c>
    </row>
    <row r="228" spans="1:34">
      <c r="A228" s="1" t="s">
        <v>457</v>
      </c>
      <c r="D228" s="296">
        <f t="shared" ref="D228:AH228" si="140">D227-D207</f>
        <v>-513.48277998952835</v>
      </c>
      <c r="E228" s="296">
        <f t="shared" si="140"/>
        <v>-598.25464953733717</v>
      </c>
      <c r="F228" s="296">
        <f t="shared" si="140"/>
        <v>-805.55830829463594</v>
      </c>
      <c r="G228" s="296">
        <f t="shared" si="140"/>
        <v>-1053.3749468883107</v>
      </c>
      <c r="H228" s="367">
        <f>H227-H207</f>
        <v>-1053.6466468883154</v>
      </c>
      <c r="I228" s="14">
        <f t="shared" si="140"/>
        <v>-1038.4012897021676</v>
      </c>
      <c r="J228" s="14">
        <f t="shared" si="140"/>
        <v>-1055.5907668793443</v>
      </c>
      <c r="K228" s="14">
        <f t="shared" si="140"/>
        <v>-1169.6244760620175</v>
      </c>
      <c r="L228" s="14">
        <f t="shared" si="140"/>
        <v>-1415.6879190392137</v>
      </c>
      <c r="M228" s="14">
        <f t="shared" si="140"/>
        <v>-1887.7215833329101</v>
      </c>
      <c r="N228" s="187">
        <f t="shared" si="140"/>
        <v>-2620.7306982840528</v>
      </c>
      <c r="O228" s="14">
        <f t="shared" si="140"/>
        <v>-3379.1356023127737</v>
      </c>
      <c r="P228" s="14">
        <f t="shared" si="140"/>
        <v>-4176.7866449528665</v>
      </c>
      <c r="Q228" s="14">
        <f t="shared" si="140"/>
        <v>-4992.2057596350787</v>
      </c>
      <c r="R228" s="14">
        <f t="shared" si="140"/>
        <v>-5865.0679013828631</v>
      </c>
      <c r="S228" s="14">
        <f t="shared" si="140"/>
        <v>-6745.9308072429703</v>
      </c>
      <c r="T228" s="14">
        <f t="shared" si="140"/>
        <v>-7648.6738347016362</v>
      </c>
      <c r="U228" s="14">
        <f t="shared" si="140"/>
        <v>-8581.6223368906794</v>
      </c>
      <c r="V228" s="14">
        <f t="shared" si="140"/>
        <v>-9547.1537468047172</v>
      </c>
      <c r="W228" s="14">
        <f t="shared" si="140"/>
        <v>-10482.868346655887</v>
      </c>
      <c r="X228" s="187">
        <f t="shared" si="140"/>
        <v>-11455.857251035603</v>
      </c>
      <c r="Y228" s="158">
        <f t="shared" si="140"/>
        <v>-12481.839194158063</v>
      </c>
      <c r="Z228" s="158">
        <f t="shared" si="140"/>
        <v>-13569.573065078934</v>
      </c>
      <c r="AA228" s="158">
        <f t="shared" si="140"/>
        <v>-14716.530879001919</v>
      </c>
      <c r="AB228" s="158">
        <f t="shared" si="140"/>
        <v>-15929.747966646246</v>
      </c>
      <c r="AC228" s="158">
        <f t="shared" si="140"/>
        <v>-17220.855189968512</v>
      </c>
      <c r="AD228" s="158">
        <f t="shared" si="140"/>
        <v>-18588.886572386138</v>
      </c>
      <c r="AE228" s="158">
        <f t="shared" si="140"/>
        <v>-20052.276588186593</v>
      </c>
      <c r="AF228" s="158">
        <f t="shared" si="140"/>
        <v>-21616.693787310476</v>
      </c>
      <c r="AG228" s="158">
        <f t="shared" si="140"/>
        <v>-23280.062214908015</v>
      </c>
      <c r="AH228" s="187">
        <f t="shared" si="140"/>
        <v>-25040.431336706621</v>
      </c>
    </row>
    <row r="229" spans="1:34">
      <c r="I229" s="129"/>
      <c r="J229" s="129"/>
      <c r="K229" s="129"/>
      <c r="L229" s="129"/>
      <c r="M229" s="129"/>
      <c r="O229" s="129"/>
      <c r="P229" s="129"/>
      <c r="Q229" s="129"/>
      <c r="R229" s="129"/>
      <c r="S229" s="129"/>
      <c r="T229" s="129"/>
      <c r="U229" s="129"/>
      <c r="V229" s="129"/>
      <c r="W229" s="129"/>
    </row>
    <row r="230" spans="1:34">
      <c r="A230" s="1" t="s">
        <v>413</v>
      </c>
    </row>
    <row r="231" spans="1:34">
      <c r="A231" t="s">
        <v>414</v>
      </c>
      <c r="C231" s="296">
        <f t="shared" ref="C231:AH231" si="141">C210-C191</f>
        <v>0</v>
      </c>
      <c r="D231" s="296">
        <f t="shared" si="141"/>
        <v>0</v>
      </c>
      <c r="E231" s="296">
        <f t="shared" si="141"/>
        <v>0</v>
      </c>
      <c r="F231" s="296">
        <f t="shared" si="141"/>
        <v>0</v>
      </c>
      <c r="G231" s="296">
        <f t="shared" si="141"/>
        <v>0</v>
      </c>
      <c r="H231" s="367">
        <f t="shared" si="141"/>
        <v>0</v>
      </c>
      <c r="I231" s="14">
        <f t="shared" si="141"/>
        <v>0</v>
      </c>
      <c r="J231" s="14">
        <f t="shared" si="141"/>
        <v>0</v>
      </c>
      <c r="K231" s="14">
        <f t="shared" si="141"/>
        <v>0</v>
      </c>
      <c r="L231" s="14">
        <f t="shared" si="141"/>
        <v>0</v>
      </c>
      <c r="M231" s="14">
        <f t="shared" si="141"/>
        <v>0</v>
      </c>
      <c r="N231" s="187">
        <f t="shared" ref="N231:O233" si="142">N210-N191</f>
        <v>0</v>
      </c>
      <c r="O231" s="14">
        <f t="shared" si="142"/>
        <v>0</v>
      </c>
      <c r="P231" s="14">
        <f t="shared" si="141"/>
        <v>0</v>
      </c>
      <c r="Q231" s="14">
        <f t="shared" si="141"/>
        <v>0</v>
      </c>
      <c r="R231" s="14">
        <f t="shared" si="141"/>
        <v>0</v>
      </c>
      <c r="S231" s="14">
        <f t="shared" si="141"/>
        <v>0</v>
      </c>
      <c r="T231" s="14">
        <f t="shared" si="141"/>
        <v>0</v>
      </c>
      <c r="U231" s="14">
        <f t="shared" si="141"/>
        <v>0</v>
      </c>
      <c r="V231" s="14">
        <f t="shared" si="141"/>
        <v>0</v>
      </c>
      <c r="W231" s="14">
        <f t="shared" si="141"/>
        <v>0</v>
      </c>
      <c r="X231" s="187">
        <f t="shared" si="141"/>
        <v>0</v>
      </c>
      <c r="Y231" s="158">
        <f t="shared" si="141"/>
        <v>0</v>
      </c>
      <c r="Z231" s="158">
        <f t="shared" si="141"/>
        <v>0</v>
      </c>
      <c r="AA231" s="158">
        <f t="shared" si="141"/>
        <v>0</v>
      </c>
      <c r="AB231" s="158">
        <f t="shared" si="141"/>
        <v>0</v>
      </c>
      <c r="AC231" s="158">
        <f t="shared" si="141"/>
        <v>0</v>
      </c>
      <c r="AD231" s="158">
        <f t="shared" si="141"/>
        <v>0</v>
      </c>
      <c r="AE231" s="158">
        <f t="shared" si="141"/>
        <v>0</v>
      </c>
      <c r="AF231" s="158">
        <f t="shared" si="141"/>
        <v>0</v>
      </c>
      <c r="AG231" s="158">
        <f t="shared" si="141"/>
        <v>0</v>
      </c>
      <c r="AH231" s="187">
        <f t="shared" si="141"/>
        <v>0</v>
      </c>
    </row>
    <row r="232" spans="1:34">
      <c r="A232" t="s">
        <v>415</v>
      </c>
      <c r="C232" s="296">
        <f t="shared" ref="C232:AH232" si="143">C211-C192</f>
        <v>0</v>
      </c>
      <c r="D232" s="296">
        <f t="shared" si="143"/>
        <v>0</v>
      </c>
      <c r="E232" s="296">
        <f t="shared" si="143"/>
        <v>0</v>
      </c>
      <c r="F232" s="296">
        <f t="shared" si="143"/>
        <v>0</v>
      </c>
      <c r="G232" s="296">
        <f t="shared" si="143"/>
        <v>0</v>
      </c>
      <c r="H232" s="367">
        <f t="shared" si="143"/>
        <v>0</v>
      </c>
      <c r="I232" s="14">
        <f t="shared" si="143"/>
        <v>0</v>
      </c>
      <c r="J232" s="14">
        <f t="shared" si="143"/>
        <v>0</v>
      </c>
      <c r="K232" s="14">
        <f t="shared" si="143"/>
        <v>0</v>
      </c>
      <c r="L232" s="14">
        <f t="shared" si="143"/>
        <v>0</v>
      </c>
      <c r="M232" s="14">
        <f t="shared" si="143"/>
        <v>0</v>
      </c>
      <c r="N232" s="187">
        <f t="shared" si="142"/>
        <v>0</v>
      </c>
      <c r="O232" s="14">
        <f t="shared" si="142"/>
        <v>0</v>
      </c>
      <c r="P232" s="14">
        <f t="shared" si="143"/>
        <v>0</v>
      </c>
      <c r="Q232" s="14">
        <f t="shared" si="143"/>
        <v>0</v>
      </c>
      <c r="R232" s="14">
        <f t="shared" si="143"/>
        <v>0</v>
      </c>
      <c r="S232" s="14">
        <f t="shared" si="143"/>
        <v>0</v>
      </c>
      <c r="T232" s="14">
        <f t="shared" si="143"/>
        <v>0</v>
      </c>
      <c r="U232" s="14">
        <f t="shared" si="143"/>
        <v>0</v>
      </c>
      <c r="V232" s="14">
        <f t="shared" si="143"/>
        <v>0</v>
      </c>
      <c r="W232" s="14">
        <f t="shared" si="143"/>
        <v>0</v>
      </c>
      <c r="X232" s="187">
        <f t="shared" si="143"/>
        <v>0</v>
      </c>
      <c r="Y232" s="158">
        <f t="shared" si="143"/>
        <v>0</v>
      </c>
      <c r="Z232" s="158">
        <f t="shared" si="143"/>
        <v>0</v>
      </c>
      <c r="AA232" s="158">
        <f t="shared" si="143"/>
        <v>0</v>
      </c>
      <c r="AB232" s="158">
        <f t="shared" si="143"/>
        <v>0</v>
      </c>
      <c r="AC232" s="158">
        <f t="shared" si="143"/>
        <v>0</v>
      </c>
      <c r="AD232" s="158">
        <f t="shared" si="143"/>
        <v>0</v>
      </c>
      <c r="AE232" s="158">
        <f t="shared" si="143"/>
        <v>0</v>
      </c>
      <c r="AF232" s="158">
        <f t="shared" si="143"/>
        <v>0</v>
      </c>
      <c r="AG232" s="158">
        <f t="shared" si="143"/>
        <v>0</v>
      </c>
      <c r="AH232" s="187">
        <f t="shared" si="143"/>
        <v>0</v>
      </c>
    </row>
    <row r="233" spans="1:34">
      <c r="A233" t="s">
        <v>416</v>
      </c>
      <c r="C233" s="296">
        <f t="shared" ref="C233:AH233" si="144">C212-C193</f>
        <v>0</v>
      </c>
      <c r="D233" s="296">
        <f t="shared" si="144"/>
        <v>0</v>
      </c>
      <c r="E233" s="296">
        <f t="shared" si="144"/>
        <v>0</v>
      </c>
      <c r="F233" s="296">
        <f t="shared" si="144"/>
        <v>0</v>
      </c>
      <c r="G233" s="296">
        <f t="shared" si="144"/>
        <v>0</v>
      </c>
      <c r="H233" s="367">
        <f t="shared" si="144"/>
        <v>0</v>
      </c>
      <c r="I233" s="14">
        <f t="shared" si="144"/>
        <v>0</v>
      </c>
      <c r="J233" s="14">
        <f t="shared" si="144"/>
        <v>0</v>
      </c>
      <c r="K233" s="14">
        <f t="shared" si="144"/>
        <v>0</v>
      </c>
      <c r="L233" s="14">
        <f t="shared" si="144"/>
        <v>0</v>
      </c>
      <c r="M233" s="14">
        <f t="shared" si="144"/>
        <v>0</v>
      </c>
      <c r="N233" s="187">
        <f t="shared" si="142"/>
        <v>0</v>
      </c>
      <c r="O233" s="14">
        <f t="shared" si="142"/>
        <v>0</v>
      </c>
      <c r="P233" s="14">
        <f t="shared" si="144"/>
        <v>0</v>
      </c>
      <c r="Q233" s="14">
        <f t="shared" si="144"/>
        <v>0</v>
      </c>
      <c r="R233" s="14">
        <f t="shared" si="144"/>
        <v>0</v>
      </c>
      <c r="S233" s="14">
        <f t="shared" si="144"/>
        <v>0</v>
      </c>
      <c r="T233" s="14">
        <f t="shared" si="144"/>
        <v>0</v>
      </c>
      <c r="U233" s="14">
        <f t="shared" si="144"/>
        <v>0</v>
      </c>
      <c r="V233" s="14">
        <f t="shared" si="144"/>
        <v>0</v>
      </c>
      <c r="W233" s="14">
        <f t="shared" si="144"/>
        <v>0</v>
      </c>
      <c r="X233" s="187">
        <f t="shared" si="144"/>
        <v>0</v>
      </c>
      <c r="Y233" s="158">
        <f t="shared" si="144"/>
        <v>0</v>
      </c>
      <c r="Z233" s="158">
        <f t="shared" si="144"/>
        <v>0</v>
      </c>
      <c r="AA233" s="158">
        <f t="shared" si="144"/>
        <v>0</v>
      </c>
      <c r="AB233" s="158">
        <f t="shared" si="144"/>
        <v>0</v>
      </c>
      <c r="AC233" s="158">
        <f t="shared" si="144"/>
        <v>0</v>
      </c>
      <c r="AD233" s="158">
        <f t="shared" si="144"/>
        <v>0</v>
      </c>
      <c r="AE233" s="158">
        <f t="shared" si="144"/>
        <v>0</v>
      </c>
      <c r="AF233" s="158">
        <f t="shared" si="144"/>
        <v>0</v>
      </c>
      <c r="AG233" s="158">
        <f t="shared" si="144"/>
        <v>0</v>
      </c>
      <c r="AH233" s="187">
        <f t="shared" si="144"/>
        <v>0</v>
      </c>
    </row>
    <row r="234" spans="1:34">
      <c r="A234" t="s">
        <v>417</v>
      </c>
      <c r="C234" s="296">
        <f t="shared" ref="C234:AH234" si="145">C213-C194</f>
        <v>-2.7000000000043656E-4</v>
      </c>
      <c r="D234" s="296">
        <f t="shared" si="145"/>
        <v>154.76849940584566</v>
      </c>
      <c r="E234" s="296">
        <f t="shared" si="145"/>
        <v>214.43226592120402</v>
      </c>
      <c r="F234" s="296">
        <f t="shared" si="145"/>
        <v>363.49655291050476</v>
      </c>
      <c r="G234" s="296">
        <f t="shared" si="145"/>
        <v>518.91862990832124</v>
      </c>
      <c r="H234" s="367">
        <f>H213-H194</f>
        <v>-2.7000000000043656E-4</v>
      </c>
      <c r="I234" s="14">
        <f t="shared" si="145"/>
        <v>126.98242827323634</v>
      </c>
      <c r="J234" s="14">
        <f t="shared" si="145"/>
        <v>277.48644592903042</v>
      </c>
      <c r="K234" s="14">
        <f t="shared" si="145"/>
        <v>460.96522694860323</v>
      </c>
      <c r="L234" s="14">
        <f t="shared" si="145"/>
        <v>713.61286544312111</v>
      </c>
      <c r="M234" s="14">
        <f t="shared" si="145"/>
        <v>1022.1680899159652</v>
      </c>
      <c r="N234" s="187">
        <f t="shared" si="145"/>
        <v>1386.6111822391799</v>
      </c>
      <c r="O234" s="14">
        <f t="shared" si="145"/>
        <v>1420.1175167207045</v>
      </c>
      <c r="P234" s="14">
        <f t="shared" si="145"/>
        <v>1480.8101679911338</v>
      </c>
      <c r="Q234" s="14">
        <f t="shared" si="145"/>
        <v>1469.4611584472791</v>
      </c>
      <c r="R234" s="14">
        <f t="shared" si="145"/>
        <v>1542.3310445304483</v>
      </c>
      <c r="S234" s="14">
        <f t="shared" si="145"/>
        <v>1511.2685988768405</v>
      </c>
      <c r="T234" s="14">
        <f t="shared" si="145"/>
        <v>1580.7694787785554</v>
      </c>
      <c r="U234" s="14">
        <f t="shared" si="145"/>
        <v>1668.8092693133785</v>
      </c>
      <c r="V234" s="14">
        <f t="shared" si="145"/>
        <v>1766.5249333493521</v>
      </c>
      <c r="W234" s="14">
        <f t="shared" si="145"/>
        <v>1721.3298601648453</v>
      </c>
      <c r="X234" s="187">
        <f t="shared" si="145"/>
        <v>1831.8369141669746</v>
      </c>
      <c r="Y234" s="158">
        <f t="shared" si="145"/>
        <v>1948.2597559620499</v>
      </c>
      <c r="Z234" s="158">
        <f t="shared" si="145"/>
        <v>2080.3218799360156</v>
      </c>
      <c r="AA234" s="158">
        <f t="shared" si="145"/>
        <v>2208.0254148636227</v>
      </c>
      <c r="AB234" s="158">
        <f t="shared" si="145"/>
        <v>2341.5728679535559</v>
      </c>
      <c r="AC234" s="158">
        <f t="shared" si="145"/>
        <v>2492.3890539347249</v>
      </c>
      <c r="AD234" s="158">
        <f t="shared" si="145"/>
        <v>2640.3584504940927</v>
      </c>
      <c r="AE234" s="158">
        <f t="shared" si="145"/>
        <v>2801.5693025102109</v>
      </c>
      <c r="AF234" s="158">
        <f t="shared" si="145"/>
        <v>2970.684681926884</v>
      </c>
      <c r="AG234" s="158">
        <f t="shared" si="145"/>
        <v>3141.1788475790304</v>
      </c>
      <c r="AH234" s="187">
        <f t="shared" si="145"/>
        <v>3318.9064346741675</v>
      </c>
    </row>
    <row r="235" spans="1:34">
      <c r="A235" t="s">
        <v>418</v>
      </c>
      <c r="C235" s="296">
        <f t="shared" ref="C235:AH235" si="146">C214-C195</f>
        <v>0</v>
      </c>
      <c r="D235" s="296">
        <f t="shared" si="146"/>
        <v>81.457277402865941</v>
      </c>
      <c r="E235" s="296">
        <f t="shared" si="146"/>
        <v>112.85927062783924</v>
      </c>
      <c r="F235" s="296">
        <f t="shared" si="146"/>
        <v>191.31417474130069</v>
      </c>
      <c r="G235" s="296">
        <f t="shared" si="146"/>
        <v>273.11530040913146</v>
      </c>
      <c r="H235" s="367">
        <f t="shared" si="146"/>
        <v>0</v>
      </c>
      <c r="I235" s="14">
        <f t="shared" si="146"/>
        <v>66.833019954164399</v>
      </c>
      <c r="J235" s="14">
        <f t="shared" si="146"/>
        <v>146.04568706355576</v>
      </c>
      <c r="K235" s="14">
        <f t="shared" si="146"/>
        <v>242.6134987496655</v>
      </c>
      <c r="L235" s="14">
        <f t="shared" si="146"/>
        <v>375.58597504610356</v>
      </c>
      <c r="M235" s="14">
        <f t="shared" si="146"/>
        <v>537.98350063338489</v>
      </c>
      <c r="N235" s="187">
        <f t="shared" si="146"/>
        <v>729.79569845217441</v>
      </c>
      <c r="O235" s="14">
        <f t="shared" si="146"/>
        <v>747.43062619257091</v>
      </c>
      <c r="P235" s="14">
        <f t="shared" si="146"/>
        <v>779.37414235734627</v>
      </c>
      <c r="Q235" s="14">
        <f t="shared" si="146"/>
        <v>773.40099743330109</v>
      </c>
      <c r="R235" s="14">
        <f t="shared" si="146"/>
        <v>811.753587071948</v>
      </c>
      <c r="S235" s="14">
        <f t="shared" si="146"/>
        <v>795.40495078631318</v>
      </c>
      <c r="T235" s="14">
        <f t="shared" si="146"/>
        <v>831.98437808164226</v>
      </c>
      <c r="U235" s="14">
        <f t="shared" si="146"/>
        <v>878.32112724573096</v>
      </c>
      <c r="V235" s="14">
        <f t="shared" si="146"/>
        <v>929.75044243923014</v>
      </c>
      <c r="W235" s="14">
        <f t="shared" si="146"/>
        <v>905.96358220810396</v>
      </c>
      <c r="X235" s="187">
        <f t="shared" si="146"/>
        <v>964.12520936674491</v>
      </c>
      <c r="Y235" s="158">
        <f t="shared" si="146"/>
        <v>1025.400409229364</v>
      </c>
      <c r="Z235" s="158">
        <f t="shared" si="146"/>
        <v>1094.9068116309304</v>
      </c>
      <c r="AA235" s="158">
        <f t="shared" si="146"/>
        <v>1162.1192200554249</v>
      </c>
      <c r="AB235" s="158">
        <f t="shared" si="146"/>
        <v>1232.4073762385697</v>
      </c>
      <c r="AC235" s="158">
        <f t="shared" si="146"/>
        <v>1311.7843410472287</v>
      </c>
      <c r="AD235" s="158">
        <f t="shared" si="146"/>
        <v>1389.6629965482791</v>
      </c>
      <c r="AE235" s="158">
        <f t="shared" si="146"/>
        <v>1474.5108414407764</v>
      </c>
      <c r="AF235" s="158">
        <f t="shared" si="146"/>
        <v>1563.5189657520898</v>
      </c>
      <c r="AG235" s="158">
        <f t="shared" si="146"/>
        <v>1653.2527674677974</v>
      </c>
      <c r="AH235" s="187">
        <f t="shared" si="146"/>
        <v>1746.7936334815449</v>
      </c>
    </row>
    <row r="236" spans="1:34">
      <c r="A236" t="s">
        <v>419</v>
      </c>
      <c r="C236" s="296">
        <f t="shared" ref="C236:AH236" si="147">C215-C196</f>
        <v>-2.7000000000043656E-4</v>
      </c>
      <c r="D236" s="296">
        <f t="shared" si="147"/>
        <v>73.311222002979719</v>
      </c>
      <c r="E236" s="296">
        <f t="shared" si="147"/>
        <v>101.57299529336473</v>
      </c>
      <c r="F236" s="296">
        <f t="shared" si="147"/>
        <v>172.18237816920407</v>
      </c>
      <c r="G236" s="296">
        <f t="shared" si="147"/>
        <v>245.8033294991896</v>
      </c>
      <c r="H236" s="367">
        <f>H215-H196</f>
        <v>-2.7000000000043656E-4</v>
      </c>
      <c r="I236" s="14">
        <f t="shared" si="147"/>
        <v>60.149408319072052</v>
      </c>
      <c r="J236" s="14">
        <f t="shared" si="147"/>
        <v>131.44075886547461</v>
      </c>
      <c r="K236" s="14">
        <f t="shared" si="147"/>
        <v>218.35172819893768</v>
      </c>
      <c r="L236" s="14">
        <f t="shared" si="147"/>
        <v>338.02689039701744</v>
      </c>
      <c r="M236" s="14">
        <f t="shared" si="147"/>
        <v>484.18458928258025</v>
      </c>
      <c r="N236" s="187">
        <f t="shared" si="147"/>
        <v>656.81548378700541</v>
      </c>
      <c r="O236" s="14">
        <f t="shared" si="147"/>
        <v>672.68689052813374</v>
      </c>
      <c r="P236" s="14">
        <f t="shared" si="147"/>
        <v>701.43602563378784</v>
      </c>
      <c r="Q236" s="14">
        <f t="shared" si="147"/>
        <v>696.06016101397813</v>
      </c>
      <c r="R236" s="14">
        <f t="shared" si="147"/>
        <v>730.57745745850002</v>
      </c>
      <c r="S236" s="14">
        <f t="shared" si="147"/>
        <v>715.86364809052759</v>
      </c>
      <c r="T236" s="14">
        <f t="shared" si="147"/>
        <v>748.78510069691299</v>
      </c>
      <c r="U236" s="14">
        <f t="shared" si="147"/>
        <v>790.48814206764723</v>
      </c>
      <c r="V236" s="14">
        <f t="shared" si="147"/>
        <v>836.7744909101217</v>
      </c>
      <c r="W236" s="14">
        <f t="shared" si="147"/>
        <v>815.36627795674144</v>
      </c>
      <c r="X236" s="187">
        <f t="shared" si="147"/>
        <v>867.71170480022931</v>
      </c>
      <c r="Y236" s="158">
        <f t="shared" si="147"/>
        <v>922.85934673268594</v>
      </c>
      <c r="Z236" s="158">
        <f t="shared" si="147"/>
        <v>985.41506830508524</v>
      </c>
      <c r="AA236" s="158">
        <f t="shared" si="147"/>
        <v>1045.9061948081981</v>
      </c>
      <c r="AB236" s="158">
        <f t="shared" si="147"/>
        <v>1109.1654917149863</v>
      </c>
      <c r="AC236" s="158">
        <f t="shared" si="147"/>
        <v>1180.6047128874961</v>
      </c>
      <c r="AD236" s="158">
        <f t="shared" si="147"/>
        <v>1250.6954539458129</v>
      </c>
      <c r="AE236" s="158">
        <f t="shared" si="147"/>
        <v>1327.0584610694348</v>
      </c>
      <c r="AF236" s="158">
        <f t="shared" si="147"/>
        <v>1407.1657161747939</v>
      </c>
      <c r="AG236" s="158">
        <f t="shared" si="147"/>
        <v>1487.926080111233</v>
      </c>
      <c r="AH236" s="187">
        <f t="shared" si="147"/>
        <v>1572.1128011926226</v>
      </c>
    </row>
    <row r="237" spans="1:34">
      <c r="A237" t="s">
        <v>420</v>
      </c>
      <c r="C237" s="296">
        <f t="shared" ref="C237:AH237" si="148">C216-C197</f>
        <v>0</v>
      </c>
      <c r="D237" s="296">
        <f t="shared" si="148"/>
        <v>571.11204075089518</v>
      </c>
      <c r="E237" s="296">
        <f t="shared" si="148"/>
        <v>-37.718542523271026</v>
      </c>
      <c r="F237" s="296">
        <f t="shared" si="148"/>
        <v>31.319835348224842</v>
      </c>
      <c r="G237" s="296">
        <f t="shared" si="148"/>
        <v>-36.899431714326056</v>
      </c>
      <c r="H237" s="367">
        <f t="shared" si="148"/>
        <v>0</v>
      </c>
      <c r="I237" s="14">
        <f t="shared" si="148"/>
        <v>-107.56314782118352</v>
      </c>
      <c r="J237" s="14">
        <f t="shared" si="148"/>
        <v>-167.53906788284894</v>
      </c>
      <c r="K237" s="14">
        <f t="shared" si="148"/>
        <v>-167.18065915070838</v>
      </c>
      <c r="L237" s="14">
        <f t="shared" si="148"/>
        <v>-168.16454957874703</v>
      </c>
      <c r="M237" s="14">
        <f t="shared" si="148"/>
        <v>-87.51076160741286</v>
      </c>
      <c r="N237" s="187">
        <f t="shared" si="148"/>
        <v>0</v>
      </c>
      <c r="O237" s="14">
        <f t="shared" si="148"/>
        <v>9.3664403979719282</v>
      </c>
      <c r="P237" s="14">
        <f t="shared" si="148"/>
        <v>18.23986947477988</v>
      </c>
      <c r="Q237" s="14">
        <f t="shared" si="148"/>
        <v>47.579950796938647</v>
      </c>
      <c r="R237" s="14">
        <f t="shared" si="148"/>
        <v>71.611421388377494</v>
      </c>
      <c r="S237" s="14">
        <f t="shared" si="148"/>
        <v>102.09248851321172</v>
      </c>
      <c r="T237" s="14">
        <f t="shared" si="148"/>
        <v>82.240281549436077</v>
      </c>
      <c r="U237" s="14">
        <f t="shared" si="148"/>
        <v>60.779711431058786</v>
      </c>
      <c r="V237" s="14">
        <f t="shared" si="148"/>
        <v>35.330058587421263</v>
      </c>
      <c r="W237" s="14">
        <f t="shared" si="148"/>
        <v>25.925625592044526</v>
      </c>
      <c r="X237" s="187">
        <f t="shared" si="148"/>
        <v>-2.2165121566076778</v>
      </c>
      <c r="Y237" s="158">
        <f t="shared" si="148"/>
        <v>-13.492245697682847</v>
      </c>
      <c r="Z237" s="158">
        <f t="shared" si="148"/>
        <v>-24.374150223959987</v>
      </c>
      <c r="AA237" s="158">
        <f t="shared" si="148"/>
        <v>-35.242986207868853</v>
      </c>
      <c r="AB237" s="158">
        <f t="shared" si="148"/>
        <v>-40.999003113450271</v>
      </c>
      <c r="AC237" s="158">
        <f t="shared" si="148"/>
        <v>-43.851733446987055</v>
      </c>
      <c r="AD237" s="158">
        <f t="shared" si="148"/>
        <v>-45.961714670147558</v>
      </c>
      <c r="AE237" s="158">
        <f t="shared" si="148"/>
        <v>-32.976023314336999</v>
      </c>
      <c r="AF237" s="158">
        <f t="shared" si="148"/>
        <v>-18.368499688474913</v>
      </c>
      <c r="AG237" s="158">
        <f t="shared" si="148"/>
        <v>-7.1988699023759182</v>
      </c>
      <c r="AH237" s="187">
        <f t="shared" si="148"/>
        <v>-3.2575126423271286</v>
      </c>
    </row>
    <row r="238" spans="1:34">
      <c r="A238" t="s">
        <v>421</v>
      </c>
      <c r="C238" s="296">
        <f t="shared" ref="C238:AH238" si="149">C217-C198</f>
        <v>0</v>
      </c>
      <c r="D238" s="296">
        <f t="shared" si="149"/>
        <v>300.58528460573416</v>
      </c>
      <c r="E238" s="296">
        <f t="shared" si="149"/>
        <v>-19.85186448593231</v>
      </c>
      <c r="F238" s="296">
        <f t="shared" si="149"/>
        <v>16.484123867486687</v>
      </c>
      <c r="G238" s="296">
        <f t="shared" si="149"/>
        <v>-19.420753533855986</v>
      </c>
      <c r="H238" s="367">
        <f t="shared" si="149"/>
        <v>0</v>
      </c>
      <c r="I238" s="14">
        <f t="shared" si="149"/>
        <v>-56.612183063780776</v>
      </c>
      <c r="J238" s="14">
        <f t="shared" si="149"/>
        <v>-88.178456780446595</v>
      </c>
      <c r="K238" s="14">
        <f t="shared" si="149"/>
        <v>-87.989820605635941</v>
      </c>
      <c r="L238" s="14">
        <f t="shared" si="149"/>
        <v>-88.507657673024823</v>
      </c>
      <c r="M238" s="14">
        <f t="shared" si="149"/>
        <v>-46.058295582849496</v>
      </c>
      <c r="N238" s="187">
        <f t="shared" si="149"/>
        <v>0</v>
      </c>
      <c r="O238" s="14">
        <f t="shared" si="149"/>
        <v>4.9297054726166607</v>
      </c>
      <c r="P238" s="14">
        <f t="shared" si="149"/>
        <v>9.5999313025158699</v>
      </c>
      <c r="Q238" s="14">
        <f t="shared" si="149"/>
        <v>25.042079366809503</v>
      </c>
      <c r="R238" s="14">
        <f t="shared" si="149"/>
        <v>37.690221783356719</v>
      </c>
      <c r="S238" s="14">
        <f t="shared" si="149"/>
        <v>53.73288869116459</v>
      </c>
      <c r="T238" s="14">
        <f t="shared" si="149"/>
        <v>43.284358710229299</v>
      </c>
      <c r="U238" s="14">
        <f t="shared" si="149"/>
        <v>31.989321805820055</v>
      </c>
      <c r="V238" s="14">
        <f t="shared" si="149"/>
        <v>18.594767677589971</v>
      </c>
      <c r="W238" s="14">
        <f t="shared" si="149"/>
        <v>13.645066101076281</v>
      </c>
      <c r="X238" s="187">
        <f t="shared" si="149"/>
        <v>-1.1665853455829165</v>
      </c>
      <c r="Y238" s="158">
        <f t="shared" si="149"/>
        <v>-7.1011819461486994</v>
      </c>
      <c r="Z238" s="158">
        <f t="shared" si="149"/>
        <v>-12.828500117873318</v>
      </c>
      <c r="AA238" s="158">
        <f t="shared" si="149"/>
        <v>-18.548940109404612</v>
      </c>
      <c r="AB238" s="158">
        <f t="shared" si="149"/>
        <v>-21.578422691289234</v>
      </c>
      <c r="AC238" s="158">
        <f t="shared" si="149"/>
        <v>-23.079859708940603</v>
      </c>
      <c r="AD238" s="158">
        <f t="shared" si="149"/>
        <v>-24.190376142182686</v>
      </c>
      <c r="AE238" s="158">
        <f t="shared" si="149"/>
        <v>-17.355801744387463</v>
      </c>
      <c r="AF238" s="158">
        <f t="shared" si="149"/>
        <v>-9.6676314149863174</v>
      </c>
      <c r="AG238" s="158">
        <f t="shared" si="149"/>
        <v>-3.7888788959871817</v>
      </c>
      <c r="AH238" s="187">
        <f t="shared" si="149"/>
        <v>-1.7144803380670055</v>
      </c>
    </row>
    <row r="239" spans="1:34">
      <c r="A239" t="s">
        <v>422</v>
      </c>
      <c r="C239" s="296">
        <f t="shared" ref="C239:AH239" si="150">C218-C199</f>
        <v>0</v>
      </c>
      <c r="D239" s="296">
        <f t="shared" si="150"/>
        <v>270.52675614516102</v>
      </c>
      <c r="E239" s="296">
        <f t="shared" si="150"/>
        <v>-17.866678037338716</v>
      </c>
      <c r="F239" s="296">
        <f t="shared" si="150"/>
        <v>14.835711480738155</v>
      </c>
      <c r="G239" s="296">
        <f t="shared" si="150"/>
        <v>-17.478678180470524</v>
      </c>
      <c r="H239" s="367">
        <f t="shared" si="150"/>
        <v>0</v>
      </c>
      <c r="I239" s="14">
        <f t="shared" si="150"/>
        <v>-50.950964757402744</v>
      </c>
      <c r="J239" s="14">
        <f t="shared" si="150"/>
        <v>-79.36061110240189</v>
      </c>
      <c r="K239" s="14">
        <f t="shared" si="150"/>
        <v>-79.190838545072438</v>
      </c>
      <c r="L239" s="14">
        <f t="shared" si="150"/>
        <v>-79.65689190572175</v>
      </c>
      <c r="M239" s="14">
        <f t="shared" si="150"/>
        <v>-41.452466024564274</v>
      </c>
      <c r="N239" s="187">
        <f t="shared" si="150"/>
        <v>0</v>
      </c>
      <c r="O239" s="14">
        <f t="shared" si="150"/>
        <v>4.4367349253548127</v>
      </c>
      <c r="P239" s="14">
        <f t="shared" si="150"/>
        <v>8.6399381722640101</v>
      </c>
      <c r="Q239" s="14">
        <f t="shared" si="150"/>
        <v>22.537871430128689</v>
      </c>
      <c r="R239" s="14">
        <f t="shared" si="150"/>
        <v>33.921199605021229</v>
      </c>
      <c r="S239" s="14">
        <f t="shared" si="150"/>
        <v>48.359599822047585</v>
      </c>
      <c r="T239" s="14">
        <f t="shared" si="150"/>
        <v>38.955922839206778</v>
      </c>
      <c r="U239" s="14">
        <f t="shared" si="150"/>
        <v>28.790389625238276</v>
      </c>
      <c r="V239" s="14">
        <f t="shared" si="150"/>
        <v>16.735290909830837</v>
      </c>
      <c r="W239" s="14">
        <f t="shared" si="150"/>
        <v>12.280559490968699</v>
      </c>
      <c r="X239" s="187">
        <f t="shared" si="150"/>
        <v>-1.049926811025216</v>
      </c>
      <c r="Y239" s="158">
        <f t="shared" si="150"/>
        <v>-6.391063751533693</v>
      </c>
      <c r="Z239" s="158">
        <f t="shared" si="150"/>
        <v>-11.545650106086214</v>
      </c>
      <c r="AA239" s="158">
        <f t="shared" si="150"/>
        <v>-16.694046098464241</v>
      </c>
      <c r="AB239" s="158">
        <f t="shared" si="150"/>
        <v>-19.420580422160583</v>
      </c>
      <c r="AC239" s="158">
        <f t="shared" si="150"/>
        <v>-20.771873738046452</v>
      </c>
      <c r="AD239" s="158">
        <f t="shared" si="150"/>
        <v>-21.771338527964417</v>
      </c>
      <c r="AE239" s="158">
        <f t="shared" si="150"/>
        <v>-15.620221569949081</v>
      </c>
      <c r="AF239" s="158">
        <f t="shared" si="150"/>
        <v>-8.7008682734876857</v>
      </c>
      <c r="AG239" s="158">
        <f t="shared" si="150"/>
        <v>-3.4099910063882817</v>
      </c>
      <c r="AH239" s="187">
        <f t="shared" si="150"/>
        <v>-1.5430323042605778</v>
      </c>
    </row>
    <row r="240" spans="1:34">
      <c r="A240" t="s">
        <v>394</v>
      </c>
      <c r="C240" s="296">
        <f>C219-C200</f>
        <v>4.5979999999999563</v>
      </c>
      <c r="D240" s="296">
        <f t="shared" ref="D240:AH240" si="151">D219-D200+D249+D252</f>
        <v>-513.48277998952835</v>
      </c>
      <c r="E240" s="296">
        <f t="shared" si="151"/>
        <v>-84.771869547808819</v>
      </c>
      <c r="F240" s="296">
        <f t="shared" si="151"/>
        <v>-207.30365875730058</v>
      </c>
      <c r="G240" s="296">
        <f t="shared" si="151"/>
        <v>-247.81663859367836</v>
      </c>
      <c r="H240" s="367">
        <f t="shared" si="151"/>
        <v>-0.27170000000296568</v>
      </c>
      <c r="I240" s="14">
        <f t="shared" si="151"/>
        <v>15.245357186153342</v>
      </c>
      <c r="J240" s="14">
        <f t="shared" si="151"/>
        <v>-17.189477177176741</v>
      </c>
      <c r="K240" s="14">
        <f t="shared" si="151"/>
        <v>-114.03370918267319</v>
      </c>
      <c r="L240" s="14">
        <f t="shared" si="151"/>
        <v>-246.06344297719443</v>
      </c>
      <c r="M240" s="14">
        <f t="shared" si="151"/>
        <v>-472.0336642937018</v>
      </c>
      <c r="N240" s="187">
        <f t="shared" si="151"/>
        <v>-733.00911495113724</v>
      </c>
      <c r="O240" s="14">
        <f t="shared" si="151"/>
        <v>-758.40490402872638</v>
      </c>
      <c r="P240" s="14">
        <f t="shared" si="151"/>
        <v>-797.65104264009278</v>
      </c>
      <c r="Q240" s="14">
        <f t="shared" si="151"/>
        <v>-815.41911468220405</v>
      </c>
      <c r="R240" s="14">
        <f t="shared" si="151"/>
        <v>-872.86214174777524</v>
      </c>
      <c r="S240" s="14">
        <f t="shared" si="151"/>
        <v>-880.86290586012092</v>
      </c>
      <c r="T240" s="14">
        <f t="shared" si="151"/>
        <v>-902.7430274586668</v>
      </c>
      <c r="U240" s="14">
        <f t="shared" si="151"/>
        <v>-932.94850218904048</v>
      </c>
      <c r="V240" s="14">
        <f t="shared" si="151"/>
        <v>-965.53140991405508</v>
      </c>
      <c r="W240" s="14">
        <f t="shared" si="151"/>
        <v>-935.71459985116235</v>
      </c>
      <c r="X240" s="187">
        <f t="shared" si="151"/>
        <v>-972.98890437970931</v>
      </c>
      <c r="Y240" s="158">
        <f t="shared" si="151"/>
        <v>-1025.981943122486</v>
      </c>
      <c r="Z240" s="158">
        <f t="shared" si="151"/>
        <v>-1087.7338709208652</v>
      </c>
      <c r="AA240" s="158">
        <f t="shared" si="151"/>
        <v>-1146.9578139230016</v>
      </c>
      <c r="AB240" s="158">
        <f t="shared" si="151"/>
        <v>-1213.2170876443433</v>
      </c>
      <c r="AC240" s="158">
        <f t="shared" si="151"/>
        <v>-1291.1072233222676</v>
      </c>
      <c r="AD240" s="158">
        <f t="shared" si="151"/>
        <v>-1368.0313824176319</v>
      </c>
      <c r="AE240" s="158">
        <f t="shared" si="151"/>
        <v>-1463.3900158004435</v>
      </c>
      <c r="AF240" s="158">
        <f t="shared" si="151"/>
        <v>-1564.4171991238873</v>
      </c>
      <c r="AG240" s="158">
        <f t="shared" si="151"/>
        <v>-1663.3684275975365</v>
      </c>
      <c r="AH240" s="187">
        <f t="shared" si="151"/>
        <v>-1760.3691217986016</v>
      </c>
    </row>
    <row r="241" spans="1:34">
      <c r="A241" t="s">
        <v>423</v>
      </c>
      <c r="C241" s="296">
        <f>C220-C201</f>
        <v>2.419999999999618</v>
      </c>
      <c r="D241" s="296">
        <f t="shared" ref="D241:AH241" si="152">D220-D201+D250+D253</f>
        <v>-270.25409473133095</v>
      </c>
      <c r="E241" s="296">
        <f t="shared" si="152"/>
        <v>-44.61677344621512</v>
      </c>
      <c r="F241" s="296">
        <f t="shared" si="152"/>
        <v>-109.10718881963203</v>
      </c>
      <c r="G241" s="296">
        <f t="shared" si="152"/>
        <v>-130.42980978614651</v>
      </c>
      <c r="H241" s="367">
        <f t="shared" si="152"/>
        <v>-0.1430000000009386</v>
      </c>
      <c r="I241" s="14">
        <f t="shared" si="152"/>
        <v>8.0238722032381702</v>
      </c>
      <c r="J241" s="14">
        <f t="shared" si="152"/>
        <v>-9.0470932511457249</v>
      </c>
      <c r="K241" s="14">
        <f t="shared" si="152"/>
        <v>-60.017741675091202</v>
      </c>
      <c r="L241" s="14">
        <f t="shared" si="152"/>
        <v>-129.50707525115513</v>
      </c>
      <c r="M241" s="14">
        <f t="shared" si="152"/>
        <v>-248.43877068089569</v>
      </c>
      <c r="N241" s="187">
        <f t="shared" si="152"/>
        <v>-385.79427102691488</v>
      </c>
      <c r="O241" s="14">
        <f t="shared" si="152"/>
        <v>-399.16047580459281</v>
      </c>
      <c r="P241" s="14">
        <f t="shared" si="152"/>
        <v>-419.81633823162792</v>
      </c>
      <c r="Q241" s="14">
        <f t="shared" si="152"/>
        <v>-429.16795509589701</v>
      </c>
      <c r="R241" s="14">
        <f t="shared" si="152"/>
        <v>-459.40112723567108</v>
      </c>
      <c r="S241" s="14">
        <f t="shared" si="152"/>
        <v>-463.61205571585333</v>
      </c>
      <c r="T241" s="14">
        <f t="shared" si="152"/>
        <v>-475.12790918877181</v>
      </c>
      <c r="U241" s="14">
        <f t="shared" si="152"/>
        <v>-491.02552746791571</v>
      </c>
      <c r="V241" s="14">
        <f t="shared" si="152"/>
        <v>-508.17442627055516</v>
      </c>
      <c r="W241" s="14">
        <f t="shared" si="152"/>
        <v>-492.48136834271691</v>
      </c>
      <c r="X241" s="187">
        <f t="shared" si="152"/>
        <v>-512.09942335774167</v>
      </c>
      <c r="Y241" s="158">
        <f t="shared" si="152"/>
        <v>-539.99049638025599</v>
      </c>
      <c r="Z241" s="158">
        <f t="shared" si="152"/>
        <v>-572.49151101098141</v>
      </c>
      <c r="AA241" s="158">
        <f t="shared" si="152"/>
        <v>-603.66200732789548</v>
      </c>
      <c r="AB241" s="158">
        <f t="shared" si="152"/>
        <v>-638.53530928649661</v>
      </c>
      <c r="AC241" s="158">
        <f t="shared" si="152"/>
        <v>-679.53011753803548</v>
      </c>
      <c r="AD241" s="158">
        <f t="shared" si="152"/>
        <v>-720.0165170619116</v>
      </c>
      <c r="AE241" s="158">
        <f t="shared" si="152"/>
        <v>-770.20527147391795</v>
      </c>
      <c r="AF241" s="158">
        <f t="shared" si="152"/>
        <v>-823.37747322309906</v>
      </c>
      <c r="AG241" s="158">
        <f t="shared" si="152"/>
        <v>-875.45706715659799</v>
      </c>
      <c r="AH241" s="187">
        <f t="shared" si="152"/>
        <v>-926.51006410452646</v>
      </c>
    </row>
    <row r="242" spans="1:34">
      <c r="A242" t="s">
        <v>424</v>
      </c>
      <c r="C242" s="296">
        <f>C221-C202</f>
        <v>2.1779999999998836</v>
      </c>
      <c r="D242" s="296">
        <f t="shared" ref="D242:AH242" si="153">D221-D202+D251+D254</f>
        <v>-243.22868525819786</v>
      </c>
      <c r="E242" s="296">
        <f t="shared" si="153"/>
        <v>-40.155096101593244</v>
      </c>
      <c r="F242" s="296">
        <f t="shared" si="153"/>
        <v>-98.196469937669008</v>
      </c>
      <c r="G242" s="296">
        <f t="shared" si="153"/>
        <v>-117.38682880753231</v>
      </c>
      <c r="H242" s="367">
        <f t="shared" si="153"/>
        <v>-0.12870000000111759</v>
      </c>
      <c r="I242" s="14">
        <f t="shared" si="153"/>
        <v>7.221484982914717</v>
      </c>
      <c r="J242" s="14">
        <f t="shared" si="153"/>
        <v>-8.142383926031016</v>
      </c>
      <c r="K242" s="14">
        <f t="shared" si="153"/>
        <v>-54.015967507581991</v>
      </c>
      <c r="L242" s="14">
        <f t="shared" si="153"/>
        <v>-116.5563677260393</v>
      </c>
      <c r="M242" s="14">
        <f t="shared" si="153"/>
        <v>-223.59489361280657</v>
      </c>
      <c r="N242" s="187">
        <f t="shared" si="153"/>
        <v>-347.21484392422326</v>
      </c>
      <c r="O242" s="14">
        <f t="shared" si="153"/>
        <v>-359.24442822413312</v>
      </c>
      <c r="P242" s="14">
        <f t="shared" si="153"/>
        <v>-377.83470440846486</v>
      </c>
      <c r="Q242" s="14">
        <f t="shared" si="153"/>
        <v>-386.25115958630704</v>
      </c>
      <c r="R242" s="14">
        <f t="shared" si="153"/>
        <v>-413.46101451210416</v>
      </c>
      <c r="S242" s="14">
        <f t="shared" si="153"/>
        <v>-417.25085014426804</v>
      </c>
      <c r="T242" s="14">
        <f t="shared" si="153"/>
        <v>-427.61511826989499</v>
      </c>
      <c r="U242" s="14">
        <f t="shared" si="153"/>
        <v>-441.92297472112477</v>
      </c>
      <c r="V242" s="14">
        <f t="shared" si="153"/>
        <v>-457.35698364350037</v>
      </c>
      <c r="W242" s="14">
        <f t="shared" si="153"/>
        <v>-443.23323150844499</v>
      </c>
      <c r="X242" s="187">
        <f t="shared" si="153"/>
        <v>-460.88948102196719</v>
      </c>
      <c r="Y242" s="158">
        <f t="shared" si="153"/>
        <v>-485.99144674223044</v>
      </c>
      <c r="Z242" s="158">
        <f t="shared" si="153"/>
        <v>-515.24235990988382</v>
      </c>
      <c r="AA242" s="158">
        <f t="shared" si="153"/>
        <v>-543.29580659510611</v>
      </c>
      <c r="AB242" s="158">
        <f t="shared" si="153"/>
        <v>-574.68177835784627</v>
      </c>
      <c r="AC242" s="158">
        <f t="shared" si="153"/>
        <v>-611.57710578423212</v>
      </c>
      <c r="AD242" s="158">
        <f t="shared" si="153"/>
        <v>-648.0148653557203</v>
      </c>
      <c r="AE242" s="158">
        <f t="shared" si="153"/>
        <v>-693.18474432652647</v>
      </c>
      <c r="AF242" s="158">
        <f t="shared" si="153"/>
        <v>-741.03972590078911</v>
      </c>
      <c r="AG242" s="158">
        <f t="shared" si="153"/>
        <v>-787.9113604409381</v>
      </c>
      <c r="AH242" s="187">
        <f t="shared" si="153"/>
        <v>-833.85905769407418</v>
      </c>
    </row>
    <row r="243" spans="1:34" s="1" customFormat="1">
      <c r="A243" s="1" t="s">
        <v>405</v>
      </c>
      <c r="B243" s="13"/>
      <c r="C243" s="306">
        <f>C222-C203</f>
        <v>4.5977300000013201</v>
      </c>
      <c r="D243" s="306">
        <f t="shared" ref="D243:AH243" si="154">D222-D203+D249+D252</f>
        <v>212.39776016721407</v>
      </c>
      <c r="E243" s="306">
        <f t="shared" si="154"/>
        <v>91.941853850124971</v>
      </c>
      <c r="F243" s="306">
        <f t="shared" si="154"/>
        <v>187.51272950142993</v>
      </c>
      <c r="G243" s="306">
        <f t="shared" si="154"/>
        <v>234.20255960031864</v>
      </c>
      <c r="H243" s="370">
        <f t="shared" si="154"/>
        <v>-0.27197000000342086</v>
      </c>
      <c r="I243" s="15">
        <f t="shared" si="154"/>
        <v>34.664637638206841</v>
      </c>
      <c r="J243" s="15">
        <f t="shared" si="154"/>
        <v>92.757900869006335</v>
      </c>
      <c r="K243" s="15">
        <f t="shared" si="154"/>
        <v>179.75085861522166</v>
      </c>
      <c r="L243" s="15">
        <f t="shared" si="154"/>
        <v>299.38487288717988</v>
      </c>
      <c r="M243" s="15">
        <f t="shared" si="154"/>
        <v>462.62366401485087</v>
      </c>
      <c r="N243" s="190">
        <f t="shared" si="154"/>
        <v>653.60206728804224</v>
      </c>
      <c r="O243" s="15">
        <f t="shared" si="154"/>
        <v>671.07905308995032</v>
      </c>
      <c r="P243" s="15">
        <f t="shared" si="154"/>
        <v>701.39899482582041</v>
      </c>
      <c r="Q243" s="15">
        <f t="shared" si="154"/>
        <v>701.62199456201233</v>
      </c>
      <c r="R243" s="15">
        <f t="shared" si="154"/>
        <v>741.08032417104914</v>
      </c>
      <c r="S243" s="15">
        <f t="shared" si="154"/>
        <v>732.49818152993066</v>
      </c>
      <c r="T243" s="15">
        <f t="shared" si="154"/>
        <v>760.26673286932601</v>
      </c>
      <c r="U243" s="15">
        <f t="shared" si="154"/>
        <v>796.64047855539684</v>
      </c>
      <c r="V243" s="15">
        <f t="shared" si="154"/>
        <v>836.32358202271644</v>
      </c>
      <c r="W243" s="15">
        <f t="shared" si="154"/>
        <v>811.54088590572792</v>
      </c>
      <c r="X243" s="190">
        <f t="shared" si="154"/>
        <v>856.63149763065667</v>
      </c>
      <c r="Y243" s="130">
        <f t="shared" si="154"/>
        <v>908.78556714188016</v>
      </c>
      <c r="Z243" s="130">
        <f t="shared" si="154"/>
        <v>968.21385879118861</v>
      </c>
      <c r="AA243" s="130">
        <f t="shared" si="154"/>
        <v>1025.8246147327518</v>
      </c>
      <c r="AB243" s="130">
        <f t="shared" si="154"/>
        <v>1087.3567771957642</v>
      </c>
      <c r="AC243" s="130">
        <f t="shared" si="154"/>
        <v>1157.430097165472</v>
      </c>
      <c r="AD243" s="130">
        <f t="shared" si="154"/>
        <v>1226.365353406316</v>
      </c>
      <c r="AE243" s="130">
        <f t="shared" si="154"/>
        <v>1305.2032633954295</v>
      </c>
      <c r="AF243" s="130">
        <f t="shared" si="154"/>
        <v>1387.8989831145227</v>
      </c>
      <c r="AG243" s="130">
        <f t="shared" si="154"/>
        <v>1470.6115500791166</v>
      </c>
      <c r="AH243" s="190">
        <f t="shared" si="154"/>
        <v>1555.279800233242</v>
      </c>
    </row>
    <row r="244" spans="1:34">
      <c r="A244" t="s">
        <v>445</v>
      </c>
      <c r="C244" s="296"/>
      <c r="D244" s="296">
        <f>D231+D234</f>
        <v>154.76849940584566</v>
      </c>
      <c r="E244" s="296">
        <f t="shared" ref="E244:N244" si="155">E231+E234</f>
        <v>214.43226592120402</v>
      </c>
      <c r="F244" s="296">
        <f t="shared" si="155"/>
        <v>363.49655291050476</v>
      </c>
      <c r="G244" s="296">
        <f t="shared" si="155"/>
        <v>518.91862990832124</v>
      </c>
      <c r="H244" s="367">
        <f t="shared" si="155"/>
        <v>-2.7000000000043656E-4</v>
      </c>
      <c r="I244" s="14">
        <f t="shared" si="155"/>
        <v>126.98242827323634</v>
      </c>
      <c r="J244" s="14">
        <f t="shared" si="155"/>
        <v>277.48644592903042</v>
      </c>
      <c r="K244" s="14">
        <f t="shared" si="155"/>
        <v>460.96522694860323</v>
      </c>
      <c r="L244" s="14">
        <f t="shared" si="155"/>
        <v>713.61286544312111</v>
      </c>
      <c r="M244" s="14">
        <f t="shared" si="155"/>
        <v>1022.1680899159652</v>
      </c>
      <c r="N244" s="187">
        <f t="shared" si="155"/>
        <v>1386.6111822391799</v>
      </c>
      <c r="O244" s="14">
        <f>O231+O234</f>
        <v>1420.1175167207045</v>
      </c>
      <c r="P244" s="14">
        <f t="shared" ref="P244:AH244" si="156">P231+P234</f>
        <v>1480.8101679911338</v>
      </c>
      <c r="Q244" s="14">
        <f t="shared" si="156"/>
        <v>1469.4611584472791</v>
      </c>
      <c r="R244" s="14">
        <f t="shared" si="156"/>
        <v>1542.3310445304483</v>
      </c>
      <c r="S244" s="14">
        <f t="shared" si="156"/>
        <v>1511.2685988768405</v>
      </c>
      <c r="T244" s="14">
        <f t="shared" si="156"/>
        <v>1580.7694787785554</v>
      </c>
      <c r="U244" s="14">
        <f t="shared" si="156"/>
        <v>1668.8092693133785</v>
      </c>
      <c r="V244" s="14">
        <f t="shared" si="156"/>
        <v>1766.5249333493521</v>
      </c>
      <c r="W244" s="14">
        <f t="shared" si="156"/>
        <v>1721.3298601648453</v>
      </c>
      <c r="X244" s="187">
        <f t="shared" si="156"/>
        <v>1831.8369141669746</v>
      </c>
      <c r="Y244" s="158">
        <f t="shared" si="156"/>
        <v>1948.2597559620499</v>
      </c>
      <c r="Z244" s="158">
        <f t="shared" si="156"/>
        <v>2080.3218799360156</v>
      </c>
      <c r="AA244" s="158">
        <f t="shared" si="156"/>
        <v>2208.0254148636227</v>
      </c>
      <c r="AB244" s="158">
        <f t="shared" si="156"/>
        <v>2341.5728679535559</v>
      </c>
      <c r="AC244" s="158">
        <f t="shared" si="156"/>
        <v>2492.3890539347249</v>
      </c>
      <c r="AD244" s="158">
        <f t="shared" si="156"/>
        <v>2640.3584504940927</v>
      </c>
      <c r="AE244" s="158">
        <f t="shared" si="156"/>
        <v>2801.5693025102109</v>
      </c>
      <c r="AF244" s="158">
        <f t="shared" si="156"/>
        <v>2970.684681926884</v>
      </c>
      <c r="AG244" s="158">
        <f t="shared" si="156"/>
        <v>3141.1788475790304</v>
      </c>
      <c r="AH244" s="187">
        <f t="shared" si="156"/>
        <v>3318.9064346741675</v>
      </c>
    </row>
    <row r="245" spans="1:34">
      <c r="A245" t="s">
        <v>446</v>
      </c>
      <c r="D245" s="296">
        <f>D231+D234+D237</f>
        <v>725.88054015674084</v>
      </c>
      <c r="E245" s="296">
        <f t="shared" ref="E245:N245" si="157">E231+E234+E237</f>
        <v>176.71372339793299</v>
      </c>
      <c r="F245" s="296">
        <f t="shared" si="157"/>
        <v>394.8163882587296</v>
      </c>
      <c r="G245" s="296">
        <f t="shared" si="157"/>
        <v>482.01919819399518</v>
      </c>
      <c r="H245" s="367">
        <f t="shared" si="157"/>
        <v>-2.7000000000043656E-4</v>
      </c>
      <c r="I245" s="14">
        <f t="shared" si="157"/>
        <v>19.419280452052817</v>
      </c>
      <c r="J245" s="14">
        <f t="shared" si="157"/>
        <v>109.94737804618148</v>
      </c>
      <c r="K245" s="14">
        <f t="shared" si="157"/>
        <v>293.78456779789485</v>
      </c>
      <c r="L245" s="14">
        <f t="shared" si="157"/>
        <v>545.44831586437408</v>
      </c>
      <c r="M245" s="14">
        <f t="shared" si="157"/>
        <v>934.65732830855234</v>
      </c>
      <c r="N245" s="187">
        <f t="shared" si="157"/>
        <v>1386.6111822391799</v>
      </c>
      <c r="O245" s="14">
        <f>O231+O234+O237</f>
        <v>1429.4839571186765</v>
      </c>
      <c r="P245" s="14">
        <f t="shared" ref="P245:AH245" si="158">P231+P234+P237</f>
        <v>1499.0500374659136</v>
      </c>
      <c r="Q245" s="14">
        <f t="shared" si="158"/>
        <v>1517.0411092442178</v>
      </c>
      <c r="R245" s="14">
        <f t="shared" si="158"/>
        <v>1613.9424659188257</v>
      </c>
      <c r="S245" s="14">
        <f t="shared" si="158"/>
        <v>1613.3610873900523</v>
      </c>
      <c r="T245" s="14">
        <f t="shared" si="158"/>
        <v>1663.0097603279914</v>
      </c>
      <c r="U245" s="14">
        <f t="shared" si="158"/>
        <v>1729.5889807444373</v>
      </c>
      <c r="V245" s="14">
        <f t="shared" si="158"/>
        <v>1801.8549919367733</v>
      </c>
      <c r="W245" s="14">
        <f t="shared" si="158"/>
        <v>1747.2554857568898</v>
      </c>
      <c r="X245" s="187">
        <f t="shared" si="158"/>
        <v>1829.6204020103669</v>
      </c>
      <c r="Y245" s="158">
        <f t="shared" si="158"/>
        <v>1934.767510264367</v>
      </c>
      <c r="Z245" s="158">
        <f t="shared" si="158"/>
        <v>2055.9477297120557</v>
      </c>
      <c r="AA245" s="158">
        <f t="shared" si="158"/>
        <v>2172.7824286557538</v>
      </c>
      <c r="AB245" s="158">
        <f t="shared" si="158"/>
        <v>2300.5738648401057</v>
      </c>
      <c r="AC245" s="158">
        <f t="shared" si="158"/>
        <v>2448.5373204877378</v>
      </c>
      <c r="AD245" s="158">
        <f t="shared" si="158"/>
        <v>2594.3967358239452</v>
      </c>
      <c r="AE245" s="158">
        <f t="shared" si="158"/>
        <v>2768.5932791958739</v>
      </c>
      <c r="AF245" s="158">
        <f t="shared" si="158"/>
        <v>2952.3161822384091</v>
      </c>
      <c r="AG245" s="158">
        <f t="shared" si="158"/>
        <v>3133.9799776766545</v>
      </c>
      <c r="AH245" s="187">
        <f t="shared" si="158"/>
        <v>3315.6489220318404</v>
      </c>
    </row>
    <row r="246" spans="1:34" s="1" customFormat="1">
      <c r="A246" s="1" t="s">
        <v>449</v>
      </c>
      <c r="B246" s="13"/>
      <c r="C246" s="293"/>
      <c r="D246" s="306">
        <f>D243</f>
        <v>212.39776016721407</v>
      </c>
      <c r="E246" s="306">
        <f>D246+E243</f>
        <v>304.33961401733904</v>
      </c>
      <c r="F246" s="306">
        <f>E246+F243</f>
        <v>491.85234351876898</v>
      </c>
      <c r="G246" s="306">
        <f>F246+G243</f>
        <v>726.05490311908761</v>
      </c>
      <c r="H246" s="370"/>
      <c r="I246" s="15">
        <f t="shared" ref="I246:X246" si="159">H246+I243</f>
        <v>34.664637638206841</v>
      </c>
      <c r="J246" s="15">
        <f t="shared" si="159"/>
        <v>127.42253850721318</v>
      </c>
      <c r="K246" s="15">
        <f t="shared" si="159"/>
        <v>307.17339712243484</v>
      </c>
      <c r="L246" s="15">
        <f t="shared" si="159"/>
        <v>606.55827000961472</v>
      </c>
      <c r="M246" s="15">
        <f t="shared" si="159"/>
        <v>1069.1819340244656</v>
      </c>
      <c r="N246" s="190">
        <f t="shared" si="159"/>
        <v>1722.7840013125078</v>
      </c>
      <c r="O246" s="15">
        <f t="shared" si="159"/>
        <v>2393.8630544024581</v>
      </c>
      <c r="P246" s="15">
        <f t="shared" si="159"/>
        <v>3095.2620492282786</v>
      </c>
      <c r="Q246" s="15">
        <f t="shared" si="159"/>
        <v>3796.8840437902909</v>
      </c>
      <c r="R246" s="15">
        <f t="shared" si="159"/>
        <v>4537.96436796134</v>
      </c>
      <c r="S246" s="15">
        <f t="shared" si="159"/>
        <v>5270.4625494912707</v>
      </c>
      <c r="T246" s="15">
        <f t="shared" si="159"/>
        <v>6030.7292823605967</v>
      </c>
      <c r="U246" s="15">
        <f t="shared" si="159"/>
        <v>6827.3697609159935</v>
      </c>
      <c r="V246" s="15">
        <f t="shared" si="159"/>
        <v>7663.69334293871</v>
      </c>
      <c r="W246" s="15">
        <f t="shared" si="159"/>
        <v>8475.2342288444379</v>
      </c>
      <c r="X246" s="190">
        <f t="shared" si="159"/>
        <v>9331.8657264750946</v>
      </c>
      <c r="Y246" s="130">
        <f t="shared" ref="Y246:AH246" si="160">X246+Y243</f>
        <v>10240.651293616975</v>
      </c>
      <c r="Z246" s="130">
        <f t="shared" si="160"/>
        <v>11208.865152408163</v>
      </c>
      <c r="AA246" s="130">
        <f t="shared" si="160"/>
        <v>12234.689767140915</v>
      </c>
      <c r="AB246" s="130">
        <f t="shared" si="160"/>
        <v>13322.046544336679</v>
      </c>
      <c r="AC246" s="130">
        <f t="shared" si="160"/>
        <v>14479.476641502151</v>
      </c>
      <c r="AD246" s="130">
        <f t="shared" si="160"/>
        <v>15705.841994908467</v>
      </c>
      <c r="AE246" s="130">
        <f t="shared" si="160"/>
        <v>17011.045258303897</v>
      </c>
      <c r="AF246" s="130">
        <f t="shared" si="160"/>
        <v>18398.94424141842</v>
      </c>
      <c r="AG246" s="130">
        <f t="shared" si="160"/>
        <v>19869.555791497536</v>
      </c>
      <c r="AH246" s="190">
        <f t="shared" si="160"/>
        <v>21424.835591730778</v>
      </c>
    </row>
    <row r="247" spans="1:34">
      <c r="A247" t="s">
        <v>458</v>
      </c>
      <c r="D247" s="308" t="b">
        <f t="shared" ref="D247:AH247" si="161">IF(D185-D246&lt;1,TRUE,FALSE)</f>
        <v>1</v>
      </c>
      <c r="E247" s="308" t="b">
        <f t="shared" si="161"/>
        <v>1</v>
      </c>
      <c r="F247" s="308" t="b">
        <f t="shared" si="161"/>
        <v>1</v>
      </c>
      <c r="G247" s="308" t="b">
        <f t="shared" si="161"/>
        <v>1</v>
      </c>
      <c r="H247" s="373"/>
      <c r="I247" s="133" t="b">
        <f t="shared" si="161"/>
        <v>1</v>
      </c>
      <c r="J247" s="133" t="b">
        <f t="shared" si="161"/>
        <v>1</v>
      </c>
      <c r="K247" s="133" t="b">
        <f t="shared" si="161"/>
        <v>1</v>
      </c>
      <c r="L247" s="133" t="b">
        <f t="shared" si="161"/>
        <v>1</v>
      </c>
      <c r="M247" s="133" t="b">
        <f t="shared" si="161"/>
        <v>1</v>
      </c>
      <c r="N247" s="194" t="b">
        <f t="shared" si="161"/>
        <v>1</v>
      </c>
      <c r="O247" s="133" t="b">
        <f t="shared" si="161"/>
        <v>1</v>
      </c>
      <c r="P247" s="133" t="b">
        <f t="shared" si="161"/>
        <v>1</v>
      </c>
      <c r="Q247" s="133" t="b">
        <f t="shared" si="161"/>
        <v>1</v>
      </c>
      <c r="R247" s="133" t="b">
        <f t="shared" si="161"/>
        <v>1</v>
      </c>
      <c r="S247" s="133" t="b">
        <f t="shared" si="161"/>
        <v>1</v>
      </c>
      <c r="T247" s="133" t="b">
        <f t="shared" si="161"/>
        <v>1</v>
      </c>
      <c r="U247" s="133" t="b">
        <f t="shared" si="161"/>
        <v>1</v>
      </c>
      <c r="V247" s="133" t="b">
        <f t="shared" si="161"/>
        <v>1</v>
      </c>
      <c r="W247" s="133" t="b">
        <f t="shared" si="161"/>
        <v>1</v>
      </c>
      <c r="X247" s="194" t="b">
        <f t="shared" si="161"/>
        <v>1</v>
      </c>
      <c r="Y247" s="255" t="b">
        <f t="shared" si="161"/>
        <v>1</v>
      </c>
      <c r="Z247" s="255" t="b">
        <f t="shared" si="161"/>
        <v>1</v>
      </c>
      <c r="AA247" s="255" t="b">
        <f t="shared" si="161"/>
        <v>1</v>
      </c>
      <c r="AB247" s="255" t="b">
        <f t="shared" si="161"/>
        <v>1</v>
      </c>
      <c r="AC247" s="255" t="b">
        <f t="shared" si="161"/>
        <v>1</v>
      </c>
      <c r="AD247" s="255" t="b">
        <f t="shared" si="161"/>
        <v>1</v>
      </c>
      <c r="AE247" s="255" t="b">
        <f t="shared" si="161"/>
        <v>1</v>
      </c>
      <c r="AF247" s="255" t="b">
        <f t="shared" si="161"/>
        <v>1</v>
      </c>
      <c r="AG247" s="255" t="b">
        <f t="shared" si="161"/>
        <v>1</v>
      </c>
      <c r="AH247" s="194" t="b">
        <f t="shared" si="161"/>
        <v>1</v>
      </c>
    </row>
    <row r="248" spans="1:34">
      <c r="A248" t="s">
        <v>439</v>
      </c>
    </row>
    <row r="249" spans="1:34" s="1" customFormat="1">
      <c r="A249" s="1" t="s">
        <v>440</v>
      </c>
      <c r="B249" s="13"/>
      <c r="C249" s="293"/>
      <c r="D249" s="306">
        <f>D$29*(EIA_electricity_aeo2014!F$60) * Inputs!$M$60</f>
        <v>0</v>
      </c>
      <c r="E249" s="306">
        <f>E$29*(EIA_electricity_aeo2014!G$60) * Inputs!$M$60</f>
        <v>0</v>
      </c>
      <c r="F249" s="306">
        <f>F$29*(EIA_electricity_aeo2014!H$60) * Inputs!$M$60</f>
        <v>0</v>
      </c>
      <c r="G249" s="306">
        <f>G$29*(EIA_electricity_aeo2014!I$60) * Inputs!$M$60</f>
        <v>0</v>
      </c>
      <c r="H249" s="370">
        <f>H$29*(EIA_electricity_aeo2014!J$60) * Inputs!$M$60</f>
        <v>0</v>
      </c>
      <c r="I249" s="15">
        <f>I$29*(EIA_electricity_aeo2014!K$60) * Inputs!$M$60</f>
        <v>0</v>
      </c>
      <c r="J249" s="15">
        <f>J$29*(EIA_electricity_aeo2014!L$60) * Inputs!$M$60</f>
        <v>0</v>
      </c>
      <c r="K249" s="15">
        <f>K$29*(EIA_electricity_aeo2014!M$60) * Inputs!$M$60</f>
        <v>0</v>
      </c>
      <c r="L249" s="15">
        <f>L$29*(EIA_electricity_aeo2014!N$60) * Inputs!$M$60</f>
        <v>0</v>
      </c>
      <c r="M249" s="15">
        <f>M$29*(EIA_electricity_aeo2014!O$60) * Inputs!$M$60</f>
        <v>0</v>
      </c>
      <c r="N249" s="190">
        <f>N$29*(EIA_electricity_aeo2014!P$60) * Inputs!$M$60</f>
        <v>0</v>
      </c>
      <c r="O249" s="15">
        <f>O$29*(EIA_electricity_aeo2014!Q$60) * Inputs!$M$60</f>
        <v>0</v>
      </c>
      <c r="P249" s="15">
        <f>P$29*(EIA_electricity_aeo2014!R$60) * Inputs!$M$60</f>
        <v>0</v>
      </c>
      <c r="Q249" s="15">
        <f>Q$29*(EIA_electricity_aeo2014!S$60) * Inputs!$M$60</f>
        <v>0</v>
      </c>
      <c r="R249" s="15">
        <f>R$29*(EIA_electricity_aeo2014!T$60) * Inputs!$M$60</f>
        <v>0</v>
      </c>
      <c r="S249" s="15">
        <f>S$29*(EIA_electricity_aeo2014!U$60) * Inputs!$M$60</f>
        <v>0</v>
      </c>
      <c r="T249" s="15">
        <f>T$29*(EIA_electricity_aeo2014!V$60) * Inputs!$M$60</f>
        <v>0</v>
      </c>
      <c r="U249" s="15">
        <f>U$29*(EIA_electricity_aeo2014!W$60) * Inputs!$M$60</f>
        <v>0</v>
      </c>
      <c r="V249" s="15">
        <f>V$29*(EIA_electricity_aeo2014!X$60) * Inputs!$M$60</f>
        <v>0</v>
      </c>
      <c r="W249" s="15">
        <f>W$29*(EIA_electricity_aeo2014!Y$60) * Inputs!$M$60</f>
        <v>0</v>
      </c>
      <c r="X249" s="190">
        <f>X$29*(EIA_electricity_aeo2014!Z$60) * Inputs!$M$60</f>
        <v>0</v>
      </c>
      <c r="Y249" s="130">
        <f>Y$29*(EIA_electricity_aeo2014!AA$60) * Inputs!$M$60</f>
        <v>0</v>
      </c>
      <c r="Z249" s="130">
        <f>Z$29*(EIA_electricity_aeo2014!AB$60) * Inputs!$M$60</f>
        <v>0</v>
      </c>
      <c r="AA249" s="130">
        <f>AA$29*(EIA_electricity_aeo2014!AC$60) * Inputs!$M$60</f>
        <v>0</v>
      </c>
      <c r="AB249" s="130">
        <f>AB$29*(EIA_electricity_aeo2014!AD$60) * Inputs!$M$60</f>
        <v>0</v>
      </c>
      <c r="AC249" s="130">
        <f>AC$29*(EIA_electricity_aeo2014!AE$60) * Inputs!$M$60</f>
        <v>0</v>
      </c>
      <c r="AD249" s="130">
        <f>AD$29*(EIA_electricity_aeo2014!AF$60) * Inputs!$M$60</f>
        <v>0</v>
      </c>
      <c r="AE249" s="130">
        <f>AE$29*(EIA_electricity_aeo2014!AG$60) * Inputs!$M$60</f>
        <v>0</v>
      </c>
      <c r="AF249" s="130">
        <f>AF$29*(EIA_electricity_aeo2014!AH$60) * Inputs!$M$60</f>
        <v>0</v>
      </c>
      <c r="AG249" s="130">
        <f>AG$29*(EIA_electricity_aeo2014!AI$60) * Inputs!$M$60</f>
        <v>0</v>
      </c>
      <c r="AH249" s="190">
        <f>AH$29*(EIA_electricity_aeo2014!AJ$60) * Inputs!$M$60</f>
        <v>0</v>
      </c>
    </row>
    <row r="250" spans="1:34">
      <c r="A250" t="s">
        <v>442</v>
      </c>
      <c r="D250" s="296">
        <f>D$29*(EIA_electricity_aeo2014!F$60) * Inputs!$C$60</f>
        <v>0</v>
      </c>
      <c r="E250" s="296">
        <f>E$29*(EIA_electricity_aeo2014!G$60) * Inputs!$C$60</f>
        <v>0</v>
      </c>
      <c r="F250" s="296">
        <f>F$29*(EIA_electricity_aeo2014!H$60) * Inputs!$C$60</f>
        <v>0</v>
      </c>
      <c r="G250" s="296">
        <f>G$29*(EIA_electricity_aeo2014!I$60) * Inputs!$C$60</f>
        <v>0</v>
      </c>
      <c r="H250" s="367">
        <f>H$29*(EIA_electricity_aeo2014!J$60) * Inputs!$C$60</f>
        <v>0</v>
      </c>
      <c r="I250" s="14">
        <f>I$29*(EIA_electricity_aeo2014!K$60) * Inputs!$C$60</f>
        <v>0</v>
      </c>
      <c r="J250" s="14">
        <f>J$29*(EIA_electricity_aeo2014!L$60) * Inputs!$C$60</f>
        <v>0</v>
      </c>
      <c r="K250" s="14">
        <f>K$29*(EIA_electricity_aeo2014!M$60) * Inputs!$C$60</f>
        <v>0</v>
      </c>
      <c r="L250" s="14">
        <f>L$29*(EIA_electricity_aeo2014!N$60) * Inputs!$C$60</f>
        <v>0</v>
      </c>
      <c r="M250" s="14">
        <f>M$29*(EIA_electricity_aeo2014!O$60) * Inputs!$C$60</f>
        <v>0</v>
      </c>
      <c r="N250" s="187">
        <f>N$29*(EIA_electricity_aeo2014!P$60) * Inputs!$C$60</f>
        <v>0</v>
      </c>
      <c r="O250" s="14">
        <f>O$29*(EIA_electricity_aeo2014!Q$60) * Inputs!$C$60</f>
        <v>0</v>
      </c>
      <c r="P250" s="14">
        <f>P$29*(EIA_electricity_aeo2014!R$60) * Inputs!$C$60</f>
        <v>0</v>
      </c>
      <c r="Q250" s="14">
        <f>Q$29*(EIA_electricity_aeo2014!S$60) * Inputs!$C$60</f>
        <v>0</v>
      </c>
      <c r="R250" s="14">
        <f>R$29*(EIA_electricity_aeo2014!T$60) * Inputs!$C$60</f>
        <v>0</v>
      </c>
      <c r="S250" s="14">
        <f>S$29*(EIA_electricity_aeo2014!U$60) * Inputs!$C$60</f>
        <v>0</v>
      </c>
      <c r="T250" s="14">
        <f>T$29*(EIA_electricity_aeo2014!V$60) * Inputs!$C$60</f>
        <v>0</v>
      </c>
      <c r="U250" s="14">
        <f>U$29*(EIA_electricity_aeo2014!W$60) * Inputs!$C$60</f>
        <v>0</v>
      </c>
      <c r="V250" s="14">
        <f>V$29*(EIA_electricity_aeo2014!X$60) * Inputs!$C$60</f>
        <v>0</v>
      </c>
      <c r="W250" s="14">
        <f>W$29*(EIA_electricity_aeo2014!Y$60) * Inputs!$C$60</f>
        <v>0</v>
      </c>
      <c r="X250" s="190">
        <f>X$29*(EIA_electricity_aeo2014!Z$60) * Inputs!$M$60</f>
        <v>0</v>
      </c>
      <c r="Y250" s="130">
        <f>Y$29*(EIA_electricity_aeo2014!AA$60) * Inputs!$M$60</f>
        <v>0</v>
      </c>
      <c r="Z250" s="130">
        <f>Z$29*(EIA_electricity_aeo2014!AB$60) * Inputs!$M$60</f>
        <v>0</v>
      </c>
      <c r="AA250" s="130">
        <f>AA$29*(EIA_electricity_aeo2014!AC$60) * Inputs!$M$60</f>
        <v>0</v>
      </c>
      <c r="AB250" s="130">
        <f>AB$29*(EIA_electricity_aeo2014!AD$60) * Inputs!$M$60</f>
        <v>0</v>
      </c>
      <c r="AC250" s="130">
        <f>AC$29*(EIA_electricity_aeo2014!AE$60) * Inputs!$M$60</f>
        <v>0</v>
      </c>
      <c r="AD250" s="130">
        <f>AD$29*(EIA_electricity_aeo2014!AF$60) * Inputs!$M$60</f>
        <v>0</v>
      </c>
      <c r="AE250" s="130">
        <f>AE$29*(EIA_electricity_aeo2014!AG$60) * Inputs!$M$60</f>
        <v>0</v>
      </c>
      <c r="AF250" s="130">
        <f>AF$29*(EIA_electricity_aeo2014!AH$60) * Inputs!$M$60</f>
        <v>0</v>
      </c>
      <c r="AG250" s="130">
        <f>AG$29*(EIA_electricity_aeo2014!AI$60) * Inputs!$M$60</f>
        <v>0</v>
      </c>
      <c r="AH250" s="190">
        <f>AH$29*(EIA_electricity_aeo2014!AJ$60) * Inputs!$M$60</f>
        <v>0</v>
      </c>
    </row>
    <row r="251" spans="1:34">
      <c r="A251" t="s">
        <v>443</v>
      </c>
      <c r="D251" s="296">
        <f>D250*Inputs!$H$60</f>
        <v>0</v>
      </c>
      <c r="E251" s="296">
        <f>E250*Inputs!$H$60</f>
        <v>0</v>
      </c>
      <c r="F251" s="296">
        <f>F250*Inputs!$H$60</f>
        <v>0</v>
      </c>
      <c r="G251" s="296">
        <f>G250*Inputs!$H$60</f>
        <v>0</v>
      </c>
      <c r="H251" s="367">
        <f>H250*Inputs!$H$60</f>
        <v>0</v>
      </c>
      <c r="I251" s="14">
        <f>I250*Inputs!$H$60</f>
        <v>0</v>
      </c>
      <c r="J251" s="14">
        <f>J250*Inputs!$H$60</f>
        <v>0</v>
      </c>
      <c r="K251" s="14">
        <f>K250*Inputs!$H$60</f>
        <v>0</v>
      </c>
      <c r="L251" s="14">
        <f>L250*Inputs!$H$60</f>
        <v>0</v>
      </c>
      <c r="M251" s="14">
        <f>M250*Inputs!$H$60</f>
        <v>0</v>
      </c>
      <c r="N251" s="187">
        <f>N250*Inputs!$H$60</f>
        <v>0</v>
      </c>
      <c r="O251" s="14">
        <f>O250*Inputs!$H$60</f>
        <v>0</v>
      </c>
      <c r="P251" s="14">
        <f>P250*Inputs!$H$60</f>
        <v>0</v>
      </c>
      <c r="Q251" s="14">
        <f>Q250*Inputs!$H$60</f>
        <v>0</v>
      </c>
      <c r="R251" s="14">
        <f>R250*Inputs!$H$60</f>
        <v>0</v>
      </c>
      <c r="S251" s="14">
        <f>S250*Inputs!$H$60</f>
        <v>0</v>
      </c>
      <c r="T251" s="14">
        <f>T250*Inputs!$H$60</f>
        <v>0</v>
      </c>
      <c r="U251" s="14">
        <f>U250*Inputs!$H$60</f>
        <v>0</v>
      </c>
      <c r="V251" s="14">
        <f>V250*Inputs!$H$60</f>
        <v>0</v>
      </c>
      <c r="W251" s="14">
        <f>W250*Inputs!$H$60</f>
        <v>0</v>
      </c>
      <c r="X251" s="190">
        <f>X$29*(EIA_electricity_aeo2014!Z$60) * Inputs!$M$60</f>
        <v>0</v>
      </c>
      <c r="Y251" s="130">
        <f>Y$29*(EIA_electricity_aeo2014!AA$60) * Inputs!$M$60</f>
        <v>0</v>
      </c>
      <c r="Z251" s="130">
        <f>Z$29*(EIA_electricity_aeo2014!AB$60) * Inputs!$M$60</f>
        <v>0</v>
      </c>
      <c r="AA251" s="130">
        <f>AA$29*(EIA_electricity_aeo2014!AC$60) * Inputs!$M$60</f>
        <v>0</v>
      </c>
      <c r="AB251" s="130">
        <f>AB$29*(EIA_electricity_aeo2014!AD$60) * Inputs!$M$60</f>
        <v>0</v>
      </c>
      <c r="AC251" s="130">
        <f>AC$29*(EIA_electricity_aeo2014!AE$60) * Inputs!$M$60</f>
        <v>0</v>
      </c>
      <c r="AD251" s="130">
        <f>AD$29*(EIA_electricity_aeo2014!AF$60) * Inputs!$M$60</f>
        <v>0</v>
      </c>
      <c r="AE251" s="130">
        <f>AE$29*(EIA_electricity_aeo2014!AG$60) * Inputs!$M$60</f>
        <v>0</v>
      </c>
      <c r="AF251" s="130">
        <f>AF$29*(EIA_electricity_aeo2014!AH$60) * Inputs!$M$60</f>
        <v>0</v>
      </c>
      <c r="AG251" s="130">
        <f>AG$29*(EIA_electricity_aeo2014!AI$60) * Inputs!$M$60</f>
        <v>0</v>
      </c>
      <c r="AH251" s="190">
        <f>AH$29*(EIA_electricity_aeo2014!AJ$60) * Inputs!$M$60</f>
        <v>0</v>
      </c>
    </row>
    <row r="252" spans="1:34" s="1" customFormat="1">
      <c r="A252" s="1" t="s">
        <v>441</v>
      </c>
      <c r="B252" s="13"/>
      <c r="C252" s="293"/>
      <c r="D252" s="306">
        <f>D$29*(1-EIA_electricity_aeo2014!F$60) * Inputs!$M$61</f>
        <v>0</v>
      </c>
      <c r="E252" s="306">
        <f>E$29*(1-EIA_electricity_aeo2014!G$60) * Inputs!$M$61</f>
        <v>0</v>
      </c>
      <c r="F252" s="306">
        <f>F$29*(1-EIA_electricity_aeo2014!H$60) * Inputs!$M$61</f>
        <v>0</v>
      </c>
      <c r="G252" s="306">
        <f>G$29*(1-EIA_electricity_aeo2014!I$60) * Inputs!$M$61</f>
        <v>0</v>
      </c>
      <c r="H252" s="370">
        <f>H$29*(1-EIA_electricity_aeo2014!J$60) * Inputs!$M$61</f>
        <v>0</v>
      </c>
      <c r="I252" s="15">
        <f>I$29*(1-EIA_electricity_aeo2014!K$60) * Inputs!$M$61</f>
        <v>0</v>
      </c>
      <c r="J252" s="15">
        <f>J$29*(1-EIA_electricity_aeo2014!L$60) * Inputs!$M$61</f>
        <v>0</v>
      </c>
      <c r="K252" s="15">
        <f>K$29*(1-EIA_electricity_aeo2014!M$60) * Inputs!$M$61</f>
        <v>0</v>
      </c>
      <c r="L252" s="15">
        <f>L$29*(1-EIA_electricity_aeo2014!N$60) * Inputs!$M$61</f>
        <v>0</v>
      </c>
      <c r="M252" s="15">
        <f>M$29*(1-EIA_electricity_aeo2014!O$60) * Inputs!$M$61</f>
        <v>0</v>
      </c>
      <c r="N252" s="190">
        <f>N$29*(1-EIA_electricity_aeo2014!P$60) * Inputs!$M$61</f>
        <v>0</v>
      </c>
      <c r="O252" s="15">
        <f>O$29*(1-EIA_electricity_aeo2014!Q$60) * Inputs!$M$61</f>
        <v>0</v>
      </c>
      <c r="P252" s="15">
        <f>P$29*(1-EIA_electricity_aeo2014!R$60) * Inputs!$M$61</f>
        <v>0</v>
      </c>
      <c r="Q252" s="15">
        <f>Q$29*(1-EIA_electricity_aeo2014!S$60) * Inputs!$M$61</f>
        <v>0</v>
      </c>
      <c r="R252" s="15">
        <f>R$29*(1-EIA_electricity_aeo2014!T$60) * Inputs!$M$61</f>
        <v>0</v>
      </c>
      <c r="S252" s="15">
        <f>S$29*(1-EIA_electricity_aeo2014!U$60) * Inputs!$M$61</f>
        <v>0</v>
      </c>
      <c r="T252" s="15">
        <f>T$29*(1-EIA_electricity_aeo2014!V$60) * Inputs!$M$61</f>
        <v>0</v>
      </c>
      <c r="U252" s="15">
        <f>U$29*(1-EIA_electricity_aeo2014!W$60) * Inputs!$M$61</f>
        <v>0</v>
      </c>
      <c r="V252" s="15">
        <f>V$29*(1-EIA_electricity_aeo2014!X$60) * Inputs!$M$61</f>
        <v>0</v>
      </c>
      <c r="W252" s="15">
        <f>W$29*(1-EIA_electricity_aeo2014!Y$60) * Inputs!$M$61</f>
        <v>0</v>
      </c>
      <c r="X252" s="190">
        <f>X$29*(EIA_electricity_aeo2014!Z$60) * Inputs!$M$60</f>
        <v>0</v>
      </c>
      <c r="Y252" s="130">
        <f>Y$29*(EIA_electricity_aeo2014!AA$60) * Inputs!$M$60</f>
        <v>0</v>
      </c>
      <c r="Z252" s="130">
        <f>Z$29*(EIA_electricity_aeo2014!AB$60) * Inputs!$M$60</f>
        <v>0</v>
      </c>
      <c r="AA252" s="130">
        <f>AA$29*(EIA_electricity_aeo2014!AC$60) * Inputs!$M$60</f>
        <v>0</v>
      </c>
      <c r="AB252" s="130">
        <f>AB$29*(EIA_electricity_aeo2014!AD$60) * Inputs!$M$60</f>
        <v>0</v>
      </c>
      <c r="AC252" s="130">
        <f>AC$29*(EIA_electricity_aeo2014!AE$60) * Inputs!$M$60</f>
        <v>0</v>
      </c>
      <c r="AD252" s="130">
        <f>AD$29*(EIA_electricity_aeo2014!AF$60) * Inputs!$M$60</f>
        <v>0</v>
      </c>
      <c r="AE252" s="130">
        <f>AE$29*(EIA_electricity_aeo2014!AG$60) * Inputs!$M$60</f>
        <v>0</v>
      </c>
      <c r="AF252" s="130">
        <f>AF$29*(EIA_electricity_aeo2014!AH$60) * Inputs!$M$60</f>
        <v>0</v>
      </c>
      <c r="AG252" s="130">
        <f>AG$29*(EIA_electricity_aeo2014!AI$60) * Inputs!$M$60</f>
        <v>0</v>
      </c>
      <c r="AH252" s="190">
        <f>AH$29*(EIA_electricity_aeo2014!AJ$60) * Inputs!$M$60</f>
        <v>0</v>
      </c>
    </row>
    <row r="253" spans="1:34">
      <c r="A253" t="s">
        <v>442</v>
      </c>
      <c r="D253" s="296">
        <f>D$29*(1-EIA_electricity_aeo2014!F$60) * Inputs!$C$61</f>
        <v>0</v>
      </c>
      <c r="E253" s="296">
        <f>E$29*(1-EIA_electricity_aeo2014!G$60) * Inputs!$C$61</f>
        <v>0</v>
      </c>
      <c r="F253" s="296">
        <f>F$29*(1-EIA_electricity_aeo2014!H$60) * Inputs!$C$61</f>
        <v>0</v>
      </c>
      <c r="G253" s="296">
        <f>G$29*(1-EIA_electricity_aeo2014!I$60) * Inputs!$C$61</f>
        <v>0</v>
      </c>
      <c r="H253" s="367">
        <f>H$29*(1-EIA_electricity_aeo2014!J$60) * Inputs!$C$61</f>
        <v>0</v>
      </c>
      <c r="I253" s="14">
        <f>I$29*(1-EIA_electricity_aeo2014!K$60) * Inputs!$C$61</f>
        <v>0</v>
      </c>
      <c r="J253" s="14">
        <f>J$29*(1-EIA_electricity_aeo2014!L$60) * Inputs!$C$61</f>
        <v>0</v>
      </c>
      <c r="K253" s="14">
        <f>K$29*(1-EIA_electricity_aeo2014!M$60) * Inputs!$C$61</f>
        <v>0</v>
      </c>
      <c r="L253" s="14">
        <f>L$29*(1-EIA_electricity_aeo2014!N$60) * Inputs!$C$61</f>
        <v>0</v>
      </c>
      <c r="M253" s="14">
        <f>M$29*(1-EIA_electricity_aeo2014!O$60) * Inputs!$C$61</f>
        <v>0</v>
      </c>
      <c r="N253" s="187">
        <f>N$29*(1-EIA_electricity_aeo2014!P$60) * Inputs!$C$61</f>
        <v>0</v>
      </c>
      <c r="O253" s="14">
        <f>O$29*(1-EIA_electricity_aeo2014!Q$60) * Inputs!$C$61</f>
        <v>0</v>
      </c>
      <c r="P253" s="14">
        <f>P$29*(1-EIA_electricity_aeo2014!R$60) * Inputs!$C$61</f>
        <v>0</v>
      </c>
      <c r="Q253" s="14">
        <f>Q$29*(1-EIA_electricity_aeo2014!S$60) * Inputs!$C$61</f>
        <v>0</v>
      </c>
      <c r="R253" s="14">
        <f>R$29*(1-EIA_electricity_aeo2014!T$60) * Inputs!$C$61</f>
        <v>0</v>
      </c>
      <c r="S253" s="14">
        <f>S$29*(1-EIA_electricity_aeo2014!U$60) * Inputs!$C$61</f>
        <v>0</v>
      </c>
      <c r="T253" s="14">
        <f>T$29*(1-EIA_electricity_aeo2014!V$60) * Inputs!$C$61</f>
        <v>0</v>
      </c>
      <c r="U253" s="14">
        <f>U$29*(1-EIA_electricity_aeo2014!W$60) * Inputs!$C$61</f>
        <v>0</v>
      </c>
      <c r="V253" s="14">
        <f>V$29*(1-EIA_electricity_aeo2014!X$60) * Inputs!$C$61</f>
        <v>0</v>
      </c>
      <c r="W253" s="14">
        <f>W$29*(1-EIA_electricity_aeo2014!Y$60) * Inputs!$C$61</f>
        <v>0</v>
      </c>
      <c r="X253" s="190">
        <f>X$29*(EIA_electricity_aeo2014!Z$60) * Inputs!$M$60</f>
        <v>0</v>
      </c>
      <c r="Y253" s="130">
        <f>Y$29*(EIA_electricity_aeo2014!AA$60) * Inputs!$M$60</f>
        <v>0</v>
      </c>
      <c r="Z253" s="130">
        <f>Z$29*(EIA_electricity_aeo2014!AB$60) * Inputs!$M$60</f>
        <v>0</v>
      </c>
      <c r="AA253" s="130">
        <f>AA$29*(EIA_electricity_aeo2014!AC$60) * Inputs!$M$60</f>
        <v>0</v>
      </c>
      <c r="AB253" s="130">
        <f>AB$29*(EIA_electricity_aeo2014!AD$60) * Inputs!$M$60</f>
        <v>0</v>
      </c>
      <c r="AC253" s="130">
        <f>AC$29*(EIA_electricity_aeo2014!AE$60) * Inputs!$M$60</f>
        <v>0</v>
      </c>
      <c r="AD253" s="130">
        <f>AD$29*(EIA_electricity_aeo2014!AF$60) * Inputs!$M$60</f>
        <v>0</v>
      </c>
      <c r="AE253" s="130">
        <f>AE$29*(EIA_electricity_aeo2014!AG$60) * Inputs!$M$60</f>
        <v>0</v>
      </c>
      <c r="AF253" s="130">
        <f>AF$29*(EIA_electricity_aeo2014!AH$60) * Inputs!$M$60</f>
        <v>0</v>
      </c>
      <c r="AG253" s="130">
        <f>AG$29*(EIA_electricity_aeo2014!AI$60) * Inputs!$M$60</f>
        <v>0</v>
      </c>
      <c r="AH253" s="190">
        <f>AH$29*(EIA_electricity_aeo2014!AJ$60) * Inputs!$M$60</f>
        <v>0</v>
      </c>
    </row>
    <row r="254" spans="1:34">
      <c r="A254" t="s">
        <v>443</v>
      </c>
      <c r="D254" s="296">
        <f>D253*Inputs!$H$61</f>
        <v>0</v>
      </c>
      <c r="E254" s="296">
        <f>E253*Inputs!$H$61</f>
        <v>0</v>
      </c>
      <c r="F254" s="296">
        <f>F253*Inputs!$H$61</f>
        <v>0</v>
      </c>
      <c r="G254" s="296">
        <f>G253*Inputs!$H$61</f>
        <v>0</v>
      </c>
      <c r="H254" s="367">
        <f>H253*Inputs!$H$61</f>
        <v>0</v>
      </c>
      <c r="I254" s="14">
        <f>I253*Inputs!$H$61</f>
        <v>0</v>
      </c>
      <c r="J254" s="14">
        <f>J253*Inputs!$H$61</f>
        <v>0</v>
      </c>
      <c r="K254" s="14">
        <f>K253*Inputs!$H$61</f>
        <v>0</v>
      </c>
      <c r="L254" s="14">
        <f>L253*Inputs!$H$61</f>
        <v>0</v>
      </c>
      <c r="M254" s="14">
        <f>M253*Inputs!$H$61</f>
        <v>0</v>
      </c>
      <c r="N254" s="187">
        <f>N253*Inputs!$H$61</f>
        <v>0</v>
      </c>
      <c r="O254" s="14">
        <f>O253*Inputs!$H$61</f>
        <v>0</v>
      </c>
      <c r="P254" s="14">
        <f>P253*Inputs!$H$61</f>
        <v>0</v>
      </c>
      <c r="Q254" s="14">
        <f>Q253*Inputs!$H$61</f>
        <v>0</v>
      </c>
      <c r="R254" s="14">
        <f>R253*Inputs!$H$61</f>
        <v>0</v>
      </c>
      <c r="S254" s="14">
        <f>S253*Inputs!$H$61</f>
        <v>0</v>
      </c>
      <c r="T254" s="14">
        <f>T253*Inputs!$H$61</f>
        <v>0</v>
      </c>
      <c r="U254" s="14">
        <f>U253*Inputs!$H$61</f>
        <v>0</v>
      </c>
      <c r="V254" s="14">
        <f>V253*Inputs!$H$61</f>
        <v>0</v>
      </c>
      <c r="W254" s="14">
        <f>W253*Inputs!$H$61</f>
        <v>0</v>
      </c>
      <c r="X254" s="190">
        <f>X$29*(EIA_electricity_aeo2014!Z$60) * Inputs!$M$60</f>
        <v>0</v>
      </c>
      <c r="Y254" s="130">
        <f>Y$29*(EIA_electricity_aeo2014!AA$60) * Inputs!$M$60</f>
        <v>0</v>
      </c>
      <c r="Z254" s="130">
        <f>Z$29*(EIA_electricity_aeo2014!AB$60) * Inputs!$M$60</f>
        <v>0</v>
      </c>
      <c r="AA254" s="130">
        <f>AA$29*(EIA_electricity_aeo2014!AC$60) * Inputs!$M$60</f>
        <v>0</v>
      </c>
      <c r="AB254" s="130">
        <f>AB$29*(EIA_electricity_aeo2014!AD$60) * Inputs!$M$60</f>
        <v>0</v>
      </c>
      <c r="AC254" s="130">
        <f>AC$29*(EIA_electricity_aeo2014!AE$60) * Inputs!$M$60</f>
        <v>0</v>
      </c>
      <c r="AD254" s="130">
        <f>AD$29*(EIA_electricity_aeo2014!AF$60) * Inputs!$M$60</f>
        <v>0</v>
      </c>
      <c r="AE254" s="130">
        <f>AE$29*(EIA_electricity_aeo2014!AG$60) * Inputs!$M$60</f>
        <v>0</v>
      </c>
      <c r="AF254" s="130">
        <f>AF$29*(EIA_electricity_aeo2014!AH$60) * Inputs!$M$60</f>
        <v>0</v>
      </c>
      <c r="AG254" s="130">
        <f>AG$29*(EIA_electricity_aeo2014!AI$60) * Inputs!$M$60</f>
        <v>0</v>
      </c>
      <c r="AH254" s="190">
        <f>AH$29*(EIA_electricity_aeo2014!AJ$60) * Inputs!$M$60</f>
        <v>0</v>
      </c>
    </row>
  </sheetData>
  <mergeCells count="1">
    <mergeCell ref="A1:AL9"/>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zoomScale="80" zoomScaleNormal="80" zoomScalePageLayoutView="80" workbookViewId="0">
      <pane xSplit="2" ySplit="2" topLeftCell="C3" activePane="bottomRight" state="frozen"/>
      <selection pane="topRight" activeCell="C1" sqref="C1"/>
      <selection pane="bottomLeft" activeCell="A3" sqref="A3"/>
      <selection pane="bottomRight" activeCell="AF25" sqref="AF25"/>
    </sheetView>
  </sheetViews>
  <sheetFormatPr baseColWidth="10" defaultColWidth="8.83203125" defaultRowHeight="14" x14ac:dyDescent="0"/>
  <cols>
    <col min="1" max="1" width="25.6640625" bestFit="1" customWidth="1"/>
    <col min="2" max="2" width="5.6640625" style="2" bestFit="1" customWidth="1"/>
    <col min="3" max="3" width="13.33203125" style="292" bestFit="1" customWidth="1"/>
    <col min="4" max="4" width="12.33203125" style="292" customWidth="1"/>
    <col min="5" max="5" width="14.1640625" style="292" customWidth="1"/>
    <col min="6" max="6" width="11.33203125" style="292" bestFit="1" customWidth="1"/>
    <col min="7" max="7" width="14.33203125" style="292" customWidth="1"/>
    <col min="8" max="8" width="13.33203125" style="2" customWidth="1"/>
    <col min="9" max="10" width="12.5" style="2" customWidth="1"/>
    <col min="11" max="11" width="12.1640625" style="2" customWidth="1"/>
    <col min="12" max="12" width="15.5" style="2" customWidth="1"/>
    <col min="13" max="13" width="14.5" style="2" customWidth="1"/>
    <col min="14" max="14" width="13.1640625" style="176" bestFit="1" customWidth="1"/>
    <col min="15" max="22" width="11.5" style="2" bestFit="1" customWidth="1"/>
    <col min="23" max="23" width="11.33203125" style="2" bestFit="1" customWidth="1"/>
    <col min="24" max="24" width="11.33203125" style="192" bestFit="1" customWidth="1"/>
    <col min="25" max="25" width="12.33203125" customWidth="1"/>
    <col min="26" max="26" width="11.6640625" customWidth="1"/>
    <col min="27" max="27" width="13.1640625" customWidth="1"/>
    <col min="28" max="28" width="11.6640625" customWidth="1"/>
    <col min="29" max="29" width="11.5" customWidth="1"/>
    <col min="30" max="30" width="13.33203125" bestFit="1" customWidth="1"/>
    <col min="31" max="31" width="12.33203125" customWidth="1"/>
    <col min="32" max="32" width="12.6640625" customWidth="1"/>
    <col min="33" max="33" width="12.5" customWidth="1"/>
    <col min="34" max="34" width="11.33203125" customWidth="1"/>
  </cols>
  <sheetData>
    <row r="1" spans="1:34">
      <c r="C1" s="292" t="s">
        <v>0</v>
      </c>
      <c r="D1" s="292" t="s">
        <v>0</v>
      </c>
      <c r="E1" s="358" t="s">
        <v>0</v>
      </c>
    </row>
    <row r="2" spans="1:34" s="1" customFormat="1">
      <c r="B2" s="2" t="s">
        <v>127</v>
      </c>
      <c r="C2" s="293">
        <v>2009</v>
      </c>
      <c r="D2" s="293">
        <v>2010</v>
      </c>
      <c r="E2" s="293">
        <v>2011</v>
      </c>
      <c r="F2" s="293">
        <v>2012</v>
      </c>
      <c r="G2" s="293">
        <v>2013</v>
      </c>
      <c r="H2" s="13">
        <v>2014</v>
      </c>
      <c r="I2" s="13">
        <v>2015</v>
      </c>
      <c r="J2" s="13">
        <v>2016</v>
      </c>
      <c r="K2" s="13">
        <v>2017</v>
      </c>
      <c r="L2" s="13">
        <v>2018</v>
      </c>
      <c r="M2" s="13">
        <v>2019</v>
      </c>
      <c r="N2" s="176">
        <v>2020</v>
      </c>
      <c r="O2" s="13">
        <v>2021</v>
      </c>
      <c r="P2" s="13">
        <v>2022</v>
      </c>
      <c r="Q2" s="13">
        <v>2023</v>
      </c>
      <c r="R2" s="13">
        <v>2024</v>
      </c>
      <c r="S2" s="13">
        <v>2025</v>
      </c>
      <c r="T2" s="13">
        <v>2026</v>
      </c>
      <c r="U2" s="13">
        <v>2027</v>
      </c>
      <c r="V2" s="13">
        <v>2028</v>
      </c>
      <c r="W2" s="13">
        <v>2029</v>
      </c>
      <c r="X2" s="176">
        <v>2030</v>
      </c>
      <c r="Y2" s="13">
        <v>2031</v>
      </c>
      <c r="Z2" s="13">
        <v>2032</v>
      </c>
      <c r="AA2" s="13">
        <v>2033</v>
      </c>
      <c r="AB2" s="13">
        <v>2034</v>
      </c>
      <c r="AC2" s="13">
        <v>2035</v>
      </c>
      <c r="AD2" s="13">
        <v>2036</v>
      </c>
      <c r="AE2" s="13">
        <v>2037</v>
      </c>
      <c r="AF2" s="13">
        <v>2038</v>
      </c>
      <c r="AG2" s="13">
        <v>2039</v>
      </c>
      <c r="AH2" s="13">
        <v>2040</v>
      </c>
    </row>
    <row r="3" spans="1:34" s="1" customFormat="1">
      <c r="A3" s="1" t="s">
        <v>62</v>
      </c>
      <c r="B3" s="13"/>
      <c r="C3" s="293"/>
      <c r="D3" s="293"/>
      <c r="E3" s="293"/>
      <c r="F3" s="293"/>
      <c r="G3" s="293"/>
      <c r="H3" s="13"/>
      <c r="I3" s="13"/>
      <c r="J3" s="13"/>
      <c r="K3" s="13"/>
      <c r="L3" s="13"/>
      <c r="M3" s="13"/>
      <c r="N3" s="176"/>
      <c r="O3" s="13"/>
      <c r="P3" s="13"/>
      <c r="Q3" s="13"/>
      <c r="R3" s="13"/>
      <c r="S3" s="13"/>
      <c r="T3" s="13"/>
      <c r="U3" s="13"/>
      <c r="V3" s="13"/>
      <c r="W3" s="13"/>
      <c r="X3" s="176"/>
      <c r="Y3" s="13"/>
      <c r="Z3" s="13"/>
      <c r="AA3" s="13"/>
      <c r="AB3" s="13"/>
      <c r="AC3" s="13"/>
      <c r="AD3" s="13"/>
      <c r="AE3" s="13"/>
      <c r="AF3" s="13"/>
      <c r="AG3" s="13"/>
      <c r="AH3" s="13"/>
    </row>
    <row r="4" spans="1:34" s="1" customFormat="1">
      <c r="A4" s="1" t="s">
        <v>111</v>
      </c>
      <c r="B4" s="13"/>
      <c r="C4" s="294">
        <f>EIA_electricity_aeo2014!E58 * 1000</f>
        <v>57356</v>
      </c>
      <c r="D4" s="294">
        <f>EIA_electricity_aeo2014!F58 * 1000</f>
        <v>61000.000000000007</v>
      </c>
      <c r="E4" s="294">
        <f>EIA_electricity_aeo2014!G58 * 1000</f>
        <v>56822.058070456915</v>
      </c>
      <c r="F4" s="294">
        <f>EIA_electricity_aeo2014!H58 * 1000</f>
        <v>54205.341801758084</v>
      </c>
      <c r="G4" s="294">
        <f>EIA_electricity_aeo2014!I58 * 1000</f>
        <v>55244.884482843496</v>
      </c>
      <c r="H4" s="21">
        <f>EIA_electricity_aeo2014!J58 * 1000</f>
        <v>55647.823217918442</v>
      </c>
      <c r="I4" s="21">
        <f>EIA_electricity_aeo2014!K58 * 1000</f>
        <v>55928.460836426959</v>
      </c>
      <c r="J4" s="21">
        <f>EIA_electricity_aeo2014!L58 * 1000</f>
        <v>56905.862337762708</v>
      </c>
      <c r="K4" s="21">
        <f>EIA_electricity_aeo2014!M58 * 1000</f>
        <v>58358.946900040399</v>
      </c>
      <c r="L4" s="21">
        <f>EIA_electricity_aeo2014!N58 * 1000</f>
        <v>59225.615908450527</v>
      </c>
      <c r="M4" s="21">
        <f>EIA_electricity_aeo2014!O58 * 1000</f>
        <v>59803.829549463066</v>
      </c>
      <c r="N4" s="353">
        <f>EIA_electricity_aeo2014!P58 * 1000</f>
        <v>60210.739896229708</v>
      </c>
      <c r="O4" s="21">
        <f>EIA_electricity_aeo2014!Q58 * 1000</f>
        <v>60766.876305811551</v>
      </c>
      <c r="P4" s="21">
        <f>EIA_electricity_aeo2014!R58 * 1000</f>
        <v>61326.572264160073</v>
      </c>
      <c r="Q4" s="21">
        <f>EIA_electricity_aeo2014!S58 * 1000</f>
        <v>62183.276796755541</v>
      </c>
      <c r="R4" s="21">
        <f>EIA_electricity_aeo2014!T58 * 1000</f>
        <v>62919.585287056609</v>
      </c>
      <c r="S4" s="21">
        <f>EIA_electricity_aeo2014!U58 * 1000</f>
        <v>63734.856850632619</v>
      </c>
      <c r="T4" s="21">
        <f>EIA_electricity_aeo2014!V58 * 1000</f>
        <v>64064.727584321954</v>
      </c>
      <c r="U4" s="21">
        <f>EIA_electricity_aeo2014!W58 * 1000</f>
        <v>64370.690367506941</v>
      </c>
      <c r="V4" s="21">
        <f>EIA_electricity_aeo2014!X58 * 1000</f>
        <v>64725.719723987379</v>
      </c>
      <c r="W4" s="21">
        <f>EIA_electricity_aeo2014!Y58 * 1000</f>
        <v>65256.74803074084</v>
      </c>
      <c r="X4" s="353">
        <f>EIA_electricity_aeo2014!Z58 * 1000</f>
        <v>65605.334971771066</v>
      </c>
      <c r="Y4" s="21">
        <f>EIA_electricity_aeo2014!AA58 * 1000</f>
        <v>65748.672270969677</v>
      </c>
      <c r="Z4" s="21">
        <f>EIA_electricity_aeo2014!AB58 * 1000</f>
        <v>65965.694189121263</v>
      </c>
      <c r="AA4" s="21">
        <f>EIA_electricity_aeo2014!AC58 * 1000</f>
        <v>66116.146965665699</v>
      </c>
      <c r="AB4" s="21">
        <f>EIA_electricity_aeo2014!AD58 * 1000</f>
        <v>66324.216294042606</v>
      </c>
      <c r="AC4" s="21">
        <f>EIA_electricity_aeo2014!AE58 * 1000</f>
        <v>66631.688151844442</v>
      </c>
      <c r="AD4" s="21">
        <f>EIA_electricity_aeo2014!AF58 * 1000</f>
        <v>66929.737097943915</v>
      </c>
      <c r="AE4" s="21">
        <f>EIA_electricity_aeo2014!AG58 * 1000</f>
        <v>67353.046055218176</v>
      </c>
      <c r="AF4" s="21">
        <f>EIA_electricity_aeo2014!AH58 * 1000</f>
        <v>67839.768939544694</v>
      </c>
      <c r="AG4" s="21">
        <f>EIA_electricity_aeo2014!AI58 * 1000</f>
        <v>68249.989650213116</v>
      </c>
      <c r="AH4" s="21">
        <f>EIA_electricity_aeo2014!AJ58 * 1000</f>
        <v>68581.943112636218</v>
      </c>
    </row>
    <row r="5" spans="1:34">
      <c r="A5" s="9" t="s">
        <v>61</v>
      </c>
      <c r="B5" s="34">
        <v>0</v>
      </c>
      <c r="C5" s="295">
        <v>0</v>
      </c>
      <c r="D5" s="295"/>
      <c r="E5" s="295"/>
      <c r="F5" s="295"/>
      <c r="G5" s="295"/>
      <c r="H5" s="3"/>
      <c r="I5" s="3"/>
      <c r="J5" s="3"/>
      <c r="K5" s="3"/>
      <c r="L5" s="3"/>
      <c r="M5" s="3"/>
      <c r="N5" s="353"/>
      <c r="O5" s="3"/>
      <c r="P5" s="3"/>
      <c r="Q5" s="3"/>
      <c r="R5" s="3"/>
      <c r="S5" s="3"/>
      <c r="T5" s="3"/>
      <c r="U5" s="3"/>
      <c r="V5" s="3"/>
      <c r="W5" s="3"/>
      <c r="X5" s="184"/>
    </row>
    <row r="6" spans="1:34">
      <c r="A6" s="9" t="s">
        <v>60</v>
      </c>
      <c r="B6" s="34">
        <v>0</v>
      </c>
      <c r="C6" s="295">
        <v>0</v>
      </c>
      <c r="D6" s="295"/>
      <c r="E6" s="359" t="s">
        <v>0</v>
      </c>
      <c r="F6" s="295"/>
      <c r="G6" s="295"/>
      <c r="H6" s="3"/>
      <c r="I6" s="3"/>
      <c r="J6" s="3"/>
      <c r="K6" s="3"/>
      <c r="L6" s="3"/>
      <c r="M6" s="3"/>
      <c r="N6" s="353"/>
      <c r="O6" s="3"/>
      <c r="P6" s="3"/>
      <c r="Q6" s="3"/>
      <c r="R6" s="3"/>
      <c r="S6" s="3"/>
      <c r="T6" s="3"/>
      <c r="U6" s="3"/>
      <c r="V6" s="3"/>
      <c r="W6" s="3"/>
      <c r="X6" s="184"/>
    </row>
    <row r="7" spans="1:34">
      <c r="A7" s="9" t="s">
        <v>49</v>
      </c>
      <c r="B7" s="34">
        <v>0</v>
      </c>
      <c r="C7" s="295">
        <f>EIA_RE_aeo2014!E73*1000-C15</f>
        <v>4192.99</v>
      </c>
      <c r="D7" s="295">
        <f>EIA_RE_aeo2014!F73*1000-D15</f>
        <v>3658.99</v>
      </c>
      <c r="E7" s="295">
        <f>EIA_RE_aeo2014!G73*1000-E15</f>
        <v>4366.9566652733492</v>
      </c>
      <c r="F7" s="295">
        <f>EIA_RE_aeo2014!H73*1000-F15</f>
        <v>3552.9896455079383</v>
      </c>
      <c r="G7" s="295">
        <f>EIA_RE_aeo2014!I73*1000-G15</f>
        <v>4510.0992115150038</v>
      </c>
      <c r="H7" s="174">
        <f>EIA_RE_aeo2014!J73*1000-H15</f>
        <v>4618.549245976189</v>
      </c>
      <c r="I7" s="174">
        <f>EIA_RE_aeo2014!K73*1000-I15</f>
        <v>4714.2706422727824</v>
      </c>
      <c r="J7" s="174">
        <f>EIA_RE_aeo2014!L73*1000-J15</f>
        <v>4796.977866931451</v>
      </c>
      <c r="K7" s="174">
        <f>EIA_RE_aeo2014!M73*1000-K15</f>
        <v>4853.096198971667</v>
      </c>
      <c r="L7" s="174">
        <f>EIA_RE_aeo2014!N73*1000-L15</f>
        <v>4853.0937643410971</v>
      </c>
      <c r="M7" s="174">
        <f>EIA_RE_aeo2014!O73*1000-M15</f>
        <v>4853.0950303489926</v>
      </c>
      <c r="N7" s="184">
        <f>EIA_RE_aeo2014!P73*1000-N15</f>
        <v>4853.0937643410971</v>
      </c>
      <c r="O7" s="174">
        <f>EIA_RE_aeo2014!Q73*1000-O15</f>
        <v>4853.0949329637697</v>
      </c>
      <c r="P7" s="174">
        <f>EIA_RE_aeo2014!R73*1000-P15</f>
        <v>4853.0915244809712</v>
      </c>
      <c r="Q7" s="174">
        <f>EIA_RE_aeo2014!S73*1000-Q15</f>
        <v>4879.8848286821403</v>
      </c>
      <c r="R7" s="174">
        <f>EIA_RE_aeo2014!T73*1000-R15</f>
        <v>4879.8828809776842</v>
      </c>
      <c r="S7" s="83">
        <f>EIA_RE_aeo2014!U73*1000-S15</f>
        <v>4879.8849260673633</v>
      </c>
      <c r="T7" s="83">
        <f>EIA_RE_aeo2014!V73*1000-T15</f>
        <v>4890.0671354254328</v>
      </c>
      <c r="U7" s="83">
        <f>EIA_RE_aeo2014!W73*1000-U15</f>
        <v>4896.1806875589446</v>
      </c>
      <c r="V7" s="83">
        <f>EIA_RE_aeo2014!X73*1000-V15</f>
        <v>4930.791298367014</v>
      </c>
      <c r="W7" s="83">
        <f>EIA_RE_aeo2014!Y73*1000-W15</f>
        <v>4964.5998444798661</v>
      </c>
      <c r="X7" s="184">
        <f>EIA_RE_aeo2014!Z73*1000-X15</f>
        <v>5002.3246399435484</v>
      </c>
      <c r="Y7" s="174">
        <f>EIA_RE_aeo2014!AA73*1000-Y15</f>
        <v>5002.325321640109</v>
      </c>
      <c r="Z7" s="174">
        <f>EIA_RE_aeo2014!AB73*1000-Z15</f>
        <v>5024.2069047426949</v>
      </c>
      <c r="AA7" s="174">
        <f>EIA_RE_aeo2014!AC73*1000-AA15</f>
        <v>5024.2079759801454</v>
      </c>
      <c r="AB7" s="174">
        <f>EIA_RE_aeo2014!AD73*1000-AB15</f>
        <v>5024.2079759801454</v>
      </c>
      <c r="AC7" s="174">
        <f>EIA_RE_aeo2014!AE73*1000-AC15</f>
        <v>5044.9750825926803</v>
      </c>
      <c r="AD7" s="174">
        <f>EIA_RE_aeo2014!AF73*1000-AD15</f>
        <v>5059.3591721601369</v>
      </c>
      <c r="AE7" s="174">
        <f>EIA_RE_aeo2014!AG73*1000-AE15</f>
        <v>5059.3611198645931</v>
      </c>
      <c r="AF7" s="174">
        <f>EIA_RE_aeo2014!AH73*1000-AF15</f>
        <v>5072.4116161906331</v>
      </c>
      <c r="AG7" s="174">
        <f>EIA_RE_aeo2014!AI73*1000-AG15</f>
        <v>5072.4115188054102</v>
      </c>
      <c r="AH7" s="174">
        <f>EIA_RE_aeo2014!AJ73*1000-AH15</f>
        <v>5072.4120057315258</v>
      </c>
    </row>
    <row r="8" spans="1:34">
      <c r="A8" s="9" t="s">
        <v>59</v>
      </c>
      <c r="B8" s="34">
        <v>0</v>
      </c>
      <c r="C8" s="295">
        <f>EIA_electricity_aeo2014!E52*1000</f>
        <v>15170</v>
      </c>
      <c r="D8" s="295">
        <f>EIA_electricity_aeo2014!F52*1000</f>
        <v>15023</v>
      </c>
      <c r="E8" s="295">
        <f>EIA_electricity_aeo2014!G52*1000</f>
        <v>15275.242452881852</v>
      </c>
      <c r="F8" s="295">
        <f>EIA_electricity_aeo2014!H52*1000</f>
        <v>15134.203540292883</v>
      </c>
      <c r="G8" s="295">
        <f>EIA_electricity_aeo2014!I52*1000</f>
        <v>14892.517985758583</v>
      </c>
      <c r="H8" s="3">
        <f>EIA_electricity_aeo2014!J52*1000</f>
        <v>14936.715923877196</v>
      </c>
      <c r="I8" s="3">
        <f>EIA_electricity_aeo2014!K52*1000</f>
        <v>15503.764293392249</v>
      </c>
      <c r="J8" s="3">
        <f>EIA_electricity_aeo2014!L52*1000</f>
        <v>16160.603631491444</v>
      </c>
      <c r="K8" s="3">
        <f>EIA_electricity_aeo2014!M52*1000</f>
        <v>16799.064790643039</v>
      </c>
      <c r="L8" s="3">
        <f>EIA_electricity_aeo2014!N52*1000</f>
        <v>17294.805297941159</v>
      </c>
      <c r="M8" s="3">
        <f>EIA_electricity_aeo2014!O52*1000</f>
        <v>17381.415232631934</v>
      </c>
      <c r="N8" s="353">
        <f>EIA_electricity_aeo2014!P52*1000</f>
        <v>17381.415667714529</v>
      </c>
      <c r="O8" s="3">
        <f>EIA_electricity_aeo2014!Q52*1000</f>
        <v>17381.415667714529</v>
      </c>
      <c r="P8" s="3">
        <f>EIA_electricity_aeo2014!R52*1000</f>
        <v>17381.415522686995</v>
      </c>
      <c r="Q8" s="3">
        <f>EIA_electricity_aeo2014!S52*1000</f>
        <v>17381.415667714529</v>
      </c>
      <c r="R8" s="3">
        <f>EIA_electricity_aeo2014!T52*1000</f>
        <v>17381.415232631934</v>
      </c>
      <c r="S8" s="3">
        <f>EIA_electricity_aeo2014!U52*1000</f>
        <v>17381.450401808514</v>
      </c>
      <c r="T8" s="3">
        <f>EIA_electricity_aeo2014!V52*1000</f>
        <v>17381.415522686995</v>
      </c>
      <c r="U8" s="3">
        <f>EIA_electricity_aeo2014!W52*1000</f>
        <v>17381.415377659465</v>
      </c>
      <c r="V8" s="3">
        <f>EIA_electricity_aeo2014!X52*1000</f>
        <v>17381.415377659465</v>
      </c>
      <c r="W8" s="3">
        <f>EIA_electricity_aeo2014!Y52*1000</f>
        <v>17381.415667714529</v>
      </c>
      <c r="X8" s="184">
        <f>EIA_electricity_aeo2014!Z52*1000</f>
        <v>17381.415377659465</v>
      </c>
      <c r="Y8" s="174">
        <f>EIA_electricity_aeo2014!AA52*1000</f>
        <v>17381.415377659465</v>
      </c>
      <c r="Z8" s="174">
        <f>EIA_electricity_aeo2014!AB52*1000</f>
        <v>17381.415522686995</v>
      </c>
      <c r="AA8" s="174">
        <f>EIA_electricity_aeo2014!AC52*1000</f>
        <v>17381.415160118166</v>
      </c>
      <c r="AB8" s="174">
        <f>EIA_electricity_aeo2014!AD52*1000</f>
        <v>17381.415377659465</v>
      </c>
      <c r="AC8" s="174">
        <f>EIA_electricity_aeo2014!AE52*1000</f>
        <v>17381.415667714529</v>
      </c>
      <c r="AD8" s="174">
        <f>EIA_electricity_aeo2014!AF52*1000</f>
        <v>17381.415667714529</v>
      </c>
      <c r="AE8" s="174">
        <f>EIA_electricity_aeo2014!AG52*1000</f>
        <v>17381.415667714529</v>
      </c>
      <c r="AF8" s="174">
        <f>EIA_electricity_aeo2014!AH52*1000</f>
        <v>17381.415667714529</v>
      </c>
      <c r="AG8" s="174">
        <f>EIA_electricity_aeo2014!AI52*1000</f>
        <v>17381.415377659465</v>
      </c>
      <c r="AH8" s="174">
        <f>EIA_electricity_aeo2014!AJ52*1000</f>
        <v>17381.415377659465</v>
      </c>
    </row>
    <row r="9" spans="1:34">
      <c r="A9" s="9"/>
      <c r="B9" s="34"/>
      <c r="C9" s="295"/>
      <c r="D9" s="295"/>
      <c r="E9" s="295"/>
      <c r="F9" s="295"/>
      <c r="G9" s="295"/>
      <c r="H9" s="118"/>
      <c r="I9" s="118"/>
      <c r="J9" s="118"/>
      <c r="K9" s="118"/>
      <c r="L9" s="118"/>
      <c r="M9" s="118"/>
      <c r="N9" s="353"/>
      <c r="O9" s="118"/>
      <c r="P9" s="118"/>
      <c r="Q9" s="118"/>
      <c r="R9" s="118"/>
      <c r="S9" s="118"/>
      <c r="T9" s="118"/>
      <c r="U9" s="118"/>
      <c r="V9" s="118"/>
      <c r="W9" s="118"/>
      <c r="X9" s="184"/>
    </row>
    <row r="10" spans="1:34" s="20" customFormat="1">
      <c r="A10" s="9" t="s">
        <v>125</v>
      </c>
      <c r="B10" s="35">
        <v>1</v>
      </c>
      <c r="C10" s="295">
        <f>EIA_RE_aeo2014!E76*1000</f>
        <v>1529</v>
      </c>
      <c r="D10" s="295">
        <f>EIA_RE_aeo2014!F76*1000</f>
        <v>1567</v>
      </c>
      <c r="E10" s="295">
        <f>EIA_RE_aeo2014!G76*1000</f>
        <v>1645.7447462926486</v>
      </c>
      <c r="F10" s="295">
        <f>EIA_RE_aeo2014!H76*1000</f>
        <v>1589.2299667463762</v>
      </c>
      <c r="G10" s="295">
        <f>EIA_RE_aeo2014!I76*1000</f>
        <v>1760.3290740837801</v>
      </c>
      <c r="H10" s="83">
        <f>EIA_RE_aeo2014!J76*1000</f>
        <v>1811.1388138442055</v>
      </c>
      <c r="I10" s="174">
        <f>EIA_RE_aeo2014!K76*1000</f>
        <v>1877.6348802810928</v>
      </c>
      <c r="J10" s="174">
        <f>EIA_RE_aeo2014!L76*1000</f>
        <v>1986.6478526266337</v>
      </c>
      <c r="K10" s="174">
        <f>EIA_RE_aeo2014!M76*1000</f>
        <v>2154.5049495344688</v>
      </c>
      <c r="L10" s="174">
        <f>EIA_RE_aeo2014!N76*1000</f>
        <v>2250.9534659171204</v>
      </c>
      <c r="M10" s="174">
        <f>EIA_RE_aeo2014!O76*1000</f>
        <v>2341.4057881517851</v>
      </c>
      <c r="N10" s="184">
        <f>EIA_RE_aeo2014!P76*1000</f>
        <v>2456.5544752870805</v>
      </c>
      <c r="O10" s="174">
        <f>EIA_RE_aeo2014!Q76*1000</f>
        <v>2634.2824098324181</v>
      </c>
      <c r="P10" s="174">
        <f>EIA_RE_aeo2014!R76*1000</f>
        <v>2754.8578663023013</v>
      </c>
      <c r="Q10" s="174">
        <f>EIA_RE_aeo2014!S76*1000</f>
        <v>3100.5940910002619</v>
      </c>
      <c r="R10" s="174">
        <f>EIA_RE_aeo2014!T76*1000</f>
        <v>3235.3422899152824</v>
      </c>
      <c r="S10" s="83">
        <f>EIA_RE_aeo2014!U76*1000</f>
        <v>3653.2688291841282</v>
      </c>
      <c r="T10" s="83">
        <f>EIA_RE_aeo2014!V76*1000</f>
        <v>3776.2035830098598</v>
      </c>
      <c r="U10" s="83">
        <f>EIA_RE_aeo2014!W76*1000</f>
        <v>3859.9018728513574</v>
      </c>
      <c r="V10" s="83">
        <f>EIA_RE_aeo2014!X76*1000</f>
        <v>3937.9629561472047</v>
      </c>
      <c r="W10" s="83">
        <f>EIA_RE_aeo2014!Y76*1000</f>
        <v>4410.485232954371</v>
      </c>
      <c r="X10" s="184">
        <f>EIA_RE_aeo2014!Z76*1000</f>
        <v>4482.1514916971819</v>
      </c>
      <c r="Y10" s="174">
        <f>EIA_RE_aeo2014!AA76*1000</f>
        <v>4542.1863318864907</v>
      </c>
      <c r="Z10" s="174">
        <f>EIA_RE_aeo2014!AB76*1000</f>
        <v>4587.2429099033325</v>
      </c>
      <c r="AA10" s="174">
        <f>EIA_RE_aeo2014!AC76*1000</f>
        <v>4647.6419132831088</v>
      </c>
      <c r="AB10" s="174">
        <f>EIA_RE_aeo2014!AD76*1000</f>
        <v>4717.1059042163697</v>
      </c>
      <c r="AC10" s="174">
        <f>EIA_RE_aeo2014!AE76*1000</f>
        <v>4776.3419419310294</v>
      </c>
      <c r="AD10" s="174">
        <f>EIA_RE_aeo2014!AF76*1000</f>
        <v>4858.8207751135478</v>
      </c>
      <c r="AE10" s="174">
        <f>EIA_RE_aeo2014!AG76*1000</f>
        <v>4947.8847183021189</v>
      </c>
      <c r="AF10" s="174">
        <f>EIA_RE_aeo2014!AH76*1000</f>
        <v>5050.4445030795196</v>
      </c>
      <c r="AG10" s="174">
        <f>EIA_RE_aeo2014!AI76*1000</f>
        <v>5157.2713950932857</v>
      </c>
      <c r="AH10" s="174">
        <f>EIA_RE_aeo2014!AJ76*1000</f>
        <v>5253.4275458059356</v>
      </c>
    </row>
    <row r="11" spans="1:34" s="20" customFormat="1">
      <c r="A11" s="9" t="s">
        <v>50</v>
      </c>
      <c r="B11" s="35">
        <v>1</v>
      </c>
      <c r="C11" s="295">
        <f>EIA_RE_aeo2014!E74*1000</f>
        <v>0</v>
      </c>
      <c r="D11" s="295">
        <f>EIA_RE_aeo2014!F74*1000</f>
        <v>0</v>
      </c>
      <c r="E11" s="295">
        <f>EIA_RE_aeo2014!G74*1000</f>
        <v>4.0118829999999999E-3</v>
      </c>
      <c r="F11" s="295">
        <f>EIA_RE_aeo2014!H74*1000</f>
        <v>3.7581989999999998E-3</v>
      </c>
      <c r="G11" s="295">
        <f>EIA_RE_aeo2014!I74*1000</f>
        <v>4.109054E-3</v>
      </c>
      <c r="H11" s="83">
        <f>EIA_RE_aeo2014!J74*1000</f>
        <v>4.1090699999999994E-3</v>
      </c>
      <c r="I11" s="83">
        <f>EIA_RE_aeo2014!K74*1000</f>
        <v>4.1077979999999993E-3</v>
      </c>
      <c r="J11" s="83">
        <f>EIA_RE_aeo2014!L74*1000</f>
        <v>4.1001169999999995E-3</v>
      </c>
      <c r="K11" s="83">
        <f>EIA_RE_aeo2014!M74*1000</f>
        <v>4.5077809999999989E-3</v>
      </c>
      <c r="L11" s="83">
        <f>EIA_RE_aeo2014!N74*1000</f>
        <v>4.9009479999999996E-3</v>
      </c>
      <c r="M11" s="83">
        <f>EIA_RE_aeo2014!O74*1000</f>
        <v>4.9156639999999993E-3</v>
      </c>
      <c r="N11" s="353">
        <f>EIA_RE_aeo2014!P74*1000</f>
        <v>4.9143329999999999E-3</v>
      </c>
      <c r="O11" s="83">
        <f>EIA_RE_aeo2014!Q74*1000</f>
        <v>4.9132239999999999E-3</v>
      </c>
      <c r="P11" s="83">
        <f>EIA_RE_aeo2014!R74*1000</f>
        <v>4.9197499999999996E-3</v>
      </c>
      <c r="Q11" s="83">
        <f>EIA_RE_aeo2014!S74*1000</f>
        <v>4.9287999999999997E-3</v>
      </c>
      <c r="R11" s="83">
        <f>EIA_RE_aeo2014!T74*1000</f>
        <v>4.9247539999999999E-3</v>
      </c>
      <c r="S11" s="83">
        <f>EIA_RE_aeo2014!U74*1000</f>
        <v>4.9286719999999994E-3</v>
      </c>
      <c r="T11" s="83">
        <f>EIA_RE_aeo2014!V74*1000</f>
        <v>4.9275430000000004E-3</v>
      </c>
      <c r="U11" s="83">
        <f>EIA_RE_aeo2014!W74*1000</f>
        <v>5.3101979999999995E-3</v>
      </c>
      <c r="V11" s="83">
        <f>EIA_RE_aeo2014!X74*1000</f>
        <v>5.5501300000000003E-3</v>
      </c>
      <c r="W11" s="83">
        <f>EIA_RE_aeo2014!Y74*1000</f>
        <v>5.5720199999999996E-3</v>
      </c>
      <c r="X11" s="184">
        <f>EIA_RE_aeo2014!Z74*1000</f>
        <v>5.8294079999999995E-3</v>
      </c>
      <c r="Y11" s="174">
        <f>EIA_RE_aeo2014!AA74*1000</f>
        <v>6.0471729999999994E-3</v>
      </c>
      <c r="Z11" s="174">
        <f>EIA_RE_aeo2014!AB74*1000</f>
        <v>6.0445359999999997E-3</v>
      </c>
      <c r="AA11" s="174">
        <f>EIA_RE_aeo2014!AC74*1000</f>
        <v>6.0421289999999994E-3</v>
      </c>
      <c r="AB11" s="174">
        <f>EIA_RE_aeo2014!AD74*1000</f>
        <v>6.0397999999999997E-3</v>
      </c>
      <c r="AC11" s="174">
        <f>EIA_RE_aeo2014!AE74*1000</f>
        <v>6.0375639999999996E-3</v>
      </c>
      <c r="AD11" s="174">
        <f>EIA_RE_aeo2014!AF74*1000</f>
        <v>6.0354029999999999E-3</v>
      </c>
      <c r="AE11" s="174">
        <f>EIA_RE_aeo2014!AG74*1000</f>
        <v>6.0333230000000002E-3</v>
      </c>
      <c r="AF11" s="174">
        <f>EIA_RE_aeo2014!AH74*1000</f>
        <v>6.0313509999999999E-3</v>
      </c>
      <c r="AG11" s="174">
        <f>EIA_RE_aeo2014!AI74*1000</f>
        <v>6.0293979999999992E-3</v>
      </c>
      <c r="AH11" s="174">
        <f>EIA_RE_aeo2014!AJ74*1000</f>
        <v>6.0275829999999996E-3</v>
      </c>
    </row>
    <row r="12" spans="1:34" s="20" customFormat="1">
      <c r="A12" s="9" t="s">
        <v>51</v>
      </c>
      <c r="B12" s="35">
        <v>1</v>
      </c>
      <c r="C12" s="295">
        <f>EIA_RE_aeo2014!E75*1000</f>
        <v>34</v>
      </c>
      <c r="D12" s="295">
        <f>EIA_RE_aeo2014!F75*1000</f>
        <v>38</v>
      </c>
      <c r="E12" s="295">
        <f>EIA_RE_aeo2014!G75*1000</f>
        <v>66.167474119653107</v>
      </c>
      <c r="F12" s="295">
        <f>EIA_RE_aeo2014!H75*1000</f>
        <v>68.513453740798525</v>
      </c>
      <c r="G12" s="295">
        <f>EIA_RE_aeo2014!I75*1000</f>
        <v>55.726637151806898</v>
      </c>
      <c r="H12" s="83">
        <f>EIA_RE_aeo2014!J75*1000</f>
        <v>59.963598767152476</v>
      </c>
      <c r="I12" s="174">
        <f>EIA_RE_aeo2014!K75*1000</f>
        <v>54.887188761247309</v>
      </c>
      <c r="J12" s="174">
        <f>EIA_RE_aeo2014!L75*1000</f>
        <v>64.208316585259197</v>
      </c>
      <c r="K12" s="174">
        <f>EIA_RE_aeo2014!M75*1000</f>
        <v>64.648740455423919</v>
      </c>
      <c r="L12" s="174">
        <f>EIA_RE_aeo2014!N75*1000</f>
        <v>64.659658422367983</v>
      </c>
      <c r="M12" s="174">
        <f>EIA_RE_aeo2014!O75*1000</f>
        <v>64.235389191075271</v>
      </c>
      <c r="N12" s="184">
        <f>EIA_RE_aeo2014!P75*1000</f>
        <v>64.216566813673964</v>
      </c>
      <c r="O12" s="174">
        <f>EIA_RE_aeo2014!Q75*1000</f>
        <v>64.205401833903096</v>
      </c>
      <c r="P12" s="174">
        <f>EIA_RE_aeo2014!R75*1000</f>
        <v>64.619592941862834</v>
      </c>
      <c r="Q12" s="174">
        <f>EIA_RE_aeo2014!S75*1000</f>
        <v>64.185196184671753</v>
      </c>
      <c r="R12" s="174">
        <f>EIA_RE_aeo2014!T75*1000</f>
        <v>64.17551328186164</v>
      </c>
      <c r="S12" s="83">
        <f>EIA_RE_aeo2014!U75*1000</f>
        <v>64.590643038563144</v>
      </c>
      <c r="T12" s="83">
        <f>EIA_RE_aeo2014!V75*1000</f>
        <v>63.464363353536235</v>
      </c>
      <c r="U12" s="83">
        <f>EIA_RE_aeo2014!W75*1000</f>
        <v>64.129618298644246</v>
      </c>
      <c r="V12" s="83">
        <f>EIA_RE_aeo2014!X75*1000</f>
        <v>64.109906675066483</v>
      </c>
      <c r="W12" s="83">
        <f>EIA_RE_aeo2014!Y75*1000</f>
        <v>64.087181495001914</v>
      </c>
      <c r="X12" s="184">
        <f>EIA_RE_aeo2014!Z75*1000</f>
        <v>64.062677822584448</v>
      </c>
      <c r="Y12" s="174">
        <f>EIA_RE_aeo2014!AA75*1000</f>
        <v>64.0382729552977</v>
      </c>
      <c r="Z12" s="174">
        <f>EIA_RE_aeo2014!AB75*1000</f>
        <v>64.443621004058372</v>
      </c>
      <c r="AA12" s="174">
        <f>EIA_RE_aeo2014!AC75*1000</f>
        <v>65.022223849528828</v>
      </c>
      <c r="AB12" s="174">
        <f>EIA_RE_aeo2014!AD75*1000</f>
        <v>65.882569525234729</v>
      </c>
      <c r="AC12" s="174">
        <f>EIA_RE_aeo2014!AE75*1000</f>
        <v>65.86562444531701</v>
      </c>
      <c r="AD12" s="174">
        <f>EIA_RE_aeo2014!AF75*1000</f>
        <v>65.849025183356787</v>
      </c>
      <c r="AE12" s="174">
        <f>EIA_RE_aeo2014!AG75*1000</f>
        <v>67.096538763771719</v>
      </c>
      <c r="AF12" s="174">
        <f>EIA_RE_aeo2014!AH75*1000</f>
        <v>67.083743499344052</v>
      </c>
      <c r="AG12" s="174">
        <f>EIA_RE_aeo2014!AI75*1000</f>
        <v>67.070009586174592</v>
      </c>
      <c r="AH12" s="174">
        <f>EIA_RE_aeo2014!AJ75*1000</f>
        <v>67.056423880701203</v>
      </c>
    </row>
    <row r="13" spans="1:34">
      <c r="A13" s="9" t="s">
        <v>347</v>
      </c>
      <c r="B13" s="34">
        <v>1</v>
      </c>
      <c r="C13" s="295">
        <f>(EIA_RE_aeo2014!E34+EIA_RE_aeo2014!E54)*1000</f>
        <v>0</v>
      </c>
      <c r="D13" s="295">
        <f>(EIA_RE_aeo2014!F34+EIA_RE_aeo2014!F54)*1000</f>
        <v>0</v>
      </c>
      <c r="E13" s="295">
        <f>(EIA_RE_aeo2014!G34+EIA_RE_aeo2014!G54)*1000</f>
        <v>0.2</v>
      </c>
      <c r="F13" s="295">
        <f>(EIA_RE_aeo2014!H34+EIA_RE_aeo2014!H54)*1000</f>
        <v>0.2</v>
      </c>
      <c r="G13" s="295">
        <f>(EIA_RE_aeo2014!I34+EIA_RE_aeo2014!I54)*1000</f>
        <v>0.2</v>
      </c>
      <c r="H13" s="83">
        <f>(EIA_RE_aeo2014!J34+EIA_RE_aeo2014!J54)*1000</f>
        <v>0.2</v>
      </c>
      <c r="I13" s="83">
        <f>(EIA_RE_aeo2014!K34+EIA_RE_aeo2014!K54)*1000</f>
        <v>0.2</v>
      </c>
      <c r="J13" s="83">
        <f>(EIA_RE_aeo2014!L34+EIA_RE_aeo2014!L54)*1000</f>
        <v>0.2</v>
      </c>
      <c r="K13" s="83">
        <f>(EIA_RE_aeo2014!M34+EIA_RE_aeo2014!M54)*1000</f>
        <v>0.2</v>
      </c>
      <c r="L13" s="83">
        <f>(EIA_RE_aeo2014!N34+EIA_RE_aeo2014!N54)*1000</f>
        <v>0.2</v>
      </c>
      <c r="M13" s="83">
        <f>(EIA_RE_aeo2014!O34+EIA_RE_aeo2014!O54)*1000</f>
        <v>0.2</v>
      </c>
      <c r="N13" s="353">
        <f>(EIA_RE_aeo2014!P34+EIA_RE_aeo2014!P54)*1000</f>
        <v>0.2</v>
      </c>
      <c r="O13" s="83">
        <f>(EIA_RE_aeo2014!Q34+EIA_RE_aeo2014!Q54)*1000</f>
        <v>0.2</v>
      </c>
      <c r="P13" s="83">
        <f>(EIA_RE_aeo2014!R34+EIA_RE_aeo2014!R54)*1000</f>
        <v>0.2</v>
      </c>
      <c r="Q13" s="83">
        <f>(EIA_RE_aeo2014!S34+EIA_RE_aeo2014!S54)*1000</f>
        <v>0.2</v>
      </c>
      <c r="R13" s="83">
        <f>(EIA_RE_aeo2014!T34+EIA_RE_aeo2014!T54)*1000</f>
        <v>0.2</v>
      </c>
      <c r="S13" s="83">
        <f>(EIA_RE_aeo2014!U34+EIA_RE_aeo2014!U54)*1000</f>
        <v>0.2</v>
      </c>
      <c r="T13" s="83">
        <f>(EIA_RE_aeo2014!V34+EIA_RE_aeo2014!V54)*1000</f>
        <v>0.2</v>
      </c>
      <c r="U13" s="83">
        <f>(EIA_RE_aeo2014!W34+EIA_RE_aeo2014!W54)*1000</f>
        <v>0.2</v>
      </c>
      <c r="V13" s="83">
        <f>(EIA_RE_aeo2014!X34+EIA_RE_aeo2014!X54)*1000</f>
        <v>0.2</v>
      </c>
      <c r="W13" s="83">
        <f>(EIA_RE_aeo2014!Y34+EIA_RE_aeo2014!Y54)*1000</f>
        <v>0.2</v>
      </c>
      <c r="X13" s="184">
        <f>(EIA_RE_aeo2014!Z34+EIA_RE_aeo2014!Z54)*1000</f>
        <v>0.2</v>
      </c>
      <c r="Y13" s="174">
        <f>(EIA_RE_aeo2014!AA34+EIA_RE_aeo2014!AA54)*1000</f>
        <v>0.2</v>
      </c>
      <c r="Z13" s="174">
        <f>(EIA_RE_aeo2014!AB34+EIA_RE_aeo2014!AB54)*1000</f>
        <v>0.2</v>
      </c>
      <c r="AA13" s="174">
        <f>(EIA_RE_aeo2014!AC34+EIA_RE_aeo2014!AC54)*1000</f>
        <v>0.2</v>
      </c>
      <c r="AB13" s="174">
        <f>(EIA_RE_aeo2014!AD34+EIA_RE_aeo2014!AD54)*1000</f>
        <v>0.2</v>
      </c>
      <c r="AC13" s="174">
        <f>(EIA_RE_aeo2014!AE34+EIA_RE_aeo2014!AE54)*1000</f>
        <v>0.2</v>
      </c>
      <c r="AD13" s="174">
        <f>(EIA_RE_aeo2014!AF34+EIA_RE_aeo2014!AF54)*1000</f>
        <v>0.2</v>
      </c>
      <c r="AE13" s="174">
        <f>(EIA_RE_aeo2014!AG34+EIA_RE_aeo2014!AG54)*1000</f>
        <v>0.2</v>
      </c>
      <c r="AF13" s="174">
        <f>(EIA_RE_aeo2014!AH34+EIA_RE_aeo2014!AH54)*1000</f>
        <v>0.2</v>
      </c>
      <c r="AG13" s="174">
        <f>(EIA_RE_aeo2014!AI34+EIA_RE_aeo2014!AI54)*1000</f>
        <v>0.2</v>
      </c>
      <c r="AH13" s="174">
        <f>EIA_RE_aeo2014!AJ77*1000</f>
        <v>0</v>
      </c>
    </row>
    <row r="14" spans="1:34">
      <c r="A14" s="9" t="s">
        <v>348</v>
      </c>
      <c r="B14" s="34">
        <v>1</v>
      </c>
      <c r="C14" s="295">
        <f>EIA_RE_aeo2014!E33*1000</f>
        <v>0</v>
      </c>
      <c r="D14" s="295">
        <f>EIA_RE_aeo2014!F33*1000</f>
        <v>0</v>
      </c>
      <c r="E14" s="295">
        <f>EIA_RE_aeo2014!G33*1000</f>
        <v>0.1</v>
      </c>
      <c r="F14" s="295">
        <f>EIA_RE_aeo2014!H33*1000</f>
        <v>0.1</v>
      </c>
      <c r="G14" s="295">
        <f>EIA_RE_aeo2014!I33*1000</f>
        <v>0.1</v>
      </c>
      <c r="H14" s="83">
        <f>EIA_RE_aeo2014!J33*1000</f>
        <v>0.1</v>
      </c>
      <c r="I14" s="83">
        <f>EIA_RE_aeo2014!K33*1000</f>
        <v>0.1</v>
      </c>
      <c r="J14" s="83">
        <f>EIA_RE_aeo2014!L33*1000</f>
        <v>0.1</v>
      </c>
      <c r="K14" s="83">
        <f>EIA_RE_aeo2014!M33*1000</f>
        <v>0.1</v>
      </c>
      <c r="L14" s="83">
        <f>EIA_RE_aeo2014!N33*1000</f>
        <v>0.1</v>
      </c>
      <c r="M14" s="83">
        <f>EIA_RE_aeo2014!O33*1000</f>
        <v>0.1</v>
      </c>
      <c r="N14" s="353">
        <f>EIA_RE_aeo2014!P33*1000</f>
        <v>0.1</v>
      </c>
      <c r="O14" s="83">
        <f>EIA_RE_aeo2014!Q33*1000</f>
        <v>0.1</v>
      </c>
      <c r="P14" s="83">
        <f>EIA_RE_aeo2014!R33*1000</f>
        <v>0.1</v>
      </c>
      <c r="Q14" s="83">
        <f>EIA_RE_aeo2014!S33*1000</f>
        <v>0.1</v>
      </c>
      <c r="R14" s="83">
        <f>EIA_RE_aeo2014!T33*1000</f>
        <v>0.1</v>
      </c>
      <c r="S14" s="83">
        <f>EIA_RE_aeo2014!U33*1000</f>
        <v>0.1</v>
      </c>
      <c r="T14" s="83">
        <f>EIA_RE_aeo2014!V33*1000</f>
        <v>0.1</v>
      </c>
      <c r="U14" s="83">
        <f>EIA_RE_aeo2014!W33*1000</f>
        <v>0.1</v>
      </c>
      <c r="V14" s="83">
        <f>EIA_RE_aeo2014!X33*1000</f>
        <v>0.1</v>
      </c>
      <c r="W14" s="83">
        <f>EIA_RE_aeo2014!Y33*1000</f>
        <v>0.1</v>
      </c>
      <c r="X14" s="184">
        <f>EIA_RE_aeo2014!Z33*1000</f>
        <v>0.1</v>
      </c>
      <c r="Y14" s="174">
        <f>EIA_RE_aeo2014!AA33*1000</f>
        <v>0.1</v>
      </c>
      <c r="Z14" s="174">
        <f>EIA_RE_aeo2014!AB33*1000</f>
        <v>0.1</v>
      </c>
      <c r="AA14" s="174">
        <f>EIA_RE_aeo2014!AC33*1000</f>
        <v>0.1</v>
      </c>
      <c r="AB14" s="174">
        <f>EIA_RE_aeo2014!AD33*1000</f>
        <v>0.1</v>
      </c>
      <c r="AC14" s="174">
        <f>EIA_RE_aeo2014!AE33*1000</f>
        <v>0.1</v>
      </c>
      <c r="AD14" s="174">
        <f>EIA_RE_aeo2014!AF33*1000</f>
        <v>0.1</v>
      </c>
      <c r="AE14" s="174">
        <f>EIA_RE_aeo2014!AG33*1000</f>
        <v>0.1</v>
      </c>
      <c r="AF14" s="174">
        <f>EIA_RE_aeo2014!AH33*1000</f>
        <v>0.1</v>
      </c>
      <c r="AG14" s="174">
        <f>EIA_RE_aeo2014!AI33*1000</f>
        <v>0.1</v>
      </c>
      <c r="AH14" s="174">
        <f>EIA_RE_aeo2014!AJ33*1000</f>
        <v>0.1</v>
      </c>
    </row>
    <row r="15" spans="1:34" s="422" customFormat="1">
      <c r="A15" s="419" t="s">
        <v>714</v>
      </c>
      <c r="B15" s="420">
        <v>1</v>
      </c>
      <c r="C15" s="421">
        <v>0.01</v>
      </c>
      <c r="D15" s="421">
        <v>0.01</v>
      </c>
      <c r="E15" s="421">
        <v>0.01</v>
      </c>
      <c r="F15" s="421">
        <v>0.01</v>
      </c>
      <c r="G15" s="421">
        <v>0.01</v>
      </c>
      <c r="H15" s="421">
        <v>0.01</v>
      </c>
      <c r="I15" s="421">
        <v>0.01</v>
      </c>
      <c r="J15" s="421">
        <v>0.01</v>
      </c>
      <c r="K15" s="421">
        <v>0.01</v>
      </c>
      <c r="L15" s="421">
        <v>0.01</v>
      </c>
      <c r="M15" s="421">
        <v>0.01</v>
      </c>
      <c r="N15" s="421">
        <v>0.01</v>
      </c>
      <c r="O15" s="421">
        <v>0.01</v>
      </c>
      <c r="P15" s="421">
        <v>0.01</v>
      </c>
      <c r="Q15" s="421">
        <v>0.01</v>
      </c>
      <c r="R15" s="421">
        <v>0.01</v>
      </c>
      <c r="S15" s="421">
        <v>0.01</v>
      </c>
      <c r="T15" s="421">
        <v>0.01</v>
      </c>
      <c r="U15" s="421">
        <v>0.01</v>
      </c>
      <c r="V15" s="421">
        <v>0.01</v>
      </c>
      <c r="W15" s="421">
        <v>0.01</v>
      </c>
      <c r="X15" s="421">
        <v>0.01</v>
      </c>
      <c r="Y15" s="421">
        <v>0.01</v>
      </c>
      <c r="Z15" s="421">
        <v>0.01</v>
      </c>
      <c r="AA15" s="421">
        <v>0.01</v>
      </c>
      <c r="AB15" s="421">
        <v>0.01</v>
      </c>
      <c r="AC15" s="421">
        <v>0.01</v>
      </c>
      <c r="AD15" s="421">
        <v>0.01</v>
      </c>
      <c r="AE15" s="421">
        <v>0.01</v>
      </c>
      <c r="AF15" s="421">
        <v>0.01</v>
      </c>
      <c r="AG15" s="421">
        <v>0.01</v>
      </c>
      <c r="AH15" s="421">
        <v>0.01</v>
      </c>
    </row>
    <row r="16" spans="1:34">
      <c r="A16" s="9" t="s">
        <v>53</v>
      </c>
      <c r="B16" s="34">
        <v>1</v>
      </c>
      <c r="C16" s="295">
        <f>EIA_RE_aeo2014!E78*1000</f>
        <v>0</v>
      </c>
      <c r="D16" s="295">
        <f>EIA_RE_aeo2014!F78*1000</f>
        <v>0</v>
      </c>
      <c r="E16" s="295">
        <f>EIA_RE_aeo2014!G78*1000</f>
        <v>3.8983921000000005E-2</v>
      </c>
      <c r="F16" s="295">
        <f>EIA_RE_aeo2014!H78*1000</f>
        <v>4.3605923000000005E-2</v>
      </c>
      <c r="G16" s="295">
        <f>EIA_RE_aeo2014!I78*1000</f>
        <v>4.6780897999999994E-2</v>
      </c>
      <c r="H16" s="3">
        <f>EIA_RE_aeo2014!J78*1000</f>
        <v>4.7040753000000005E-2</v>
      </c>
      <c r="I16" s="3">
        <f>EIA_RE_aeo2014!K78*1000</f>
        <v>5.9372953999999999E-2</v>
      </c>
      <c r="J16" s="3">
        <f>EIA_RE_aeo2014!L78*1000</f>
        <v>6.7380640000000006E-2</v>
      </c>
      <c r="K16" s="3">
        <f>EIA_RE_aeo2014!M78*1000</f>
        <v>6.7380969999999984E-2</v>
      </c>
      <c r="L16" s="3">
        <f>EIA_RE_aeo2014!N78*1000</f>
        <v>6.7371153999999989E-2</v>
      </c>
      <c r="M16" s="3">
        <f>EIA_RE_aeo2014!O78*1000</f>
        <v>6.7383626999999988E-2</v>
      </c>
      <c r="N16" s="353">
        <f>EIA_RE_aeo2014!P78*1000</f>
        <v>6.7387489999999994E-2</v>
      </c>
      <c r="O16" s="3">
        <f>EIA_RE_aeo2014!Q78*1000</f>
        <v>6.7393858000000001E-2</v>
      </c>
      <c r="P16" s="3">
        <f>EIA_RE_aeo2014!R78*1000</f>
        <v>6.7421112999999991E-2</v>
      </c>
      <c r="Q16" s="3">
        <f>EIA_RE_aeo2014!S78*1000</f>
        <v>6.7413718999999997E-2</v>
      </c>
      <c r="R16" s="3">
        <f>EIA_RE_aeo2014!T78*1000</f>
        <v>6.7409741999999995E-2</v>
      </c>
      <c r="S16" s="3">
        <f>EIA_RE_aeo2014!U78*1000</f>
        <v>6.7406160999999992E-2</v>
      </c>
      <c r="T16" s="3">
        <f>EIA_RE_aeo2014!V78*1000</f>
        <v>6.7415045999999992E-2</v>
      </c>
      <c r="U16" s="3">
        <f>EIA_RE_aeo2014!W78*1000</f>
        <v>6.7431210999999977E-2</v>
      </c>
      <c r="V16" s="3">
        <f>EIA_RE_aeo2014!X78*1000</f>
        <v>6.7428821999999985E-2</v>
      </c>
      <c r="W16" s="3">
        <f>EIA_RE_aeo2014!Y78*1000</f>
        <v>6.7500607000000004E-2</v>
      </c>
      <c r="X16" s="184">
        <f>EIA_RE_aeo2014!Z78*1000</f>
        <v>6.7593868000000001E-2</v>
      </c>
      <c r="Y16" s="174">
        <f>EIA_RE_aeo2014!AA78*1000</f>
        <v>6.7692880999999996E-2</v>
      </c>
      <c r="Z16" s="174">
        <f>EIA_RE_aeo2014!AB78*1000</f>
        <v>6.7802678000000005E-2</v>
      </c>
      <c r="AA16" s="174">
        <f>EIA_RE_aeo2014!AC78*1000</f>
        <v>6.7932296000000003E-2</v>
      </c>
      <c r="AB16" s="174">
        <f>EIA_RE_aeo2014!AD78*1000</f>
        <v>6.8157133000000009E-2</v>
      </c>
      <c r="AC16" s="174">
        <f>EIA_RE_aeo2014!AE78*1000</f>
        <v>6.8263563999999999E-2</v>
      </c>
      <c r="AD16" s="174">
        <f>EIA_RE_aeo2014!AF78*1000</f>
        <v>6.8268463000000001E-2</v>
      </c>
      <c r="AE16" s="174">
        <f>EIA_RE_aeo2014!AG78*1000</f>
        <v>6.8581467000000007E-2</v>
      </c>
      <c r="AF16" s="174">
        <f>EIA_RE_aeo2014!AH78*1000</f>
        <v>6.8813841000000001E-2</v>
      </c>
      <c r="AG16" s="174">
        <f>EIA_RE_aeo2014!AI78*1000</f>
        <v>6.9208895999999992E-2</v>
      </c>
      <c r="AH16" s="174">
        <f>EIA_RE_aeo2014!AJ78*1000</f>
        <v>6.9860670999999985E-2</v>
      </c>
    </row>
    <row r="17" spans="1:34">
      <c r="A17" s="11" t="s">
        <v>327</v>
      </c>
      <c r="B17" s="36"/>
      <c r="C17" s="295">
        <f t="shared" ref="C17:AH17" si="0">SUM(C7:C16)</f>
        <v>20925.999999999996</v>
      </c>
      <c r="D17" s="295">
        <f t="shared" si="0"/>
        <v>20286.999999999996</v>
      </c>
      <c r="E17" s="295">
        <f t="shared" si="0"/>
        <v>21354.464334371503</v>
      </c>
      <c r="F17" s="295">
        <f t="shared" si="0"/>
        <v>20345.293970409995</v>
      </c>
      <c r="G17" s="295">
        <f t="shared" si="0"/>
        <v>21219.033798461169</v>
      </c>
      <c r="H17" s="3">
        <f t="shared" si="0"/>
        <v>21426.728732287742</v>
      </c>
      <c r="I17" s="3">
        <f t="shared" si="0"/>
        <v>22150.930485459372</v>
      </c>
      <c r="J17" s="3">
        <f t="shared" si="0"/>
        <v>23008.819148391784</v>
      </c>
      <c r="K17" s="3">
        <f t="shared" si="0"/>
        <v>23871.696568355594</v>
      </c>
      <c r="L17" s="3">
        <f t="shared" si="0"/>
        <v>24463.894458723742</v>
      </c>
      <c r="M17" s="3">
        <f t="shared" si="0"/>
        <v>24640.533739614784</v>
      </c>
      <c r="N17" s="353">
        <f t="shared" si="0"/>
        <v>24755.662775979377</v>
      </c>
      <c r="O17" s="3">
        <f t="shared" si="0"/>
        <v>24933.380719426616</v>
      </c>
      <c r="P17" s="3">
        <f t="shared" si="0"/>
        <v>25054.366847275127</v>
      </c>
      <c r="Q17" s="3">
        <f t="shared" si="0"/>
        <v>25426.462126100603</v>
      </c>
      <c r="R17" s="3">
        <f t="shared" si="0"/>
        <v>25561.198251302765</v>
      </c>
      <c r="S17" s="3">
        <f t="shared" si="0"/>
        <v>25979.577134931566</v>
      </c>
      <c r="T17" s="3">
        <f t="shared" si="0"/>
        <v>26111.532947064825</v>
      </c>
      <c r="U17" s="3">
        <f t="shared" si="0"/>
        <v>26202.010297777408</v>
      </c>
      <c r="V17" s="3">
        <f t="shared" si="0"/>
        <v>26314.662517800745</v>
      </c>
      <c r="W17" s="3">
        <f t="shared" si="0"/>
        <v>26820.970999270769</v>
      </c>
      <c r="X17" s="184">
        <f t="shared" si="0"/>
        <v>26930.337610398779</v>
      </c>
      <c r="Y17" s="174">
        <f t="shared" si="0"/>
        <v>26990.349044195362</v>
      </c>
      <c r="Z17" s="174">
        <f t="shared" si="0"/>
        <v>27057.69280555108</v>
      </c>
      <c r="AA17" s="174">
        <f t="shared" si="0"/>
        <v>27118.671247655948</v>
      </c>
      <c r="AB17" s="174">
        <f t="shared" si="0"/>
        <v>27188.996024314209</v>
      </c>
      <c r="AC17" s="174">
        <f t="shared" si="0"/>
        <v>27268.982617811555</v>
      </c>
      <c r="AD17" s="174">
        <f t="shared" si="0"/>
        <v>27365.82894403757</v>
      </c>
      <c r="AE17" s="174">
        <f t="shared" si="0"/>
        <v>27456.142659435009</v>
      </c>
      <c r="AF17" s="174">
        <f t="shared" si="0"/>
        <v>27571.740375676025</v>
      </c>
      <c r="AG17" s="174">
        <f t="shared" si="0"/>
        <v>27678.55353943833</v>
      </c>
      <c r="AH17" s="174">
        <f t="shared" si="0"/>
        <v>27774.497241331625</v>
      </c>
    </row>
    <row r="18" spans="1:34">
      <c r="A18" s="10" t="s">
        <v>126</v>
      </c>
      <c r="B18" s="37"/>
      <c r="C18" s="296">
        <f t="shared" ref="C18:AH18" si="1">SUMPRODUCT($B7:$B16,C7:C16)</f>
        <v>1563.01</v>
      </c>
      <c r="D18" s="296">
        <f t="shared" si="1"/>
        <v>1605.01</v>
      </c>
      <c r="E18" s="296">
        <f t="shared" si="1"/>
        <v>1712.2652162163017</v>
      </c>
      <c r="F18" s="296">
        <f t="shared" si="1"/>
        <v>1658.1007846091748</v>
      </c>
      <c r="G18" s="296">
        <f t="shared" si="1"/>
        <v>1816.416601187587</v>
      </c>
      <c r="H18" s="14">
        <f t="shared" si="1"/>
        <v>1871.4635624343578</v>
      </c>
      <c r="I18" s="14">
        <f t="shared" si="1"/>
        <v>1932.89554979434</v>
      </c>
      <c r="J18" s="14">
        <f t="shared" si="1"/>
        <v>2051.237649968893</v>
      </c>
      <c r="K18" s="14">
        <f t="shared" si="1"/>
        <v>2219.535578740893</v>
      </c>
      <c r="L18" s="14">
        <f t="shared" si="1"/>
        <v>2315.9953964414881</v>
      </c>
      <c r="M18" s="14">
        <f t="shared" si="1"/>
        <v>2406.0234766338599</v>
      </c>
      <c r="N18" s="190">
        <f t="shared" si="1"/>
        <v>2521.1533439237546</v>
      </c>
      <c r="O18" s="14">
        <f t="shared" si="1"/>
        <v>2698.8701187483211</v>
      </c>
      <c r="P18" s="14">
        <f t="shared" si="1"/>
        <v>2819.8598001071641</v>
      </c>
      <c r="Q18" s="14">
        <f t="shared" si="1"/>
        <v>3165.1616297039336</v>
      </c>
      <c r="R18" s="14">
        <f t="shared" si="1"/>
        <v>3299.9001376931442</v>
      </c>
      <c r="S18" s="14">
        <f t="shared" si="1"/>
        <v>3718.241807055691</v>
      </c>
      <c r="T18" s="14">
        <f t="shared" si="1"/>
        <v>3840.0502889523959</v>
      </c>
      <c r="U18" s="14">
        <f t="shared" si="1"/>
        <v>3924.4142325590019</v>
      </c>
      <c r="V18" s="14">
        <f t="shared" si="1"/>
        <v>4002.455841774271</v>
      </c>
      <c r="W18" s="14">
        <f t="shared" si="1"/>
        <v>4474.9554870763723</v>
      </c>
      <c r="X18" s="187">
        <f t="shared" si="1"/>
        <v>4546.5975927957661</v>
      </c>
      <c r="Y18" s="14">
        <f t="shared" si="1"/>
        <v>4606.6083448957888</v>
      </c>
      <c r="Z18" s="14">
        <f t="shared" si="1"/>
        <v>4652.0703781213915</v>
      </c>
      <c r="AA18" s="14">
        <f t="shared" si="1"/>
        <v>4713.0481115576385</v>
      </c>
      <c r="AB18" s="14">
        <f t="shared" si="1"/>
        <v>4783.3726706746038</v>
      </c>
      <c r="AC18" s="14">
        <f t="shared" si="1"/>
        <v>4842.5918675043458</v>
      </c>
      <c r="AD18" s="14">
        <f t="shared" si="1"/>
        <v>4925.0541041629049</v>
      </c>
      <c r="AE18" s="14">
        <f t="shared" si="1"/>
        <v>5015.3658718558909</v>
      </c>
      <c r="AF18" s="14">
        <f t="shared" si="1"/>
        <v>5117.9130917708635</v>
      </c>
      <c r="AG18" s="14">
        <f t="shared" si="1"/>
        <v>5224.7266429734609</v>
      </c>
      <c r="AH18" s="14">
        <f t="shared" si="1"/>
        <v>5320.6698579406375</v>
      </c>
    </row>
    <row r="19" spans="1:34">
      <c r="A19" s="10" t="s">
        <v>112</v>
      </c>
      <c r="B19" s="37"/>
      <c r="C19" s="297">
        <f t="shared" ref="C19:AH19" si="2">C18/C4</f>
        <v>2.7251028663086686E-2</v>
      </c>
      <c r="D19" s="297">
        <f t="shared" si="2"/>
        <v>2.631163934426229E-2</v>
      </c>
      <c r="E19" s="297">
        <f t="shared" si="2"/>
        <v>3.0133812015276994E-2</v>
      </c>
      <c r="F19" s="297">
        <f t="shared" si="2"/>
        <v>3.0589250606946571E-2</v>
      </c>
      <c r="G19" s="297">
        <f t="shared" si="2"/>
        <v>3.2879362825922499E-2</v>
      </c>
      <c r="H19" s="23">
        <f t="shared" si="2"/>
        <v>3.3630490003277468E-2</v>
      </c>
      <c r="I19" s="23">
        <f t="shared" si="2"/>
        <v>3.4560142025854196E-2</v>
      </c>
      <c r="J19" s="23">
        <f t="shared" si="2"/>
        <v>3.6046157033766492E-2</v>
      </c>
      <c r="K19" s="23">
        <f t="shared" si="2"/>
        <v>3.8032481678303837E-2</v>
      </c>
      <c r="L19" s="23">
        <f t="shared" si="2"/>
        <v>3.9104623243116553E-2</v>
      </c>
      <c r="M19" s="23">
        <f t="shared" si="2"/>
        <v>4.0231929874053725E-2</v>
      </c>
      <c r="N19" s="183">
        <f t="shared" si="2"/>
        <v>4.1872153510633489E-2</v>
      </c>
      <c r="O19" s="23">
        <f t="shared" si="2"/>
        <v>4.4413507536016125E-2</v>
      </c>
      <c r="P19" s="23">
        <f t="shared" si="2"/>
        <v>4.5981043713984343E-2</v>
      </c>
      <c r="Q19" s="23">
        <f t="shared" si="2"/>
        <v>5.0900528128313083E-2</v>
      </c>
      <c r="R19" s="23">
        <f t="shared" si="2"/>
        <v>5.2446310995822427E-2</v>
      </c>
      <c r="S19" s="23">
        <f t="shared" si="2"/>
        <v>5.8339219554060774E-2</v>
      </c>
      <c r="T19" s="23">
        <f t="shared" si="2"/>
        <v>5.9940164170652628E-2</v>
      </c>
      <c r="U19" s="23">
        <f t="shared" si="2"/>
        <v>6.0965855891145906E-2</v>
      </c>
      <c r="V19" s="23">
        <f t="shared" si="2"/>
        <v>6.1837177845871977E-2</v>
      </c>
      <c r="W19" s="23">
        <f t="shared" si="2"/>
        <v>6.8574601433836868E-2</v>
      </c>
      <c r="X19" s="185">
        <f t="shared" si="2"/>
        <v>6.9302254073576403E-2</v>
      </c>
      <c r="Y19" s="172">
        <f t="shared" si="2"/>
        <v>7.0063899175189376E-2</v>
      </c>
      <c r="Z19" s="172">
        <f t="shared" si="2"/>
        <v>7.0522571395732966E-2</v>
      </c>
      <c r="AA19" s="172">
        <f t="shared" si="2"/>
        <v>7.1284373452753347E-2</v>
      </c>
      <c r="AB19" s="172">
        <f t="shared" si="2"/>
        <v>7.212105830950101E-2</v>
      </c>
      <c r="AC19" s="172">
        <f t="shared" si="2"/>
        <v>7.2677010020648816E-2</v>
      </c>
      <c r="AD19" s="172">
        <f t="shared" si="2"/>
        <v>7.3585439263800762E-2</v>
      </c>
      <c r="AE19" s="172">
        <f t="shared" si="2"/>
        <v>7.4463831490919272E-2</v>
      </c>
      <c r="AF19" s="172">
        <f t="shared" si="2"/>
        <v>7.5441192854469832E-2</v>
      </c>
      <c r="AG19" s="172">
        <f t="shared" si="2"/>
        <v>7.6552782934482783E-2</v>
      </c>
      <c r="AH19" s="172">
        <f t="shared" si="2"/>
        <v>7.7581206020981119E-2</v>
      </c>
    </row>
    <row r="20" spans="1:34">
      <c r="A20" s="10" t="s">
        <v>142</v>
      </c>
      <c r="B20" s="37"/>
      <c r="C20" s="296">
        <f>EIA_electricity_aeo2014!E49*1000</f>
        <v>25075</v>
      </c>
      <c r="D20" s="296">
        <f>EIA_electricity_aeo2014!F49*1000</f>
        <v>28152</v>
      </c>
      <c r="E20" s="296">
        <f>EIA_electricity_aeo2014!G49*1000</f>
        <v>25216.621790181543</v>
      </c>
      <c r="F20" s="296">
        <f>EIA_electricity_aeo2014!H49*1000</f>
        <v>21723.969786573503</v>
      </c>
      <c r="G20" s="296">
        <f>EIA_electricity_aeo2014!I49*1000</f>
        <v>23229.171094243884</v>
      </c>
      <c r="H20" s="14">
        <f>EIA_electricity_aeo2014!J49*1000</f>
        <v>23928.5787236695</v>
      </c>
      <c r="I20" s="14">
        <f>EIA_electricity_aeo2014!K49*1000</f>
        <v>22676.609762216453</v>
      </c>
      <c r="J20" s="14">
        <f>EIA_electricity_aeo2014!L49*1000</f>
        <v>21787.844051701148</v>
      </c>
      <c r="K20" s="14">
        <f>EIA_electricity_aeo2014!M49*1000</f>
        <v>22936.710878952304</v>
      </c>
      <c r="L20" s="14">
        <f>EIA_electricity_aeo2014!N49*1000</f>
        <v>23350.347658761213</v>
      </c>
      <c r="M20" s="14">
        <f>EIA_electricity_aeo2014!O49*1000</f>
        <v>23563.706372284782</v>
      </c>
      <c r="N20" s="190">
        <f>EIA_electricity_aeo2014!P49*1000</f>
        <v>23503.450310951826</v>
      </c>
      <c r="O20" s="14">
        <f>EIA_electricity_aeo2014!Q49*1000</f>
        <v>23700.354824164606</v>
      </c>
      <c r="P20" s="14">
        <f>EIA_electricity_aeo2014!R49*1000</f>
        <v>23884.141546897223</v>
      </c>
      <c r="Q20" s="14">
        <f>EIA_electricity_aeo2014!S49*1000</f>
        <v>23894.392697871855</v>
      </c>
      <c r="R20" s="14">
        <f>EIA_electricity_aeo2014!T49*1000</f>
        <v>24203.572617290847</v>
      </c>
      <c r="S20" s="14">
        <f>EIA_electricity_aeo2014!U49*1000</f>
        <v>24441.424335086831</v>
      </c>
      <c r="T20" s="14">
        <f>EIA_electricity_aeo2014!V49*1000</f>
        <v>24424.106543739985</v>
      </c>
      <c r="U20" s="14">
        <f>EIA_electricity_aeo2014!W49*1000</f>
        <v>24429.233419880431</v>
      </c>
      <c r="V20" s="14">
        <f>EIA_electricity_aeo2014!X49*1000</f>
        <v>24425.767413824506</v>
      </c>
      <c r="W20" s="14">
        <f>EIA_electricity_aeo2014!Y49*1000</f>
        <v>24335.614454283492</v>
      </c>
      <c r="X20" s="187">
        <f>EIA_electricity_aeo2014!Z49*1000</f>
        <v>24355.567027723253</v>
      </c>
      <c r="Y20" s="14">
        <f>EIA_electricity_aeo2014!AA49*1000</f>
        <v>24344.753226996516</v>
      </c>
      <c r="Z20" s="14">
        <f>EIA_electricity_aeo2014!AB49*1000</f>
        <v>24336.633100230782</v>
      </c>
      <c r="AA20" s="14">
        <f>EIA_electricity_aeo2014!AC49*1000</f>
        <v>24312.224446512373</v>
      </c>
      <c r="AB20" s="14">
        <f>EIA_electricity_aeo2014!AD49*1000</f>
        <v>24292.209868165872</v>
      </c>
      <c r="AC20" s="14">
        <f>EIA_electricity_aeo2014!AE49*1000</f>
        <v>24270.447595807658</v>
      </c>
      <c r="AD20" s="14">
        <f>EIA_electricity_aeo2014!AF49*1000</f>
        <v>24248.852617293425</v>
      </c>
      <c r="AE20" s="14">
        <f>EIA_electricity_aeo2014!AG49*1000</f>
        <v>24228.617567579749</v>
      </c>
      <c r="AF20" s="14">
        <f>EIA_electricity_aeo2014!AH49*1000</f>
        <v>24208.197014878235</v>
      </c>
      <c r="AG20" s="14">
        <f>EIA_electricity_aeo2014!AI49*1000</f>
        <v>24208.004859369448</v>
      </c>
      <c r="AH20" s="14">
        <f>EIA_electricity_aeo2014!AJ49*1000</f>
        <v>24207.688907268999</v>
      </c>
    </row>
    <row r="21" spans="1:34">
      <c r="A21" s="10" t="s">
        <v>222</v>
      </c>
      <c r="B21" s="37"/>
      <c r="C21" s="296">
        <f>EIA_electricity_aeo2014!E51*1000</f>
        <v>11221</v>
      </c>
      <c r="D21" s="296">
        <f>EIA_electricity_aeo2014!F51*1000</f>
        <v>12469</v>
      </c>
      <c r="E21" s="296">
        <f>EIA_electricity_aeo2014!G51*1000</f>
        <v>10146.336425684198</v>
      </c>
      <c r="F21" s="296">
        <f>EIA_electricity_aeo2014!H51*1000</f>
        <v>12063.313467267146</v>
      </c>
      <c r="G21" s="296">
        <f>EIA_electricity_aeo2014!I51*1000</f>
        <v>10769.122871037614</v>
      </c>
      <c r="H21" s="14">
        <f>EIA_electricity_aeo2014!J51*1000</f>
        <v>10264.28128516606</v>
      </c>
      <c r="I21" s="14">
        <f>EIA_electricity_aeo2014!K51*1000</f>
        <v>11074.089257859368</v>
      </c>
      <c r="J21" s="14">
        <f>EIA_electricity_aeo2014!L51*1000</f>
        <v>12084.343960559498</v>
      </c>
      <c r="K21" s="14">
        <f>EIA_electricity_aeo2014!M51*1000</f>
        <v>11542.619033909996</v>
      </c>
      <c r="L21" s="14">
        <f>EIA_electricity_aeo2014!N51*1000</f>
        <v>11403.00469318485</v>
      </c>
      <c r="M21" s="14">
        <f>EIA_electricity_aeo2014!O51*1000</f>
        <v>11590.974930643612</v>
      </c>
      <c r="N21" s="190">
        <f>EIA_electricity_aeo2014!P51*1000</f>
        <v>11943.018355682245</v>
      </c>
      <c r="O21" s="14">
        <f>EIA_electricity_aeo2014!Q51*1000</f>
        <v>12124.264706945944</v>
      </c>
      <c r="P21" s="14">
        <f>EIA_electricity_aeo2014!R51*1000</f>
        <v>12378.987485559957</v>
      </c>
      <c r="Q21" s="14">
        <f>EIA_electricity_aeo2014!S51*1000</f>
        <v>12853.220315442817</v>
      </c>
      <c r="R21" s="14">
        <f>EIA_electricity_aeo2014!T51*1000</f>
        <v>13145.267439660773</v>
      </c>
      <c r="S21" s="14">
        <f>EIA_electricity_aeo2014!U51*1000</f>
        <v>13303.861404540359</v>
      </c>
      <c r="T21" s="14">
        <f>EIA_electricity_aeo2014!V51*1000</f>
        <v>13519.32930664615</v>
      </c>
      <c r="U21" s="14">
        <f>EIA_electricity_aeo2014!W51*1000</f>
        <v>13729.724694985416</v>
      </c>
      <c r="V21" s="14">
        <f>EIA_electricity_aeo2014!X51*1000</f>
        <v>13975.488957849773</v>
      </c>
      <c r="W21" s="14">
        <f>EIA_electricity_aeo2014!Y51*1000</f>
        <v>14090.3460522402</v>
      </c>
      <c r="X21" s="187">
        <f>EIA_electricity_aeo2014!Z51*1000</f>
        <v>14309.565622345359</v>
      </c>
      <c r="Y21" s="14">
        <f>EIA_electricity_aeo2014!AA51*1000</f>
        <v>14403.69468295184</v>
      </c>
      <c r="Z21" s="14">
        <f>EIA_electricity_aeo2014!AB51*1000</f>
        <v>14561.489351801882</v>
      </c>
      <c r="AA21" s="14">
        <f>EIA_electricity_aeo2014!AC51*1000</f>
        <v>14675.391734292301</v>
      </c>
      <c r="AB21" s="14">
        <f>EIA_electricity_aeo2014!AD51*1000</f>
        <v>14833.161160356956</v>
      </c>
      <c r="AC21" s="14">
        <f>EIA_electricity_aeo2014!AE51*1000</f>
        <v>15082.424007710066</v>
      </c>
      <c r="AD21" s="14">
        <f>EIA_electricity_aeo2014!AF51*1000</f>
        <v>15305.235618610304</v>
      </c>
      <c r="AE21" s="14">
        <f>EIA_electricity_aeo2014!AG51*1000</f>
        <v>15658.469262414797</v>
      </c>
      <c r="AF21" s="14">
        <f>EIA_electricity_aeo2014!AH51*1000</f>
        <v>16050.031112762919</v>
      </c>
      <c r="AG21" s="14">
        <f>EIA_electricity_aeo2014!AI51*1000</f>
        <v>16353.625638677822</v>
      </c>
      <c r="AH21" s="14">
        <f>EIA_electricity_aeo2014!AJ51*1000</f>
        <v>16589.73545657346</v>
      </c>
    </row>
    <row r="22" spans="1:34">
      <c r="A22" s="10" t="s">
        <v>351</v>
      </c>
      <c r="B22" s="37"/>
      <c r="C22" s="295">
        <f>SUM(C17,C20:C21)</f>
        <v>57222</v>
      </c>
      <c r="D22" s="295">
        <f t="shared" ref="D22:AH22" si="3">SUM(D17,D20:D21)</f>
        <v>60908</v>
      </c>
      <c r="E22" s="295">
        <f t="shared" si="3"/>
        <v>56717.422550237243</v>
      </c>
      <c r="F22" s="295">
        <f t="shared" si="3"/>
        <v>54132.577224250643</v>
      </c>
      <c r="G22" s="295">
        <f t="shared" si="3"/>
        <v>55217.327763742665</v>
      </c>
      <c r="H22" s="79">
        <f t="shared" si="3"/>
        <v>55619.588741123298</v>
      </c>
      <c r="I22" s="79">
        <f t="shared" si="3"/>
        <v>55901.629505535195</v>
      </c>
      <c r="J22" s="79">
        <f t="shared" si="3"/>
        <v>56881.007160652429</v>
      </c>
      <c r="K22" s="79">
        <f t="shared" si="3"/>
        <v>58351.026481217894</v>
      </c>
      <c r="L22" s="79">
        <f t="shared" si="3"/>
        <v>59217.246810669807</v>
      </c>
      <c r="M22" s="79">
        <f t="shared" si="3"/>
        <v>59795.215042543176</v>
      </c>
      <c r="N22" s="353">
        <f t="shared" si="3"/>
        <v>60202.131442613449</v>
      </c>
      <c r="O22" s="79">
        <f t="shared" si="3"/>
        <v>60758.000250537159</v>
      </c>
      <c r="P22" s="79">
        <f t="shared" si="3"/>
        <v>61317.495879732305</v>
      </c>
      <c r="Q22" s="79">
        <f t="shared" si="3"/>
        <v>62174.075139415276</v>
      </c>
      <c r="R22" s="79">
        <f t="shared" si="3"/>
        <v>62910.038308254385</v>
      </c>
      <c r="S22" s="79">
        <f t="shared" si="3"/>
        <v>63724.862874558756</v>
      </c>
      <c r="T22" s="79">
        <f t="shared" si="3"/>
        <v>64054.968797450958</v>
      </c>
      <c r="U22" s="79">
        <f t="shared" si="3"/>
        <v>64360.968412643255</v>
      </c>
      <c r="V22" s="79">
        <f t="shared" si="3"/>
        <v>64715.918889475026</v>
      </c>
      <c r="W22" s="79">
        <f t="shared" si="3"/>
        <v>65246.931505794462</v>
      </c>
      <c r="X22" s="184">
        <f t="shared" si="3"/>
        <v>65595.470260467395</v>
      </c>
      <c r="Y22" s="174">
        <f t="shared" si="3"/>
        <v>65738.79695414372</v>
      </c>
      <c r="Z22" s="174">
        <f t="shared" si="3"/>
        <v>65955.815257583745</v>
      </c>
      <c r="AA22" s="174">
        <f t="shared" si="3"/>
        <v>66106.287428460622</v>
      </c>
      <c r="AB22" s="174">
        <f t="shared" si="3"/>
        <v>66314.367052837042</v>
      </c>
      <c r="AC22" s="174">
        <f t="shared" si="3"/>
        <v>66621.854221329282</v>
      </c>
      <c r="AD22" s="174">
        <f t="shared" si="3"/>
        <v>66919.917179941302</v>
      </c>
      <c r="AE22" s="174">
        <f t="shared" si="3"/>
        <v>67343.229489429563</v>
      </c>
      <c r="AF22" s="174">
        <f t="shared" si="3"/>
        <v>67829.968503317185</v>
      </c>
      <c r="AG22" s="174">
        <f t="shared" si="3"/>
        <v>68240.184037485596</v>
      </c>
      <c r="AH22" s="174">
        <f t="shared" si="3"/>
        <v>68571.92160517408</v>
      </c>
    </row>
    <row r="23" spans="1:34">
      <c r="A23" s="10" t="s">
        <v>328</v>
      </c>
      <c r="B23" s="37"/>
      <c r="C23" s="295">
        <f>EIA_electricity_aeo2014!E50*1000+EIA_electricity_aeo2014!E55*1000</f>
        <v>112</v>
      </c>
      <c r="D23" s="295">
        <f>EIA_electricity_aeo2014!F50*1000+EIA_electricity_aeo2014!F55*1000</f>
        <v>73</v>
      </c>
      <c r="E23" s="295">
        <f>EIA_electricity_aeo2014!G50*1000+EIA_electricity_aeo2014!G55*1000</f>
        <v>104.93552021966765</v>
      </c>
      <c r="F23" s="295">
        <f>EIA_electricity_aeo2014!H50*1000+EIA_electricity_aeo2014!H55*1000</f>
        <v>73.064577507444454</v>
      </c>
      <c r="G23" s="295">
        <f>EIA_electricity_aeo2014!I50*1000+EIA_electricity_aeo2014!I55*1000</f>
        <v>27.856719100823092</v>
      </c>
      <c r="H23" s="295">
        <f>EIA_electricity_aeo2014!J50*1000+EIA_electricity_aeo2014!J55*1000</f>
        <v>28.534476795146883</v>
      </c>
      <c r="I23" s="295">
        <f>EIA_electricity_aeo2014!K50*1000+EIA_electricity_aeo2014!K55*1000</f>
        <v>27.131330891766872</v>
      </c>
      <c r="J23" s="295">
        <f>EIA_electricity_aeo2014!L50*1000+EIA_electricity_aeo2014!L55*1000</f>
        <v>25.155177110284018</v>
      </c>
      <c r="K23" s="295">
        <f>EIA_electricity_aeo2014!M50*1000+EIA_electricity_aeo2014!M55*1000</f>
        <v>8.2204188225104033</v>
      </c>
      <c r="L23" s="295">
        <f>EIA_electricity_aeo2014!N50*1000+EIA_electricity_aeo2014!N55*1000</f>
        <v>8.6690977807158873</v>
      </c>
      <c r="M23" s="295">
        <f>EIA_electricity_aeo2014!O50*1000+EIA_electricity_aeo2014!O55*1000</f>
        <v>8.9145069198945741</v>
      </c>
      <c r="N23" s="295">
        <f>EIA_electricity_aeo2014!P50*1000+EIA_electricity_aeo2014!P55*1000</f>
        <v>8.9084536162574572</v>
      </c>
      <c r="O23" s="295">
        <f>EIA_electricity_aeo2014!Q50*1000+EIA_electricity_aeo2014!Q55*1000</f>
        <v>9.1760552743760186</v>
      </c>
      <c r="P23" s="295">
        <f>EIA_electricity_aeo2014!R50*1000+EIA_electricity_aeo2014!R55*1000</f>
        <v>9.3763844277603923</v>
      </c>
      <c r="Q23" s="295">
        <f>EIA_electricity_aeo2014!S50*1000+EIA_electricity_aeo2014!S55*1000</f>
        <v>9.5016573402762674</v>
      </c>
      <c r="R23" s="295">
        <f>EIA_electricity_aeo2014!T50*1000+EIA_electricity_aeo2014!T55*1000</f>
        <v>9.8469788022197271</v>
      </c>
      <c r="S23" s="295">
        <f>EIA_electricity_aeo2014!U50*1000+EIA_electricity_aeo2014!U55*1000</f>
        <v>10.293976073855429</v>
      </c>
      <c r="T23" s="295">
        <f>EIA_electricity_aeo2014!V50*1000+EIA_electricity_aeo2014!V55*1000</f>
        <v>10.058786870990385</v>
      </c>
      <c r="U23" s="295">
        <f>EIA_electricity_aeo2014!W50*1000+EIA_electricity_aeo2014!W55*1000</f>
        <v>10.021954863678946</v>
      </c>
      <c r="V23" s="295">
        <f>EIA_electricity_aeo2014!X50*1000+EIA_electricity_aeo2014!X55*1000</f>
        <v>10.100834512365626</v>
      </c>
      <c r="W23" s="295">
        <f>EIA_electricity_aeo2014!Y50*1000+EIA_electricity_aeo2014!Y55*1000</f>
        <v>10.116524946384569</v>
      </c>
      <c r="X23" s="295">
        <f>EIA_electricity_aeo2014!Z50*1000+EIA_electricity_aeo2014!Z55*1000</f>
        <v>10.16471130368296</v>
      </c>
      <c r="Y23" s="295">
        <f>EIA_electricity_aeo2014!AA50*1000+EIA_electricity_aeo2014!AA55*1000</f>
        <v>10.175316825963453</v>
      </c>
      <c r="Z23" s="295">
        <f>EIA_electricity_aeo2014!AB50*1000+EIA_electricity_aeo2014!AB55*1000</f>
        <v>10.178931537524988</v>
      </c>
      <c r="AA23" s="295">
        <f>EIA_electricity_aeo2014!AC50*1000+EIA_electricity_aeo2014!AC55*1000</f>
        <v>10.159537205084707</v>
      </c>
      <c r="AB23" s="295">
        <f>EIA_electricity_aeo2014!AD50*1000+EIA_electricity_aeo2014!AD55*1000</f>
        <v>10.149241205554979</v>
      </c>
      <c r="AC23" s="295">
        <f>EIA_electricity_aeo2014!AE50*1000+EIA_electricity_aeo2014!AE55*1000</f>
        <v>10.133930515178591</v>
      </c>
      <c r="AD23" s="295">
        <f>EIA_electricity_aeo2014!AF50*1000+EIA_electricity_aeo2014!AF55*1000</f>
        <v>10.119918002616579</v>
      </c>
      <c r="AE23" s="295">
        <f>EIA_electricity_aeo2014!AG50*1000+EIA_electricity_aeo2014!AG55*1000</f>
        <v>10.116565788627483</v>
      </c>
      <c r="AF23" s="295">
        <f>EIA_electricity_aeo2014!AH50*1000+EIA_electricity_aeo2014!AH55*1000</f>
        <v>10.100436227535447</v>
      </c>
      <c r="AG23" s="295">
        <f>EIA_electricity_aeo2014!AI50*1000+EIA_electricity_aeo2014!AI55*1000</f>
        <v>10.105612727490865</v>
      </c>
      <c r="AH23" s="295">
        <f>EIA_electricity_aeo2014!AJ50*1000+EIA_electricity_aeo2014!AJ55*1000</f>
        <v>10.121507462138897</v>
      </c>
    </row>
    <row r="24" spans="1:34">
      <c r="A24" s="10" t="s">
        <v>345</v>
      </c>
      <c r="B24" s="37"/>
      <c r="C24" s="295">
        <f>SUM(C22:C23)</f>
        <v>57334</v>
      </c>
      <c r="D24" s="295">
        <f t="shared" ref="D24:AH24" si="4">SUM(D22:D23)</f>
        <v>60981</v>
      </c>
      <c r="E24" s="295">
        <f t="shared" si="4"/>
        <v>56822.35807045691</v>
      </c>
      <c r="F24" s="295">
        <f t="shared" si="4"/>
        <v>54205.641801758087</v>
      </c>
      <c r="G24" s="295">
        <f t="shared" si="4"/>
        <v>55245.184482843491</v>
      </c>
      <c r="H24" s="83">
        <f t="shared" si="4"/>
        <v>55648.123217918444</v>
      </c>
      <c r="I24" s="83">
        <f t="shared" si="4"/>
        <v>55928.760836426962</v>
      </c>
      <c r="J24" s="83">
        <f t="shared" si="4"/>
        <v>56906.162337762711</v>
      </c>
      <c r="K24" s="83">
        <f t="shared" si="4"/>
        <v>58359.246900040402</v>
      </c>
      <c r="L24" s="83">
        <f t="shared" si="4"/>
        <v>59225.915908450523</v>
      </c>
      <c r="M24" s="83">
        <f t="shared" si="4"/>
        <v>59804.129549463069</v>
      </c>
      <c r="N24" s="353">
        <f t="shared" si="4"/>
        <v>60211.039896229704</v>
      </c>
      <c r="O24" s="83">
        <f t="shared" si="4"/>
        <v>60767.176305811532</v>
      </c>
      <c r="P24" s="83">
        <f t="shared" si="4"/>
        <v>61326.872264160069</v>
      </c>
      <c r="Q24" s="83">
        <f t="shared" si="4"/>
        <v>62183.576796755551</v>
      </c>
      <c r="R24" s="83">
        <f t="shared" si="4"/>
        <v>62919.885287056604</v>
      </c>
      <c r="S24" s="83">
        <f t="shared" si="4"/>
        <v>63735.156850632608</v>
      </c>
      <c r="T24" s="83">
        <f t="shared" si="4"/>
        <v>64065.02758432195</v>
      </c>
      <c r="U24" s="83">
        <f t="shared" si="4"/>
        <v>64370.990367506936</v>
      </c>
      <c r="V24" s="83">
        <f t="shared" si="4"/>
        <v>64726.019723987389</v>
      </c>
      <c r="W24" s="83">
        <f t="shared" si="4"/>
        <v>65257.048030740843</v>
      </c>
      <c r="X24" s="184">
        <f t="shared" si="4"/>
        <v>65605.634971771084</v>
      </c>
      <c r="Y24" s="174">
        <f t="shared" si="4"/>
        <v>65748.97227096968</v>
      </c>
      <c r="Z24" s="174">
        <f t="shared" si="4"/>
        <v>65965.994189121266</v>
      </c>
      <c r="AA24" s="174">
        <f t="shared" si="4"/>
        <v>66116.446965665702</v>
      </c>
      <c r="AB24" s="174">
        <f t="shared" si="4"/>
        <v>66324.516294042594</v>
      </c>
      <c r="AC24" s="174">
        <f t="shared" si="4"/>
        <v>66631.98815184446</v>
      </c>
      <c r="AD24" s="174">
        <f t="shared" si="4"/>
        <v>66930.037097943918</v>
      </c>
      <c r="AE24" s="174">
        <f t="shared" si="4"/>
        <v>67353.346055218193</v>
      </c>
      <c r="AF24" s="174">
        <f t="shared" si="4"/>
        <v>67840.068939544726</v>
      </c>
      <c r="AG24" s="174">
        <f t="shared" si="4"/>
        <v>68250.28965021309</v>
      </c>
      <c r="AH24" s="174">
        <f t="shared" si="4"/>
        <v>68582.043112636224</v>
      </c>
    </row>
    <row r="25" spans="1:34">
      <c r="A25" s="10" t="s">
        <v>346</v>
      </c>
      <c r="B25" s="37"/>
      <c r="C25" s="297">
        <f t="shared" ref="C25:AH25" si="5">C24/C4-1</f>
        <v>-3.835692865611362E-4</v>
      </c>
      <c r="D25" s="297">
        <f t="shared" si="5"/>
        <v>-3.1147540983622601E-4</v>
      </c>
      <c r="E25" s="297">
        <f t="shared" si="5"/>
        <v>5.2796398122278987E-6</v>
      </c>
      <c r="F25" s="297">
        <f t="shared" si="5"/>
        <v>5.5345098846082408E-6</v>
      </c>
      <c r="G25" s="297">
        <f t="shared" si="5"/>
        <v>5.4303670431465889E-6</v>
      </c>
      <c r="H25" s="82">
        <f t="shared" si="5"/>
        <v>5.3910464534734359E-6</v>
      </c>
      <c r="I25" s="82">
        <f t="shared" si="5"/>
        <v>5.3639952810602409E-6</v>
      </c>
      <c r="J25" s="82">
        <f t="shared" si="5"/>
        <v>5.2718645791038909E-6</v>
      </c>
      <c r="K25" s="82">
        <f t="shared" si="5"/>
        <v>5.140599958375347E-6</v>
      </c>
      <c r="L25" s="82">
        <f t="shared" si="5"/>
        <v>5.0653757734941962E-6</v>
      </c>
      <c r="M25" s="82">
        <f t="shared" si="5"/>
        <v>5.0164011613507142E-6</v>
      </c>
      <c r="N25" s="199">
        <f t="shared" si="5"/>
        <v>4.9824998082925731E-6</v>
      </c>
      <c r="O25" s="82">
        <f t="shared" si="5"/>
        <v>4.936900137364475E-6</v>
      </c>
      <c r="P25" s="82">
        <f t="shared" si="5"/>
        <v>4.8918435993083875E-6</v>
      </c>
      <c r="Q25" s="82">
        <f t="shared" si="5"/>
        <v>4.8244482353521079E-6</v>
      </c>
      <c r="R25" s="82">
        <f t="shared" si="5"/>
        <v>4.7679907397846222E-6</v>
      </c>
      <c r="S25" s="82">
        <f t="shared" si="5"/>
        <v>4.7070004518534603E-6</v>
      </c>
      <c r="T25" s="82">
        <f t="shared" si="5"/>
        <v>4.6827639998969772E-6</v>
      </c>
      <c r="U25" s="82">
        <f t="shared" si="5"/>
        <v>4.6605061758686617E-6</v>
      </c>
      <c r="V25" s="82">
        <f t="shared" si="5"/>
        <v>4.6349426672254168E-6</v>
      </c>
      <c r="W25" s="82">
        <f t="shared" si="5"/>
        <v>4.5972257132209648E-6</v>
      </c>
      <c r="X25" s="185">
        <f t="shared" si="5"/>
        <v>4.5727988455812607E-6</v>
      </c>
      <c r="Y25" s="172">
        <f t="shared" si="5"/>
        <v>4.5628297826727504E-6</v>
      </c>
      <c r="Z25" s="172">
        <f t="shared" si="5"/>
        <v>4.5478184333980209E-6</v>
      </c>
      <c r="AA25" s="172">
        <f t="shared" si="5"/>
        <v>4.5374694952471373E-6</v>
      </c>
      <c r="AB25" s="172">
        <f t="shared" si="5"/>
        <v>4.5232347511969806E-6</v>
      </c>
      <c r="AC25" s="172">
        <f t="shared" si="5"/>
        <v>4.5023622894380111E-6</v>
      </c>
      <c r="AD25" s="172">
        <f t="shared" si="5"/>
        <v>4.4823125415760501E-6</v>
      </c>
      <c r="AE25" s="172">
        <f t="shared" si="5"/>
        <v>4.4541415360477288E-6</v>
      </c>
      <c r="AF25" s="172">
        <f t="shared" si="5"/>
        <v>4.4221848736203384E-6</v>
      </c>
      <c r="AG25" s="172">
        <f t="shared" si="5"/>
        <v>4.3956050617133258E-6</v>
      </c>
      <c r="AH25" s="172">
        <f t="shared" si="5"/>
        <v>1.4581097511623398E-6</v>
      </c>
    </row>
    <row r="26" spans="1:34">
      <c r="A26" s="10"/>
      <c r="B26" s="37"/>
      <c r="C26" s="297"/>
      <c r="D26" s="297"/>
      <c r="E26" s="297"/>
      <c r="F26" s="297"/>
      <c r="G26" s="297"/>
      <c r="H26" s="82"/>
      <c r="I26" s="82"/>
      <c r="J26" s="82"/>
      <c r="K26" s="82"/>
      <c r="L26" s="82"/>
      <c r="M26" s="82"/>
      <c r="N26" s="183" t="s">
        <v>0</v>
      </c>
      <c r="O26" s="91" t="s">
        <v>0</v>
      </c>
      <c r="P26" s="82"/>
      <c r="Q26" s="82"/>
      <c r="R26" s="82"/>
      <c r="S26" s="82"/>
      <c r="T26" s="82"/>
      <c r="U26" s="82"/>
      <c r="V26" s="82"/>
      <c r="W26" s="82"/>
      <c r="X26" s="185" t="s">
        <v>0</v>
      </c>
    </row>
    <row r="27" spans="1:34">
      <c r="A27" s="10"/>
      <c r="B27" s="37"/>
      <c r="C27" s="297"/>
      <c r="D27" s="297"/>
      <c r="E27" s="297"/>
      <c r="F27" s="297"/>
      <c r="G27" s="297"/>
      <c r="H27" s="164"/>
      <c r="I27" s="164"/>
      <c r="J27" s="164"/>
      <c r="K27" s="164"/>
      <c r="L27" s="164"/>
      <c r="M27" s="164"/>
      <c r="N27" s="183"/>
      <c r="O27" s="164"/>
      <c r="P27" s="164"/>
      <c r="Q27" s="164"/>
      <c r="R27" s="164"/>
      <c r="S27" s="164"/>
      <c r="T27" s="164"/>
      <c r="U27" s="164"/>
      <c r="V27" s="164"/>
      <c r="W27" s="164"/>
      <c r="X27" s="185"/>
    </row>
    <row r="28" spans="1:34">
      <c r="A28" s="9" t="s">
        <v>125</v>
      </c>
      <c r="B28" s="37"/>
      <c r="C28" s="297">
        <f t="shared" ref="C28:K28" si="6">C10/C$18</f>
        <v>0.97824070223479054</v>
      </c>
      <c r="D28" s="297">
        <f t="shared" si="6"/>
        <v>0.97631790456134226</v>
      </c>
      <c r="E28" s="297">
        <f t="shared" si="6"/>
        <v>0.96115060371859484</v>
      </c>
      <c r="F28" s="297">
        <f t="shared" si="6"/>
        <v>0.95846403397062996</v>
      </c>
      <c r="G28" s="297">
        <f t="shared" si="6"/>
        <v>0.9691218814741418</v>
      </c>
      <c r="H28" s="164">
        <f t="shared" si="6"/>
        <v>0.9677660042113333</v>
      </c>
      <c r="I28" s="164">
        <f t="shared" si="6"/>
        <v>0.97141042126196264</v>
      </c>
      <c r="J28" s="164">
        <f t="shared" si="6"/>
        <v>0.96851179221323336</v>
      </c>
      <c r="K28" s="164">
        <f t="shared" si="6"/>
        <v>0.97070079442325718</v>
      </c>
      <c r="L28" s="164">
        <f t="shared" ref="L28:L34" si="7">L10/L$18</f>
        <v>0.9719162090631509</v>
      </c>
      <c r="M28" s="164">
        <f t="shared" ref="M28:AH28" si="8">M10/M$18</f>
        <v>0.9731433674236305</v>
      </c>
      <c r="N28" s="185">
        <f t="shared" si="8"/>
        <v>0.97437725523821705</v>
      </c>
      <c r="O28" s="164">
        <f t="shared" si="8"/>
        <v>0.9760686116507683</v>
      </c>
      <c r="P28" s="164">
        <f t="shared" si="8"/>
        <v>0.97694852282996747</v>
      </c>
      <c r="Q28" s="164">
        <f t="shared" si="8"/>
        <v>0.97960055559320325</v>
      </c>
      <c r="R28" s="164">
        <f t="shared" si="8"/>
        <v>0.98043642380554219</v>
      </c>
      <c r="S28" s="164">
        <f t="shared" si="8"/>
        <v>0.98252588689948273</v>
      </c>
      <c r="T28" s="164">
        <f t="shared" si="8"/>
        <v>0.983373471403169</v>
      </c>
      <c r="U28" s="164">
        <f t="shared" si="8"/>
        <v>0.98356127669387805</v>
      </c>
      <c r="V28" s="164">
        <f t="shared" si="8"/>
        <v>0.98388667153952236</v>
      </c>
      <c r="W28" s="164">
        <f t="shared" si="8"/>
        <v>0.98559309599655442</v>
      </c>
      <c r="X28" s="185">
        <f t="shared" si="8"/>
        <v>0.98582542224526293</v>
      </c>
      <c r="Y28" s="172">
        <f t="shared" si="8"/>
        <v>0.98601530493021428</v>
      </c>
      <c r="Z28" s="172">
        <f t="shared" si="8"/>
        <v>0.98606481352411568</v>
      </c>
      <c r="AA28" s="172">
        <f t="shared" si="8"/>
        <v>0.98612231474698153</v>
      </c>
      <c r="AB28" s="172">
        <f t="shared" si="8"/>
        <v>0.98614643453049444</v>
      </c>
      <c r="AC28" s="172">
        <f t="shared" si="8"/>
        <v>0.98631932498423436</v>
      </c>
      <c r="AD28" s="172">
        <f t="shared" si="8"/>
        <v>0.98655175605210643</v>
      </c>
      <c r="AE28" s="172">
        <f t="shared" si="8"/>
        <v>0.98654511848628079</v>
      </c>
      <c r="AF28" s="172">
        <f t="shared" si="8"/>
        <v>0.98681716795859087</v>
      </c>
      <c r="AG28" s="172">
        <f t="shared" si="8"/>
        <v>0.98708922925740172</v>
      </c>
      <c r="AH28" s="172">
        <f t="shared" si="8"/>
        <v>0.98736205892678186</v>
      </c>
    </row>
    <row r="29" spans="1:34">
      <c r="A29" s="9" t="s">
        <v>50</v>
      </c>
      <c r="B29" s="37"/>
      <c r="C29" s="297">
        <f t="shared" ref="C29:K29" si="9">C11/C$18</f>
        <v>0</v>
      </c>
      <c r="D29" s="297">
        <f t="shared" si="9"/>
        <v>0</v>
      </c>
      <c r="E29" s="297">
        <f t="shared" si="9"/>
        <v>2.3430266304569951E-6</v>
      </c>
      <c r="F29" s="297">
        <f t="shared" si="9"/>
        <v>2.2665684950422553E-6</v>
      </c>
      <c r="G29" s="297">
        <f t="shared" si="9"/>
        <v>2.2621759773135023E-6</v>
      </c>
      <c r="H29" s="164">
        <f t="shared" si="9"/>
        <v>2.1956452065008485E-6</v>
      </c>
      <c r="I29" s="164">
        <f t="shared" si="9"/>
        <v>2.1252043342109555E-6</v>
      </c>
      <c r="J29" s="164">
        <f t="shared" si="9"/>
        <v>1.9988503038944209E-6</v>
      </c>
      <c r="K29" s="164">
        <f t="shared" si="9"/>
        <v>2.0309568556486896E-6</v>
      </c>
      <c r="L29" s="164">
        <f t="shared" si="7"/>
        <v>2.1161302857208932E-6</v>
      </c>
      <c r="M29" s="164">
        <f t="shared" ref="M29:AH29" si="10">M11/M$18</f>
        <v>2.0430656839962527E-6</v>
      </c>
      <c r="N29" s="185">
        <f t="shared" si="10"/>
        <v>1.9492400221684495E-6</v>
      </c>
      <c r="O29" s="164">
        <f t="shared" si="10"/>
        <v>1.8204744147816381E-6</v>
      </c>
      <c r="P29" s="164">
        <f t="shared" si="10"/>
        <v>1.7446789375177562E-6</v>
      </c>
      <c r="Q29" s="164">
        <f t="shared" si="10"/>
        <v>1.5572032574087014E-6</v>
      </c>
      <c r="R29" s="164">
        <f t="shared" si="10"/>
        <v>1.4923948587858601E-6</v>
      </c>
      <c r="S29" s="164">
        <f t="shared" si="10"/>
        <v>1.3255383204630239E-6</v>
      </c>
      <c r="T29" s="164">
        <f t="shared" si="10"/>
        <v>1.2831975180575783E-6</v>
      </c>
      <c r="U29" s="164">
        <f t="shared" si="10"/>
        <v>1.3531186274740845E-6</v>
      </c>
      <c r="V29" s="164">
        <f t="shared" si="10"/>
        <v>1.3866811326367195E-6</v>
      </c>
      <c r="W29" s="164">
        <f t="shared" si="10"/>
        <v>1.2451565196775564E-6</v>
      </c>
      <c r="X29" s="185">
        <f t="shared" si="10"/>
        <v>1.2821473378767649E-6</v>
      </c>
      <c r="Y29" s="172">
        <f t="shared" si="10"/>
        <v>1.312716981182128E-6</v>
      </c>
      <c r="Z29" s="172">
        <f t="shared" si="10"/>
        <v>1.2993217016723028E-6</v>
      </c>
      <c r="AA29" s="172">
        <f t="shared" si="10"/>
        <v>1.282000280282118E-6</v>
      </c>
      <c r="AB29" s="172">
        <f t="shared" si="10"/>
        <v>1.2626655742355531E-6</v>
      </c>
      <c r="AC29" s="172">
        <f t="shared" si="10"/>
        <v>1.2467629247292914E-6</v>
      </c>
      <c r="AD29" s="172">
        <f t="shared" si="10"/>
        <v>1.2254490757570708E-6</v>
      </c>
      <c r="AE29" s="172">
        <f t="shared" si="10"/>
        <v>1.202967670585401E-6</v>
      </c>
      <c r="AF29" s="172">
        <f t="shared" si="10"/>
        <v>1.1784785891925092E-6</v>
      </c>
      <c r="AG29" s="172">
        <f t="shared" si="10"/>
        <v>1.1540121449432596E-6</v>
      </c>
      <c r="AH29" s="172">
        <f t="shared" si="10"/>
        <v>1.1328616811291825E-6</v>
      </c>
    </row>
    <row r="30" spans="1:34">
      <c r="A30" s="9" t="s">
        <v>51</v>
      </c>
      <c r="B30" s="37"/>
      <c r="C30" s="297">
        <f t="shared" ref="C30:K30" si="11">C12/C$18</f>
        <v>2.1752899853487821E-2</v>
      </c>
      <c r="D30" s="297">
        <f t="shared" si="11"/>
        <v>2.3675864947881944E-2</v>
      </c>
      <c r="E30" s="297">
        <f t="shared" si="11"/>
        <v>3.8643239080606601E-2</v>
      </c>
      <c r="F30" s="297">
        <f t="shared" si="11"/>
        <v>4.1320439853086248E-2</v>
      </c>
      <c r="G30" s="297">
        <f t="shared" si="11"/>
        <v>3.0679436157637182E-2</v>
      </c>
      <c r="H30" s="164">
        <f t="shared" si="11"/>
        <v>3.2041018575404791E-2</v>
      </c>
      <c r="I30" s="164">
        <f t="shared" si="11"/>
        <v>2.8396355285254447E-2</v>
      </c>
      <c r="J30" s="164">
        <f t="shared" si="11"/>
        <v>3.1302231892161747E-2</v>
      </c>
      <c r="K30" s="164">
        <f t="shared" si="11"/>
        <v>2.9127147622521155E-2</v>
      </c>
      <c r="L30" s="164">
        <f t="shared" si="7"/>
        <v>2.791873356990136E-2</v>
      </c>
      <c r="M30" s="164">
        <f t="shared" ref="M30:AH30" si="12">M12/M$18</f>
        <v>2.6697739990859774E-2</v>
      </c>
      <c r="N30" s="185">
        <f t="shared" si="12"/>
        <v>2.5471107090111224E-2</v>
      </c>
      <c r="O30" s="164">
        <f t="shared" si="12"/>
        <v>2.3789733854877093E-2</v>
      </c>
      <c r="P30" s="164">
        <f t="shared" si="12"/>
        <v>2.2915888562760132E-2</v>
      </c>
      <c r="Q30" s="164">
        <f t="shared" si="12"/>
        <v>2.0278647252107495E-2</v>
      </c>
      <c r="R30" s="164">
        <f t="shared" si="12"/>
        <v>1.9447713750127212E-2</v>
      </c>
      <c r="S30" s="164">
        <f t="shared" si="12"/>
        <v>1.7371286320323955E-2</v>
      </c>
      <c r="T30" s="164">
        <f t="shared" si="12"/>
        <v>1.65269615182175E-2</v>
      </c>
      <c r="U30" s="164">
        <f t="shared" si="12"/>
        <v>1.634119501621191E-2</v>
      </c>
      <c r="V30" s="164">
        <f t="shared" si="12"/>
        <v>1.6017642469890896E-2</v>
      </c>
      <c r="W30" s="164">
        <f t="shared" si="12"/>
        <v>1.4321300330268103E-2</v>
      </c>
      <c r="X30" s="185">
        <f t="shared" si="12"/>
        <v>1.4090245840998526E-2</v>
      </c>
      <c r="Y30" s="172">
        <f t="shared" si="12"/>
        <v>1.390139299040982E-2</v>
      </c>
      <c r="Z30" s="172">
        <f t="shared" si="12"/>
        <v>1.3852675425362358E-2</v>
      </c>
      <c r="AA30" s="172">
        <f t="shared" si="12"/>
        <v>1.3796214744779958E-2</v>
      </c>
      <c r="AB30" s="172">
        <f t="shared" si="12"/>
        <v>1.3773246213731292E-2</v>
      </c>
      <c r="AC30" s="172">
        <f t="shared" si="12"/>
        <v>1.3601316453550564E-2</v>
      </c>
      <c r="AD30" s="172">
        <f t="shared" si="12"/>
        <v>1.3370213563277987E-2</v>
      </c>
      <c r="AE30" s="172">
        <f t="shared" si="12"/>
        <v>1.3378194229116779E-2</v>
      </c>
      <c r="AF30" s="172">
        <f t="shared" si="12"/>
        <v>1.3107636315123948E-2</v>
      </c>
      <c r="AG30" s="172">
        <f t="shared" si="12"/>
        <v>1.2837037068030063E-2</v>
      </c>
      <c r="AH30" s="172">
        <f t="shared" si="12"/>
        <v>1.2603004071118097E-2</v>
      </c>
    </row>
    <row r="31" spans="1:34">
      <c r="A31" s="9" t="s">
        <v>347</v>
      </c>
      <c r="B31" s="37"/>
      <c r="C31" s="297">
        <f t="shared" ref="C31:K31" si="13">C13/C$18</f>
        <v>0</v>
      </c>
      <c r="D31" s="297">
        <f t="shared" si="13"/>
        <v>0</v>
      </c>
      <c r="E31" s="297">
        <f t="shared" si="13"/>
        <v>1.1680433504451628E-4</v>
      </c>
      <c r="F31" s="297">
        <f t="shared" si="13"/>
        <v>1.206199296547232E-4</v>
      </c>
      <c r="G31" s="297">
        <f t="shared" si="13"/>
        <v>1.1010689941351477E-4</v>
      </c>
      <c r="H31" s="164">
        <f t="shared" si="13"/>
        <v>1.068682308405965E-4</v>
      </c>
      <c r="I31" s="164">
        <f t="shared" si="13"/>
        <v>1.0347170597049593E-4</v>
      </c>
      <c r="J31" s="164">
        <f t="shared" si="13"/>
        <v>9.7502110495599083E-5</v>
      </c>
      <c r="K31" s="164">
        <f t="shared" si="13"/>
        <v>9.0108940769247238E-5</v>
      </c>
      <c r="L31" s="164">
        <f t="shared" si="7"/>
        <v>8.6355957489077359E-5</v>
      </c>
      <c r="M31" s="164">
        <f t="shared" ref="M31:AH31" si="14">M13/M$18</f>
        <v>8.3124708442084455E-5</v>
      </c>
      <c r="N31" s="185">
        <f t="shared" si="14"/>
        <v>7.9328772477097083E-5</v>
      </c>
      <c r="O31" s="164">
        <f t="shared" si="14"/>
        <v>7.4105085165326813E-5</v>
      </c>
      <c r="P31" s="164">
        <f t="shared" si="14"/>
        <v>7.0925511967793344E-5</v>
      </c>
      <c r="Q31" s="164">
        <f t="shared" si="14"/>
        <v>6.3187926367825904E-5</v>
      </c>
      <c r="R31" s="164">
        <f t="shared" si="14"/>
        <v>6.0607894680053463E-5</v>
      </c>
      <c r="S31" s="164">
        <f t="shared" si="14"/>
        <v>5.3788863225754285E-5</v>
      </c>
      <c r="T31" s="164">
        <f t="shared" si="14"/>
        <v>5.2082651254695422E-5</v>
      </c>
      <c r="U31" s="164">
        <f t="shared" si="14"/>
        <v>5.0963019739530797E-5</v>
      </c>
      <c r="V31" s="164">
        <f t="shared" si="14"/>
        <v>4.9969320813628486E-5</v>
      </c>
      <c r="W31" s="164">
        <f t="shared" si="14"/>
        <v>4.469318199423392E-5</v>
      </c>
      <c r="X31" s="185">
        <f t="shared" si="14"/>
        <v>4.3988938083481723E-5</v>
      </c>
      <c r="Y31" s="172">
        <f t="shared" si="14"/>
        <v>4.34158897449148E-5</v>
      </c>
      <c r="Z31" s="172">
        <f t="shared" si="14"/>
        <v>4.2991610991225891E-5</v>
      </c>
      <c r="AA31" s="172">
        <f t="shared" si="14"/>
        <v>4.2435382636885714E-5</v>
      </c>
      <c r="AB31" s="172">
        <f t="shared" si="14"/>
        <v>4.1811502839019612E-5</v>
      </c>
      <c r="AC31" s="172">
        <f t="shared" si="14"/>
        <v>4.1300197388525956E-5</v>
      </c>
      <c r="AD31" s="172">
        <f t="shared" si="14"/>
        <v>4.0608690944318743E-5</v>
      </c>
      <c r="AE31" s="172">
        <f t="shared" si="14"/>
        <v>3.9877449643766832E-5</v>
      </c>
      <c r="AF31" s="172">
        <f t="shared" si="14"/>
        <v>3.9078428338609686E-5</v>
      </c>
      <c r="AG31" s="172">
        <f t="shared" si="14"/>
        <v>3.8279514636229347E-5</v>
      </c>
      <c r="AH31" s="172">
        <f t="shared" si="14"/>
        <v>0</v>
      </c>
    </row>
    <row r="32" spans="1:34">
      <c r="A32" s="9" t="s">
        <v>348</v>
      </c>
      <c r="B32" s="37"/>
      <c r="C32" s="297">
        <f t="shared" ref="C32:K32" si="15">C14/C$18</f>
        <v>0</v>
      </c>
      <c r="D32" s="297">
        <f t="shared" si="15"/>
        <v>0</v>
      </c>
      <c r="E32" s="297">
        <f t="shared" si="15"/>
        <v>5.8402167522258138E-5</v>
      </c>
      <c r="F32" s="297">
        <f t="shared" si="15"/>
        <v>6.0309964827361602E-5</v>
      </c>
      <c r="G32" s="297">
        <f t="shared" si="15"/>
        <v>5.5053449706757384E-5</v>
      </c>
      <c r="H32" s="164">
        <f t="shared" si="15"/>
        <v>5.3434115420298248E-5</v>
      </c>
      <c r="I32" s="164">
        <f t="shared" si="15"/>
        <v>5.1735852985247964E-5</v>
      </c>
      <c r="J32" s="164">
        <f t="shared" si="15"/>
        <v>4.8751055247799541E-5</v>
      </c>
      <c r="K32" s="164">
        <f t="shared" si="15"/>
        <v>4.5054470384623619E-5</v>
      </c>
      <c r="L32" s="164">
        <f t="shared" si="7"/>
        <v>4.317797874453868E-5</v>
      </c>
      <c r="M32" s="164">
        <f t="shared" ref="M32:AH32" si="16">M14/M$18</f>
        <v>4.1562354221042227E-5</v>
      </c>
      <c r="N32" s="185">
        <f t="shared" si="16"/>
        <v>3.9664386238548541E-5</v>
      </c>
      <c r="O32" s="164">
        <f t="shared" si="16"/>
        <v>3.7052542582663407E-5</v>
      </c>
      <c r="P32" s="164">
        <f t="shared" si="16"/>
        <v>3.5462755983896672E-5</v>
      </c>
      <c r="Q32" s="164">
        <f t="shared" si="16"/>
        <v>3.1593963183912952E-5</v>
      </c>
      <c r="R32" s="164">
        <f t="shared" si="16"/>
        <v>3.0303947340026731E-5</v>
      </c>
      <c r="S32" s="164">
        <f t="shared" si="16"/>
        <v>2.6894431612877143E-5</v>
      </c>
      <c r="T32" s="164">
        <f t="shared" si="16"/>
        <v>2.6041325627347711E-5</v>
      </c>
      <c r="U32" s="164">
        <f t="shared" si="16"/>
        <v>2.5481509869765398E-5</v>
      </c>
      <c r="V32" s="164">
        <f t="shared" si="16"/>
        <v>2.4984660406814243E-5</v>
      </c>
      <c r="W32" s="164">
        <f t="shared" si="16"/>
        <v>2.234659099711696E-5</v>
      </c>
      <c r="X32" s="185">
        <f t="shared" si="16"/>
        <v>2.1994469041740861E-5</v>
      </c>
      <c r="Y32" s="172">
        <f t="shared" si="16"/>
        <v>2.17079448724574E-5</v>
      </c>
      <c r="Z32" s="172">
        <f t="shared" si="16"/>
        <v>2.1495805495612945E-5</v>
      </c>
      <c r="AA32" s="172">
        <f t="shared" si="16"/>
        <v>2.1217691318442857E-5</v>
      </c>
      <c r="AB32" s="172">
        <f t="shared" si="16"/>
        <v>2.0905751419509806E-5</v>
      </c>
      <c r="AC32" s="172">
        <f t="shared" si="16"/>
        <v>2.0650098694262978E-5</v>
      </c>
      <c r="AD32" s="172">
        <f t="shared" si="16"/>
        <v>2.0304345472159371E-5</v>
      </c>
      <c r="AE32" s="172">
        <f t="shared" si="16"/>
        <v>1.9938724821883416E-5</v>
      </c>
      <c r="AF32" s="172">
        <f t="shared" si="16"/>
        <v>1.9539214169304843E-5</v>
      </c>
      <c r="AG32" s="172">
        <f t="shared" si="16"/>
        <v>1.9139757318114674E-5</v>
      </c>
      <c r="AH32" s="172">
        <f t="shared" si="16"/>
        <v>1.8794625990702786E-5</v>
      </c>
    </row>
    <row r="33" spans="1:36">
      <c r="A33" s="9" t="s">
        <v>344</v>
      </c>
      <c r="B33" s="37"/>
      <c r="C33" s="297">
        <f t="shared" ref="C33:K33" si="17">C15/C$18</f>
        <v>6.3979117216140657E-6</v>
      </c>
      <c r="D33" s="297">
        <f t="shared" si="17"/>
        <v>6.230490775758407E-6</v>
      </c>
      <c r="E33" s="297">
        <f t="shared" si="17"/>
        <v>5.8402167522258133E-6</v>
      </c>
      <c r="F33" s="297">
        <f t="shared" si="17"/>
        <v>6.0309964827361598E-6</v>
      </c>
      <c r="G33" s="297">
        <f t="shared" si="17"/>
        <v>5.5053449706757382E-6</v>
      </c>
      <c r="H33" s="164">
        <f t="shared" si="17"/>
        <v>5.3434115420298241E-6</v>
      </c>
      <c r="I33" s="164">
        <f t="shared" si="17"/>
        <v>5.1735852985247959E-6</v>
      </c>
      <c r="J33" s="164">
        <f t="shared" si="17"/>
        <v>4.8751055247799541E-6</v>
      </c>
      <c r="K33" s="164">
        <f t="shared" si="17"/>
        <v>4.5054470384623612E-6</v>
      </c>
      <c r="L33" s="164">
        <f t="shared" si="7"/>
        <v>4.3177978744538675E-6</v>
      </c>
      <c r="M33" s="164">
        <f t="shared" ref="M33:AH33" si="18">M15/M$18</f>
        <v>4.1562354221042224E-6</v>
      </c>
      <c r="N33" s="185">
        <f t="shared" si="18"/>
        <v>3.9664386238548535E-6</v>
      </c>
      <c r="O33" s="164">
        <f t="shared" si="18"/>
        <v>3.7052542582663404E-6</v>
      </c>
      <c r="P33" s="164">
        <f t="shared" si="18"/>
        <v>3.546275598389667E-6</v>
      </c>
      <c r="Q33" s="164">
        <f t="shared" si="18"/>
        <v>3.1593963183912955E-6</v>
      </c>
      <c r="R33" s="164">
        <f t="shared" si="18"/>
        <v>3.0303947340026732E-6</v>
      </c>
      <c r="S33" s="164">
        <f t="shared" si="18"/>
        <v>2.689443161287714E-6</v>
      </c>
      <c r="T33" s="164">
        <f t="shared" si="18"/>
        <v>2.6041325627347709E-6</v>
      </c>
      <c r="U33" s="164">
        <f t="shared" si="18"/>
        <v>2.5481509869765395E-6</v>
      </c>
      <c r="V33" s="164">
        <f t="shared" si="18"/>
        <v>2.4984660406814244E-6</v>
      </c>
      <c r="W33" s="164">
        <f t="shared" si="18"/>
        <v>2.2346590997116961E-6</v>
      </c>
      <c r="X33" s="185">
        <f t="shared" si="18"/>
        <v>2.199446904174086E-6</v>
      </c>
      <c r="Y33" s="172">
        <f t="shared" si="18"/>
        <v>2.17079448724574E-6</v>
      </c>
      <c r="Z33" s="172">
        <f t="shared" si="18"/>
        <v>2.1495805495612946E-6</v>
      </c>
      <c r="AA33" s="172">
        <f t="shared" si="18"/>
        <v>2.1217691318442857E-6</v>
      </c>
      <c r="AB33" s="172">
        <f t="shared" si="18"/>
        <v>2.0905751419509803E-6</v>
      </c>
      <c r="AC33" s="172">
        <f t="shared" si="18"/>
        <v>2.0650098694262975E-6</v>
      </c>
      <c r="AD33" s="172">
        <f t="shared" si="18"/>
        <v>2.0304345472159372E-6</v>
      </c>
      <c r="AE33" s="172">
        <f t="shared" si="18"/>
        <v>1.9938724821883416E-6</v>
      </c>
      <c r="AF33" s="172">
        <f t="shared" si="18"/>
        <v>1.9539214169304841E-6</v>
      </c>
      <c r="AG33" s="172">
        <f t="shared" si="18"/>
        <v>1.9139757318114673E-6</v>
      </c>
      <c r="AH33" s="172">
        <f t="shared" si="18"/>
        <v>1.8794625990702785E-6</v>
      </c>
    </row>
    <row r="34" spans="1:36">
      <c r="A34" s="9" t="s">
        <v>53</v>
      </c>
      <c r="B34" s="37"/>
      <c r="C34" s="297">
        <f t="shared" ref="C34:K34" si="19">C16/C$18</f>
        <v>0</v>
      </c>
      <c r="D34" s="297">
        <f t="shared" si="19"/>
        <v>0</v>
      </c>
      <c r="E34" s="297">
        <f t="shared" si="19"/>
        <v>2.2767454849164773E-5</v>
      </c>
      <c r="F34" s="297">
        <f t="shared" si="19"/>
        <v>2.6298716823946383E-5</v>
      </c>
      <c r="G34" s="297">
        <f t="shared" si="19"/>
        <v>2.5754498152799465E-5</v>
      </c>
      <c r="H34" s="164">
        <f t="shared" si="19"/>
        <v>2.513581025259741E-5</v>
      </c>
      <c r="I34" s="164">
        <f t="shared" si="19"/>
        <v>3.0717104194438895E-5</v>
      </c>
      <c r="J34" s="164">
        <f t="shared" si="19"/>
        <v>3.2848773032720919E-5</v>
      </c>
      <c r="K34" s="164">
        <f t="shared" si="19"/>
        <v>3.0358139173522116E-5</v>
      </c>
      <c r="L34" s="164">
        <f t="shared" si="7"/>
        <v>2.9089502554070413E-5</v>
      </c>
      <c r="M34" s="164">
        <f t="shared" ref="M34:AH34" si="20">M16/M$18</f>
        <v>2.8006221740725844E-5</v>
      </c>
      <c r="N34" s="185">
        <f t="shared" si="20"/>
        <v>2.6728834310063268E-5</v>
      </c>
      <c r="O34" s="164">
        <f t="shared" si="20"/>
        <v>2.4971137933549706E-5</v>
      </c>
      <c r="P34" s="164">
        <f t="shared" si="20"/>
        <v>2.3909384784817233E-5</v>
      </c>
      <c r="Q34" s="164">
        <f t="shared" si="20"/>
        <v>2.1298665561766529E-5</v>
      </c>
      <c r="R34" s="164">
        <f t="shared" si="20"/>
        <v>2.042781271772788E-5</v>
      </c>
      <c r="S34" s="164">
        <f t="shared" si="20"/>
        <v>1.8128503873010861E-5</v>
      </c>
      <c r="T34" s="164">
        <f t="shared" si="20"/>
        <v>1.7555771650686244E-5</v>
      </c>
      <c r="U34" s="164">
        <f t="shared" si="20"/>
        <v>1.7182490686267323E-5</v>
      </c>
      <c r="V34" s="164">
        <f t="shared" si="20"/>
        <v>1.6846862193015247E-5</v>
      </c>
      <c r="W34" s="164">
        <f t="shared" si="20"/>
        <v>1.5084084566861301E-5</v>
      </c>
      <c r="X34" s="185">
        <f t="shared" si="20"/>
        <v>1.4866912371375183E-5</v>
      </c>
      <c r="Y34" s="172">
        <f t="shared" si="20"/>
        <v>1.4694733290058188E-5</v>
      </c>
      <c r="Z34" s="172">
        <f t="shared" si="20"/>
        <v>1.4574731783696751E-5</v>
      </c>
      <c r="AA34" s="172">
        <f t="shared" si="20"/>
        <v>1.4413664870810904E-5</v>
      </c>
      <c r="AB34" s="172">
        <f t="shared" si="20"/>
        <v>1.4248760799644687E-5</v>
      </c>
      <c r="AC34" s="172">
        <f t="shared" si="20"/>
        <v>1.4096493338221371E-5</v>
      </c>
      <c r="AD34" s="172">
        <f t="shared" si="20"/>
        <v>1.3861464576053295E-5</v>
      </c>
      <c r="AE34" s="172">
        <f t="shared" si="20"/>
        <v>1.3674269983940784E-5</v>
      </c>
      <c r="AF34" s="172">
        <f t="shared" si="20"/>
        <v>1.3445683771114903E-5</v>
      </c>
      <c r="AG34" s="172">
        <f t="shared" si="20"/>
        <v>1.3246414736946371E-5</v>
      </c>
      <c r="AH34" s="172">
        <f t="shared" si="20"/>
        <v>1.313005182904536E-5</v>
      </c>
    </row>
    <row r="35" spans="1:36">
      <c r="A35" s="10"/>
      <c r="B35" s="37"/>
      <c r="C35" s="297"/>
      <c r="D35" s="297"/>
      <c r="E35" s="297"/>
      <c r="F35" s="297"/>
      <c r="G35" s="297"/>
      <c r="H35" s="164"/>
      <c r="I35" s="164"/>
      <c r="J35" s="164"/>
      <c r="K35" s="164"/>
      <c r="L35" s="164"/>
      <c r="M35" s="164"/>
      <c r="N35" s="183"/>
      <c r="O35" s="164"/>
      <c r="P35" s="164"/>
      <c r="Q35" s="164"/>
      <c r="R35" s="164"/>
      <c r="S35" s="164"/>
      <c r="T35" s="164"/>
      <c r="U35" s="164"/>
      <c r="V35" s="164"/>
      <c r="W35" s="164"/>
      <c r="X35" s="185"/>
    </row>
    <row r="36" spans="1:36">
      <c r="A36" s="10"/>
      <c r="B36" s="37"/>
      <c r="C36" s="297"/>
      <c r="D36" s="297"/>
      <c r="E36" s="297"/>
      <c r="F36" s="297"/>
      <c r="G36" s="297"/>
      <c r="H36" s="164"/>
      <c r="I36" s="164"/>
      <c r="J36" s="164"/>
      <c r="K36" s="164"/>
      <c r="L36" s="164"/>
      <c r="M36" s="164"/>
      <c r="N36" s="183"/>
      <c r="O36" s="164"/>
      <c r="P36" s="164"/>
      <c r="Q36" s="164"/>
      <c r="R36" s="164"/>
      <c r="S36" s="164"/>
      <c r="T36" s="164"/>
      <c r="U36" s="164"/>
      <c r="V36" s="164"/>
      <c r="W36" s="164"/>
      <c r="X36" s="185"/>
    </row>
    <row r="37" spans="1:36">
      <c r="A37" s="10"/>
      <c r="B37" s="37"/>
      <c r="C37" s="297"/>
      <c r="D37" s="297"/>
      <c r="E37" s="297"/>
      <c r="F37" s="297"/>
      <c r="G37" s="297"/>
      <c r="H37" s="164"/>
      <c r="I37" s="164"/>
      <c r="J37" s="164"/>
      <c r="K37" s="164"/>
      <c r="L37" s="164"/>
      <c r="M37" s="164"/>
      <c r="N37" s="183"/>
      <c r="O37" s="164"/>
      <c r="P37" s="164"/>
      <c r="Q37" s="164"/>
      <c r="R37" s="164"/>
      <c r="S37" s="164"/>
      <c r="T37" s="164"/>
      <c r="U37" s="164"/>
      <c r="V37" s="164"/>
      <c r="W37" s="164"/>
      <c r="X37" s="185"/>
    </row>
    <row r="38" spans="1:36">
      <c r="A38" s="10"/>
      <c r="B38" s="37"/>
      <c r="C38" s="297"/>
      <c r="D38" s="297"/>
      <c r="E38" s="297"/>
      <c r="F38" s="297"/>
      <c r="G38" s="297"/>
      <c r="H38" s="164"/>
      <c r="I38" s="164"/>
      <c r="J38" s="164"/>
      <c r="K38" s="164"/>
      <c r="L38" s="164"/>
      <c r="M38" s="164"/>
      <c r="N38" s="183"/>
      <c r="O38" s="164"/>
      <c r="P38" s="164"/>
      <c r="Q38" s="164"/>
      <c r="R38" s="164"/>
      <c r="S38" s="164"/>
      <c r="T38" s="164"/>
      <c r="U38" s="164"/>
      <c r="V38" s="164"/>
      <c r="W38" s="164"/>
      <c r="X38" s="185"/>
    </row>
    <row r="39" spans="1:36">
      <c r="A39" s="1" t="s">
        <v>139</v>
      </c>
      <c r="B39" s="13"/>
      <c r="D39" s="298"/>
      <c r="E39" s="298"/>
      <c r="F39" s="298"/>
      <c r="G39" s="298"/>
      <c r="H39" s="16"/>
      <c r="I39" s="16"/>
      <c r="J39" s="16"/>
      <c r="K39" s="16"/>
      <c r="L39" s="16"/>
      <c r="M39" s="16"/>
      <c r="N39" s="354" t="s">
        <v>0</v>
      </c>
    </row>
    <row r="40" spans="1:36" ht="15">
      <c r="A40" s="8" t="s">
        <v>61</v>
      </c>
      <c r="B40" s="34">
        <v>0</v>
      </c>
      <c r="C40" s="296">
        <f>C5*Inputs!$C$44</f>
        <v>0</v>
      </c>
      <c r="D40" s="296">
        <f>D5*Inputs!$C$44</f>
        <v>0</v>
      </c>
      <c r="E40" s="296">
        <f>E5*Inputs!$C$44</f>
        <v>0</v>
      </c>
      <c r="F40" s="296">
        <f>F5*Inputs!$C$44</f>
        <v>0</v>
      </c>
      <c r="G40" s="296">
        <f>G5*Inputs!$C$44</f>
        <v>0</v>
      </c>
      <c r="H40" s="14">
        <f>H5*Inputs!$C$44</f>
        <v>0</v>
      </c>
      <c r="I40" s="14">
        <f>I5*Inputs!$C$44</f>
        <v>0</v>
      </c>
      <c r="J40" s="14">
        <f>J5*Inputs!$C$44</f>
        <v>0</v>
      </c>
      <c r="K40" s="14">
        <f>K5*Inputs!$C$44</f>
        <v>0</v>
      </c>
      <c r="L40" s="14">
        <f>L5*Inputs!$C$44</f>
        <v>0</v>
      </c>
      <c r="M40" s="14">
        <f>M5*Inputs!$C$44</f>
        <v>0</v>
      </c>
      <c r="N40" s="190">
        <f>N5*Inputs!$C$44</f>
        <v>0</v>
      </c>
      <c r="O40" s="14">
        <f>O5*Inputs!$C$44</f>
        <v>0</v>
      </c>
      <c r="P40" s="14">
        <f>P5*Inputs!$C$44</f>
        <v>0</v>
      </c>
      <c r="Q40" s="14">
        <f>Q5*Inputs!$C$44</f>
        <v>0</v>
      </c>
      <c r="R40" s="14">
        <f>R5*Inputs!$C$44</f>
        <v>0</v>
      </c>
      <c r="S40" s="14">
        <f>S5*Inputs!$C$44</f>
        <v>0</v>
      </c>
      <c r="T40" s="14">
        <f>T5*Inputs!$C$44</f>
        <v>0</v>
      </c>
      <c r="U40" s="14">
        <f>U5*Inputs!$C$44</f>
        <v>0</v>
      </c>
      <c r="V40" s="14">
        <f>V5*Inputs!$C$44</f>
        <v>0</v>
      </c>
      <c r="W40" s="14">
        <f>W5*Inputs!$C$44</f>
        <v>0</v>
      </c>
      <c r="X40" s="187">
        <f>X5*Inputs!$C$44</f>
        <v>0</v>
      </c>
      <c r="Y40" s="14">
        <f>Y5*Inputs!$C$44</f>
        <v>0</v>
      </c>
      <c r="Z40" s="14">
        <f>Z5*Inputs!$C$44</f>
        <v>0</v>
      </c>
      <c r="AA40" s="14">
        <f>AA5*Inputs!$C$44</f>
        <v>0</v>
      </c>
      <c r="AB40" s="14">
        <f>AB5*Inputs!$C$44</f>
        <v>0</v>
      </c>
      <c r="AC40" s="14">
        <f>AC5*Inputs!$C$44</f>
        <v>0</v>
      </c>
      <c r="AD40" s="14">
        <f>AD5*Inputs!$C$44</f>
        <v>0</v>
      </c>
      <c r="AE40" s="14">
        <f>AE5*Inputs!$C$44</f>
        <v>0</v>
      </c>
      <c r="AF40" s="14">
        <f>AF5*Inputs!$C$44</f>
        <v>0</v>
      </c>
      <c r="AG40" s="14">
        <f>AG5*Inputs!$C$44</f>
        <v>0</v>
      </c>
      <c r="AH40" s="14">
        <f>AH5*Inputs!$C$44</f>
        <v>0</v>
      </c>
    </row>
    <row r="41" spans="1:36" ht="15">
      <c r="A41" s="8" t="s">
        <v>60</v>
      </c>
      <c r="B41" s="34">
        <v>0</v>
      </c>
      <c r="C41" s="296">
        <f>C6*Inputs!$C$47</f>
        <v>0</v>
      </c>
      <c r="D41" s="296">
        <f>D6*Inputs!$C$47</f>
        <v>0</v>
      </c>
      <c r="E41" s="296" t="s">
        <v>377</v>
      </c>
      <c r="F41" s="296">
        <f>F6*Inputs!$C$47</f>
        <v>0</v>
      </c>
      <c r="G41" s="296">
        <f>G6*Inputs!$C$47</f>
        <v>0</v>
      </c>
      <c r="H41" s="14">
        <f>H6*Inputs!$C$47</f>
        <v>0</v>
      </c>
      <c r="I41" s="14">
        <f>I6*Inputs!$C$47</f>
        <v>0</v>
      </c>
      <c r="J41" s="14">
        <f>J6*Inputs!$C$47</f>
        <v>0</v>
      </c>
      <c r="K41" s="14">
        <f>K6*Inputs!$C$47</f>
        <v>0</v>
      </c>
      <c r="L41" s="14">
        <f>L6*Inputs!$C$47</f>
        <v>0</v>
      </c>
      <c r="M41" s="14">
        <f>M6*Inputs!$C$47</f>
        <v>0</v>
      </c>
      <c r="N41" s="190">
        <f>N6*Inputs!$C$47</f>
        <v>0</v>
      </c>
      <c r="O41" s="14">
        <f>O6*Inputs!$C$47</f>
        <v>0</v>
      </c>
      <c r="P41" s="14">
        <f>P6*Inputs!$C$47</f>
        <v>0</v>
      </c>
      <c r="Q41" s="14">
        <f>Q6*Inputs!$C$47</f>
        <v>0</v>
      </c>
      <c r="R41" s="14">
        <f>R6*Inputs!$C$47</f>
        <v>0</v>
      </c>
      <c r="S41" s="14">
        <f>S6*Inputs!$C$47</f>
        <v>0</v>
      </c>
      <c r="T41" s="14">
        <f>T6*Inputs!$C$47</f>
        <v>0</v>
      </c>
      <c r="U41" s="14">
        <f>U6*Inputs!$C$47</f>
        <v>0</v>
      </c>
      <c r="V41" s="14">
        <f>V6*Inputs!$C$47</f>
        <v>0</v>
      </c>
      <c r="W41" s="14">
        <f>W6*Inputs!$C$47</f>
        <v>0</v>
      </c>
      <c r="X41" s="187">
        <f>X6*Inputs!$C$47</f>
        <v>0</v>
      </c>
      <c r="Y41" s="14">
        <f>Y6*Inputs!$C$47</f>
        <v>0</v>
      </c>
      <c r="Z41" s="14">
        <f>Z6*Inputs!$C$47</f>
        <v>0</v>
      </c>
      <c r="AA41" s="14">
        <f>AA6*Inputs!$C$47</f>
        <v>0</v>
      </c>
      <c r="AB41" s="14">
        <f>AB6*Inputs!$C$47</f>
        <v>0</v>
      </c>
      <c r="AC41" s="14">
        <f>AC6*Inputs!$C$47</f>
        <v>0</v>
      </c>
      <c r="AD41" s="14">
        <f>AD6*Inputs!$C$47</f>
        <v>0</v>
      </c>
      <c r="AE41" s="14">
        <f>AE6*Inputs!$C$47</f>
        <v>0</v>
      </c>
      <c r="AF41" s="14">
        <f>AF6*Inputs!$C$47</f>
        <v>0</v>
      </c>
      <c r="AG41" s="14">
        <f>AG6*Inputs!$C$47</f>
        <v>0</v>
      </c>
      <c r="AH41" s="14">
        <f>AH6*Inputs!$C$47</f>
        <v>0</v>
      </c>
      <c r="AI41">
        <f>EXP(0.01)</f>
        <v>1.0100501670841679</v>
      </c>
      <c r="AJ41" s="29">
        <v>0.01</v>
      </c>
    </row>
    <row r="42" spans="1:36" ht="15">
      <c r="A42" s="8" t="s">
        <v>49</v>
      </c>
      <c r="B42" s="34">
        <v>0</v>
      </c>
      <c r="C42" s="296">
        <f>C7*Inputs!$C$48</f>
        <v>628.94849999999997</v>
      </c>
      <c r="D42" s="296">
        <f>D7*Inputs!$C$48</f>
        <v>548.84849999999994</v>
      </c>
      <c r="E42" s="296">
        <f>E7*Inputs!$C$48</f>
        <v>655.04349979100232</v>
      </c>
      <c r="F42" s="296">
        <f>F7*Inputs!$C$48</f>
        <v>532.94844682619078</v>
      </c>
      <c r="G42" s="296">
        <f>G7*Inputs!$C$48</f>
        <v>676.51488172725055</v>
      </c>
      <c r="H42" s="14">
        <f>H7*Inputs!$C$48</f>
        <v>692.78238689642831</v>
      </c>
      <c r="I42" s="14">
        <f>I7*Inputs!$C$48</f>
        <v>707.14059634091734</v>
      </c>
      <c r="J42" s="14">
        <f>J7*Inputs!$C$48</f>
        <v>719.54668003971767</v>
      </c>
      <c r="K42" s="14">
        <f>K7*Inputs!$C$48</f>
        <v>727.96442984575003</v>
      </c>
      <c r="L42" s="14">
        <f>L7*Inputs!$C$48</f>
        <v>727.96406465116456</v>
      </c>
      <c r="M42" s="14">
        <f>M7*Inputs!$C$48</f>
        <v>727.96425455234885</v>
      </c>
      <c r="N42" s="190">
        <f>N7*Inputs!$C$48</f>
        <v>727.96406465116456</v>
      </c>
      <c r="O42" s="14">
        <f>O7*Inputs!$C$48</f>
        <v>727.96423994456541</v>
      </c>
      <c r="P42" s="14">
        <f>P7*Inputs!$C$48</f>
        <v>727.96372867214563</v>
      </c>
      <c r="Q42" s="14">
        <f>Q7*Inputs!$C$48</f>
        <v>731.982724302321</v>
      </c>
      <c r="R42" s="14">
        <f>R7*Inputs!$C$48</f>
        <v>731.98243214665263</v>
      </c>
      <c r="S42" s="14">
        <f>S7*Inputs!$C$48</f>
        <v>731.98273891010444</v>
      </c>
      <c r="T42" s="14">
        <f>T7*Inputs!$C$48</f>
        <v>733.51007031381494</v>
      </c>
      <c r="U42" s="14">
        <f>U7*Inputs!$C$48</f>
        <v>734.42710313384168</v>
      </c>
      <c r="V42" s="14">
        <f>V7*Inputs!$C$48</f>
        <v>739.61869475505205</v>
      </c>
      <c r="W42" s="14">
        <f>W7*Inputs!$C$48</f>
        <v>744.68997667197993</v>
      </c>
      <c r="X42" s="187">
        <f>X7*Inputs!$C$48</f>
        <v>750.34869599153228</v>
      </c>
      <c r="Y42" s="14">
        <f>Y7*Inputs!$C$48</f>
        <v>750.34879824601637</v>
      </c>
      <c r="Z42" s="14">
        <f>Z7*Inputs!$C$48</f>
        <v>753.63103571140425</v>
      </c>
      <c r="AA42" s="14">
        <f>AA7*Inputs!$C$48</f>
        <v>753.63119639702177</v>
      </c>
      <c r="AB42" s="14">
        <f>AB7*Inputs!$C$48</f>
        <v>753.63119639702177</v>
      </c>
      <c r="AC42" s="14">
        <f>AC7*Inputs!$C$48</f>
        <v>756.74626238890198</v>
      </c>
      <c r="AD42" s="14">
        <f>AD7*Inputs!$C$48</f>
        <v>758.90387582402047</v>
      </c>
      <c r="AE42" s="14">
        <f>AE7*Inputs!$C$48</f>
        <v>758.90416797968896</v>
      </c>
      <c r="AF42" s="14">
        <f>AF7*Inputs!$C$48</f>
        <v>760.86174242859499</v>
      </c>
      <c r="AG42" s="14">
        <f>AG7*Inputs!$C$48</f>
        <v>760.86172782081155</v>
      </c>
      <c r="AH42" s="14">
        <f>AH7*Inputs!$C$48</f>
        <v>760.86180085972887</v>
      </c>
    </row>
    <row r="43" spans="1:36" ht="15">
      <c r="A43" s="8" t="s">
        <v>59</v>
      </c>
      <c r="B43" s="34">
        <v>0</v>
      </c>
      <c r="C43" s="296">
        <f>C8*Inputs!$C$53</f>
        <v>2123.8000000000002</v>
      </c>
      <c r="D43" s="296">
        <f>D8*Inputs!$C$53</f>
        <v>2103.2200000000003</v>
      </c>
      <c r="E43" s="296">
        <f>E8*Inputs!$C$53</f>
        <v>2138.5339434034595</v>
      </c>
      <c r="F43" s="296">
        <f>F8*Inputs!$C$53</f>
        <v>2118.7884956410039</v>
      </c>
      <c r="G43" s="296">
        <f>G8*Inputs!$C$53</f>
        <v>2084.9525180062019</v>
      </c>
      <c r="H43" s="14">
        <f>H8*Inputs!$C$53</f>
        <v>2091.1402293428077</v>
      </c>
      <c r="I43" s="14">
        <f>I8*Inputs!$C$53</f>
        <v>2170.527001074915</v>
      </c>
      <c r="J43" s="14">
        <f>J8*Inputs!$C$53</f>
        <v>2262.4845084088024</v>
      </c>
      <c r="K43" s="14">
        <f>K8*Inputs!$C$53</f>
        <v>2351.8690706900256</v>
      </c>
      <c r="L43" s="14">
        <f>L8*Inputs!$C$53</f>
        <v>2421.2727417117626</v>
      </c>
      <c r="M43" s="14">
        <f>M8*Inputs!$C$53</f>
        <v>2433.3981325684713</v>
      </c>
      <c r="N43" s="190">
        <f>N8*Inputs!$C$53</f>
        <v>2433.3981934800345</v>
      </c>
      <c r="O43" s="14">
        <f>O8*Inputs!$C$53</f>
        <v>2433.3981934800345</v>
      </c>
      <c r="P43" s="14">
        <f>P8*Inputs!$C$53</f>
        <v>2433.3981731761796</v>
      </c>
      <c r="Q43" s="14">
        <f>Q8*Inputs!$C$53</f>
        <v>2433.3981934800345</v>
      </c>
      <c r="R43" s="14">
        <f>R8*Inputs!$C$53</f>
        <v>2433.3981325684713</v>
      </c>
      <c r="S43" s="14">
        <f>S8*Inputs!$C$53</f>
        <v>2433.4030562531921</v>
      </c>
      <c r="T43" s="14">
        <f>T8*Inputs!$C$53</f>
        <v>2433.3981731761796</v>
      </c>
      <c r="U43" s="14">
        <f>U8*Inputs!$C$53</f>
        <v>2433.3981528723252</v>
      </c>
      <c r="V43" s="14">
        <f>V8*Inputs!$C$53</f>
        <v>2433.3981528723252</v>
      </c>
      <c r="W43" s="14">
        <f>W8*Inputs!$C$53</f>
        <v>2433.3981934800345</v>
      </c>
      <c r="X43" s="187">
        <f>X8*Inputs!$C$53</f>
        <v>2433.3981528723252</v>
      </c>
      <c r="Y43" s="14">
        <f>Y8*Inputs!$C$53</f>
        <v>2433.3981528723252</v>
      </c>
      <c r="Z43" s="14">
        <f>Z8*Inputs!$C$53</f>
        <v>2433.3981731761796</v>
      </c>
      <c r="AA43" s="14">
        <f>AA8*Inputs!$C$53</f>
        <v>2433.3981224165436</v>
      </c>
      <c r="AB43" s="14">
        <f>AB8*Inputs!$C$53</f>
        <v>2433.3981528723252</v>
      </c>
      <c r="AC43" s="14">
        <f>AC8*Inputs!$C$53</f>
        <v>2433.3981934800345</v>
      </c>
      <c r="AD43" s="14">
        <f>AD8*Inputs!$C$53</f>
        <v>2433.3981934800345</v>
      </c>
      <c r="AE43" s="14">
        <f>AE8*Inputs!$C$53</f>
        <v>2433.3981934800345</v>
      </c>
      <c r="AF43" s="14">
        <f>AF8*Inputs!$C$53</f>
        <v>2433.3981934800345</v>
      </c>
      <c r="AG43" s="14">
        <f>AG8*Inputs!$C$53</f>
        <v>2433.3981528723252</v>
      </c>
      <c r="AH43" s="14">
        <f>AH8*Inputs!$C$53</f>
        <v>2433.3981528723252</v>
      </c>
    </row>
    <row r="44" spans="1:36" ht="15">
      <c r="A44" s="8" t="s">
        <v>121</v>
      </c>
      <c r="B44" s="34">
        <v>1</v>
      </c>
      <c r="C44" s="296">
        <f>C10*Inputs!$C$46</f>
        <v>321.08999999999997</v>
      </c>
      <c r="D44" s="296">
        <f>D10*Inputs!$C$46</f>
        <v>329.07</v>
      </c>
      <c r="E44" s="296">
        <f>E10*Inputs!$C$46</f>
        <v>345.60639672145618</v>
      </c>
      <c r="F44" s="296">
        <f>F10*Inputs!$C$46</f>
        <v>333.73829301673902</v>
      </c>
      <c r="G44" s="296">
        <f>G10*Inputs!$C$46</f>
        <v>369.66910555759381</v>
      </c>
      <c r="H44" s="14">
        <f>H10*Inputs!$C$46</f>
        <v>380.33915090728317</v>
      </c>
      <c r="I44" s="14">
        <f>I10*Inputs!$C$46</f>
        <v>394.30332485902949</v>
      </c>
      <c r="J44" s="14">
        <f>J10*Inputs!$C$46</f>
        <v>417.19604905159309</v>
      </c>
      <c r="K44" s="14">
        <f>K10*Inputs!$C$46</f>
        <v>452.44603940223845</v>
      </c>
      <c r="L44" s="14">
        <f>L10*Inputs!$C$46</f>
        <v>472.70022784259527</v>
      </c>
      <c r="M44" s="14">
        <f>M10*Inputs!$C$46</f>
        <v>491.69521551187484</v>
      </c>
      <c r="N44" s="190">
        <f>N10*Inputs!$C$46</f>
        <v>515.87643981028691</v>
      </c>
      <c r="O44" s="14">
        <f>O10*Inputs!$C$46</f>
        <v>553.19930606480773</v>
      </c>
      <c r="P44" s="14">
        <f>P10*Inputs!$C$46</f>
        <v>578.52015192348324</v>
      </c>
      <c r="Q44" s="14">
        <f>Q10*Inputs!$C$46</f>
        <v>651.12475911005492</v>
      </c>
      <c r="R44" s="14">
        <f>R10*Inputs!$C$46</f>
        <v>679.42188088220928</v>
      </c>
      <c r="S44" s="14">
        <f>S10*Inputs!$C$46</f>
        <v>767.18645412866692</v>
      </c>
      <c r="T44" s="14">
        <f>T10*Inputs!$C$46</f>
        <v>793.00275243207057</v>
      </c>
      <c r="U44" s="14">
        <f>U10*Inputs!$C$46</f>
        <v>810.57939329878502</v>
      </c>
      <c r="V44" s="14">
        <f>V10*Inputs!$C$46</f>
        <v>826.97222079091296</v>
      </c>
      <c r="W44" s="14">
        <f>W10*Inputs!$C$46</f>
        <v>926.20189892041788</v>
      </c>
      <c r="X44" s="187">
        <f>X10*Inputs!$C$46</f>
        <v>941.25181325640813</v>
      </c>
      <c r="Y44" s="14">
        <f>Y10*Inputs!$C$46</f>
        <v>953.859129696163</v>
      </c>
      <c r="Z44" s="14">
        <f>Z10*Inputs!$C$46</f>
        <v>963.32101107969982</v>
      </c>
      <c r="AA44" s="14">
        <f>AA10*Inputs!$C$46</f>
        <v>976.00480178945281</v>
      </c>
      <c r="AB44" s="14">
        <f>AB10*Inputs!$C$46</f>
        <v>990.59223988543761</v>
      </c>
      <c r="AC44" s="14">
        <f>AC10*Inputs!$C$46</f>
        <v>1003.0318078055161</v>
      </c>
      <c r="AD44" s="14">
        <f>AD10*Inputs!$C$46</f>
        <v>1020.352362773845</v>
      </c>
      <c r="AE44" s="14">
        <f>AE10*Inputs!$C$46</f>
        <v>1039.055790843445</v>
      </c>
      <c r="AF44" s="14">
        <f>AF10*Inputs!$C$46</f>
        <v>1060.5933456466992</v>
      </c>
      <c r="AG44" s="14">
        <f>AG10*Inputs!$C$46</f>
        <v>1083.0269929695899</v>
      </c>
      <c r="AH44" s="14">
        <f>AH10*Inputs!$C$46</f>
        <v>1103.2197846192464</v>
      </c>
    </row>
    <row r="45" spans="1:36" ht="15">
      <c r="A45" s="8" t="s">
        <v>50</v>
      </c>
      <c r="B45" s="34">
        <v>1</v>
      </c>
      <c r="C45" s="296">
        <f>C11*Inputs!$C$49</f>
        <v>0</v>
      </c>
      <c r="D45" s="296">
        <f>D11*Inputs!$C$49</f>
        <v>0</v>
      </c>
      <c r="E45" s="296">
        <f>E11*Inputs!$C$49</f>
        <v>1.00297075E-3</v>
      </c>
      <c r="F45" s="296">
        <f>F11*Inputs!$C$49</f>
        <v>9.3954974999999996E-4</v>
      </c>
      <c r="G45" s="296">
        <f>G11*Inputs!$C$49</f>
        <v>1.0272635E-3</v>
      </c>
      <c r="H45" s="14">
        <f>H11*Inputs!$C$49</f>
        <v>1.0272674999999998E-3</v>
      </c>
      <c r="I45" s="14">
        <f>I11*Inputs!$C$49</f>
        <v>1.0269494999999998E-3</v>
      </c>
      <c r="J45" s="14">
        <f>J11*Inputs!$C$49</f>
        <v>1.0250292499999999E-3</v>
      </c>
      <c r="K45" s="14">
        <f>K11*Inputs!$C$49</f>
        <v>1.1269452499999997E-3</v>
      </c>
      <c r="L45" s="14">
        <f>L11*Inputs!$C$49</f>
        <v>1.2252369999999999E-3</v>
      </c>
      <c r="M45" s="14">
        <f>M11*Inputs!$C$49</f>
        <v>1.2289159999999998E-3</v>
      </c>
      <c r="N45" s="190">
        <f>N11*Inputs!$C$49</f>
        <v>1.22858325E-3</v>
      </c>
      <c r="O45" s="14">
        <f>O11*Inputs!$C$49</f>
        <v>1.228306E-3</v>
      </c>
      <c r="P45" s="14">
        <f>P11*Inputs!$C$49</f>
        <v>1.2299374999999999E-3</v>
      </c>
      <c r="Q45" s="14">
        <f>Q11*Inputs!$C$49</f>
        <v>1.2321999999999999E-3</v>
      </c>
      <c r="R45" s="14">
        <f>R11*Inputs!$C$49</f>
        <v>1.2311885E-3</v>
      </c>
      <c r="S45" s="14">
        <f>S11*Inputs!$C$49</f>
        <v>1.2321679999999998E-3</v>
      </c>
      <c r="T45" s="14">
        <f>T11*Inputs!$C$49</f>
        <v>1.2318857500000001E-3</v>
      </c>
      <c r="U45" s="14">
        <f>U11*Inputs!$C$49</f>
        <v>1.3275494999999999E-3</v>
      </c>
      <c r="V45" s="14">
        <f>V11*Inputs!$C$49</f>
        <v>1.3875325000000001E-3</v>
      </c>
      <c r="W45" s="14">
        <f>W11*Inputs!$C$49</f>
        <v>1.3930049999999999E-3</v>
      </c>
      <c r="X45" s="187">
        <f>X11*Inputs!$C$49</f>
        <v>1.4573519999999999E-3</v>
      </c>
      <c r="Y45" s="14">
        <f>Y11*Inputs!$C$49</f>
        <v>1.5117932499999999E-3</v>
      </c>
      <c r="Z45" s="14">
        <f>Z11*Inputs!$C$49</f>
        <v>1.5111339999999999E-3</v>
      </c>
      <c r="AA45" s="14">
        <f>AA11*Inputs!$C$49</f>
        <v>1.5105322499999998E-3</v>
      </c>
      <c r="AB45" s="14">
        <f>AB11*Inputs!$C$49</f>
        <v>1.5099499999999999E-3</v>
      </c>
      <c r="AC45" s="14">
        <f>AC11*Inputs!$C$49</f>
        <v>1.5093909999999999E-3</v>
      </c>
      <c r="AD45" s="14">
        <f>AD11*Inputs!$C$49</f>
        <v>1.50885075E-3</v>
      </c>
      <c r="AE45" s="14">
        <f>AE11*Inputs!$C$49</f>
        <v>1.50833075E-3</v>
      </c>
      <c r="AF45" s="14">
        <f>AF11*Inputs!$C$49</f>
        <v>1.50783775E-3</v>
      </c>
      <c r="AG45" s="14">
        <f>AG11*Inputs!$C$49</f>
        <v>1.5073494999999998E-3</v>
      </c>
      <c r="AH45" s="14">
        <f>AH11*Inputs!$C$49</f>
        <v>1.5068957499999999E-3</v>
      </c>
    </row>
    <row r="46" spans="1:36" ht="15">
      <c r="A46" s="8" t="s">
        <v>51</v>
      </c>
      <c r="B46" s="34">
        <v>1</v>
      </c>
      <c r="C46" s="296">
        <f>C12*Inputs!$C$52</f>
        <v>5.0999999999999996</v>
      </c>
      <c r="D46" s="296">
        <f>D12*Inputs!$C$52</f>
        <v>5.7</v>
      </c>
      <c r="E46" s="296">
        <f>E12*Inputs!$C$52</f>
        <v>9.925121117947965</v>
      </c>
      <c r="F46" s="296">
        <f>F12*Inputs!$C$52</f>
        <v>10.277018061119778</v>
      </c>
      <c r="G46" s="296">
        <f>G12*Inputs!$C$52</f>
        <v>8.3589955727710343</v>
      </c>
      <c r="H46" s="14">
        <f>H12*Inputs!$C$52</f>
        <v>8.994539815072871</v>
      </c>
      <c r="I46" s="14">
        <f>I12*Inputs!$C$52</f>
        <v>8.2330783141870967</v>
      </c>
      <c r="J46" s="14">
        <f>J12*Inputs!$C$52</f>
        <v>9.6312474877888796</v>
      </c>
      <c r="K46" s="14">
        <f>K12*Inputs!$C$52</f>
        <v>9.6973110683135868</v>
      </c>
      <c r="L46" s="14">
        <f>L12*Inputs!$C$52</f>
        <v>9.6989487633551974</v>
      </c>
      <c r="M46" s="14">
        <f>M12*Inputs!$C$52</f>
        <v>9.635308378661291</v>
      </c>
      <c r="N46" s="190">
        <f>N12*Inputs!$C$52</f>
        <v>9.6324850220510942</v>
      </c>
      <c r="O46" s="14">
        <f>O12*Inputs!$C$52</f>
        <v>9.6308102750854641</v>
      </c>
      <c r="P46" s="14">
        <f>P12*Inputs!$C$52</f>
        <v>9.692938941279424</v>
      </c>
      <c r="Q46" s="14">
        <f>Q12*Inputs!$C$52</f>
        <v>9.6277794277007622</v>
      </c>
      <c r="R46" s="14">
        <f>R12*Inputs!$C$52</f>
        <v>9.626326992279246</v>
      </c>
      <c r="S46" s="14">
        <f>S12*Inputs!$C$52</f>
        <v>9.6885964557844719</v>
      </c>
      <c r="T46" s="14">
        <f>T12*Inputs!$C$52</f>
        <v>9.5196545030304343</v>
      </c>
      <c r="U46" s="14">
        <f>U12*Inputs!$C$52</f>
        <v>9.6194427447966362</v>
      </c>
      <c r="V46" s="14">
        <f>V12*Inputs!$C$52</f>
        <v>9.6164860012599718</v>
      </c>
      <c r="W46" s="14">
        <f>W12*Inputs!$C$52</f>
        <v>9.6130772242502864</v>
      </c>
      <c r="X46" s="187">
        <f>X12*Inputs!$C$52</f>
        <v>9.6094016733876675</v>
      </c>
      <c r="Y46" s="14">
        <f>Y12*Inputs!$C$52</f>
        <v>9.6057409432946539</v>
      </c>
      <c r="Z46" s="14">
        <f>Z12*Inputs!$C$52</f>
        <v>9.6665431506087547</v>
      </c>
      <c r="AA46" s="14">
        <f>AA12*Inputs!$C$52</f>
        <v>9.7533335774293235</v>
      </c>
      <c r="AB46" s="14">
        <f>AB12*Inputs!$C$52</f>
        <v>9.8823854287852093</v>
      </c>
      <c r="AC46" s="14">
        <f>AC12*Inputs!$C$52</f>
        <v>9.8798436667975515</v>
      </c>
      <c r="AD46" s="14">
        <f>AD12*Inputs!$C$52</f>
        <v>9.877353777503517</v>
      </c>
      <c r="AE46" s="14">
        <f>AE12*Inputs!$C$52</f>
        <v>10.064480814565757</v>
      </c>
      <c r="AF46" s="14">
        <f>AF12*Inputs!$C$52</f>
        <v>10.062561524901607</v>
      </c>
      <c r="AG46" s="14">
        <f>AG12*Inputs!$C$52</f>
        <v>10.060501437926188</v>
      </c>
      <c r="AH46" s="14">
        <f>AH12*Inputs!$C$52</f>
        <v>10.05846358210518</v>
      </c>
    </row>
    <row r="47" spans="1:36" ht="15">
      <c r="A47" s="8" t="s">
        <v>347</v>
      </c>
      <c r="B47" s="34">
        <v>1</v>
      </c>
      <c r="C47" s="296">
        <f>C13*Inputs!$C$54</f>
        <v>0</v>
      </c>
      <c r="D47" s="296">
        <f>D13*Inputs!$C$54</f>
        <v>0</v>
      </c>
      <c r="E47" s="296">
        <f>E13*Inputs!$C$54</f>
        <v>0.15800000000000003</v>
      </c>
      <c r="F47" s="296">
        <f>F13*Inputs!$C$54</f>
        <v>0.15800000000000003</v>
      </c>
      <c r="G47" s="296">
        <f>G13*Inputs!$C$54</f>
        <v>0.15800000000000003</v>
      </c>
      <c r="H47" s="14">
        <f>H13*Inputs!$C$54</f>
        <v>0.15800000000000003</v>
      </c>
      <c r="I47" s="14">
        <f>I13*Inputs!$C$54</f>
        <v>0.15800000000000003</v>
      </c>
      <c r="J47" s="14">
        <f>J13*Inputs!$C$54</f>
        <v>0.15800000000000003</v>
      </c>
      <c r="K47" s="14">
        <f>K13*Inputs!$C$54</f>
        <v>0.15800000000000003</v>
      </c>
      <c r="L47" s="14">
        <f>L13*Inputs!$C$54</f>
        <v>0.15800000000000003</v>
      </c>
      <c r="M47" s="14">
        <f>M13*Inputs!$C$54</f>
        <v>0.15800000000000003</v>
      </c>
      <c r="N47" s="190">
        <f>N13*Inputs!$C$54</f>
        <v>0.15800000000000003</v>
      </c>
      <c r="O47" s="14">
        <f>O13*Inputs!$C$54</f>
        <v>0.15800000000000003</v>
      </c>
      <c r="P47" s="14">
        <f>P13*Inputs!$C$54</f>
        <v>0.15800000000000003</v>
      </c>
      <c r="Q47" s="14">
        <f>Q13*Inputs!$C$54</f>
        <v>0.15800000000000003</v>
      </c>
      <c r="R47" s="14">
        <f>R13*Inputs!$C$54</f>
        <v>0.15800000000000003</v>
      </c>
      <c r="S47" s="14">
        <f>S13*Inputs!$C$54</f>
        <v>0.15800000000000003</v>
      </c>
      <c r="T47" s="14">
        <f>T13*Inputs!$C$54</f>
        <v>0.15800000000000003</v>
      </c>
      <c r="U47" s="14">
        <f>U13*Inputs!$C$54</f>
        <v>0.15800000000000003</v>
      </c>
      <c r="V47" s="14">
        <f>V13*Inputs!$C$54</f>
        <v>0.15800000000000003</v>
      </c>
      <c r="W47" s="14">
        <f>W13*Inputs!$C$54</f>
        <v>0.15800000000000003</v>
      </c>
      <c r="X47" s="187">
        <f>X13*Inputs!$C$54</f>
        <v>0.15800000000000003</v>
      </c>
      <c r="Y47" s="14">
        <f>Y13*Inputs!$C$54</f>
        <v>0.15800000000000003</v>
      </c>
      <c r="Z47" s="14">
        <f>Z13*Inputs!$C$54</f>
        <v>0.15800000000000003</v>
      </c>
      <c r="AA47" s="14">
        <f>AA13*Inputs!$C$54</f>
        <v>0.15800000000000003</v>
      </c>
      <c r="AB47" s="14">
        <f>AB13*Inputs!$C$54</f>
        <v>0.15800000000000003</v>
      </c>
      <c r="AC47" s="14">
        <f>AC13*Inputs!$C$54</f>
        <v>0.15800000000000003</v>
      </c>
      <c r="AD47" s="14">
        <f>AD13*Inputs!$C$54</f>
        <v>0.15800000000000003</v>
      </c>
      <c r="AE47" s="14">
        <f>AE13*Inputs!$C$54</f>
        <v>0.15800000000000003</v>
      </c>
      <c r="AF47" s="14">
        <f>AF13*Inputs!$C$54</f>
        <v>0.15800000000000003</v>
      </c>
      <c r="AG47" s="14">
        <f>AG13*Inputs!$C$54</f>
        <v>0.15800000000000003</v>
      </c>
      <c r="AH47" s="14">
        <f>AH13*Inputs!$C$54</f>
        <v>0</v>
      </c>
    </row>
    <row r="48" spans="1:36" ht="15">
      <c r="A48" s="8" t="s">
        <v>348</v>
      </c>
      <c r="B48" s="34">
        <v>1</v>
      </c>
      <c r="C48" s="296">
        <f>C14*Inputs!$C$55</f>
        <v>0</v>
      </c>
      <c r="D48" s="296">
        <f>D14*Inputs!$C$55</f>
        <v>0</v>
      </c>
      <c r="E48" s="296">
        <f>E14*Inputs!$C$55</f>
        <v>2.3000000000000003E-2</v>
      </c>
      <c r="F48" s="296">
        <f>F14*Inputs!$C$55</f>
        <v>2.3000000000000003E-2</v>
      </c>
      <c r="G48" s="296">
        <f>G14*Inputs!$C$55</f>
        <v>2.3000000000000003E-2</v>
      </c>
      <c r="H48" s="14">
        <f>H14*Inputs!$C$55</f>
        <v>2.3000000000000003E-2</v>
      </c>
      <c r="I48" s="14">
        <f>I14*Inputs!$C$55</f>
        <v>2.3000000000000003E-2</v>
      </c>
      <c r="J48" s="14">
        <f>J14*Inputs!$C$55</f>
        <v>2.3000000000000003E-2</v>
      </c>
      <c r="K48" s="14">
        <f>K14*Inputs!$C$55</f>
        <v>2.3000000000000003E-2</v>
      </c>
      <c r="L48" s="14">
        <f>L14*Inputs!$C$55</f>
        <v>2.3000000000000003E-2</v>
      </c>
      <c r="M48" s="14">
        <f>M14*Inputs!$C$55</f>
        <v>2.3000000000000003E-2</v>
      </c>
      <c r="N48" s="190">
        <f>N14*Inputs!$C$55</f>
        <v>2.3000000000000003E-2</v>
      </c>
      <c r="O48" s="14">
        <f>O14*Inputs!$C$55</f>
        <v>2.3000000000000003E-2</v>
      </c>
      <c r="P48" s="14">
        <f>P14*Inputs!$C$55</f>
        <v>2.3000000000000003E-2</v>
      </c>
      <c r="Q48" s="14">
        <f>Q14*Inputs!$C$55</f>
        <v>2.3000000000000003E-2</v>
      </c>
      <c r="R48" s="14">
        <f>R14*Inputs!$C$55</f>
        <v>2.3000000000000003E-2</v>
      </c>
      <c r="S48" s="14">
        <f>S14*Inputs!$C$55</f>
        <v>2.3000000000000003E-2</v>
      </c>
      <c r="T48" s="14">
        <f>T14*Inputs!$C$55</f>
        <v>2.3000000000000003E-2</v>
      </c>
      <c r="U48" s="14">
        <f>U14*Inputs!$C$55</f>
        <v>2.3000000000000003E-2</v>
      </c>
      <c r="V48" s="14">
        <f>V14*Inputs!$C$55</f>
        <v>2.3000000000000003E-2</v>
      </c>
      <c r="W48" s="14">
        <f>W14*Inputs!$C$55</f>
        <v>2.3000000000000003E-2</v>
      </c>
      <c r="X48" s="187">
        <f>X14*Inputs!$C$55</f>
        <v>2.3000000000000003E-2</v>
      </c>
      <c r="Y48" s="14">
        <f>Y14*Inputs!$C$55</f>
        <v>2.3000000000000003E-2</v>
      </c>
      <c r="Z48" s="14">
        <f>Z14*Inputs!$C$55</f>
        <v>2.3000000000000003E-2</v>
      </c>
      <c r="AA48" s="14">
        <f>AA14*Inputs!$C$55</f>
        <v>2.3000000000000003E-2</v>
      </c>
      <c r="AB48" s="14">
        <f>AB14*Inputs!$C$55</f>
        <v>2.3000000000000003E-2</v>
      </c>
      <c r="AC48" s="14">
        <f>AC14*Inputs!$C$55</f>
        <v>2.3000000000000003E-2</v>
      </c>
      <c r="AD48" s="14">
        <f>AD14*Inputs!$C$55</f>
        <v>2.3000000000000003E-2</v>
      </c>
      <c r="AE48" s="14">
        <f>AE14*Inputs!$C$55</f>
        <v>2.3000000000000003E-2</v>
      </c>
      <c r="AF48" s="14">
        <f>AF14*Inputs!$C$55</f>
        <v>2.3000000000000003E-2</v>
      </c>
      <c r="AG48" s="14">
        <f>AG14*Inputs!$C$55</f>
        <v>2.3000000000000003E-2</v>
      </c>
      <c r="AH48" s="14">
        <f>AH14*Inputs!$C$55</f>
        <v>2.3000000000000003E-2</v>
      </c>
    </row>
    <row r="49" spans="1:34" ht="15">
      <c r="A49" s="8" t="s">
        <v>344</v>
      </c>
      <c r="B49" s="34">
        <v>1</v>
      </c>
      <c r="C49" s="296">
        <f>C15*Inputs!$C$51</f>
        <v>2.7000000000000001E-3</v>
      </c>
      <c r="D49" s="296">
        <f>D15*Inputs!$C$51</f>
        <v>2.7000000000000001E-3</v>
      </c>
      <c r="E49" s="296">
        <f>E15*Inputs!$C$51</f>
        <v>2.7000000000000001E-3</v>
      </c>
      <c r="F49" s="296">
        <f>F15*Inputs!$C$51</f>
        <v>2.7000000000000001E-3</v>
      </c>
      <c r="G49" s="296">
        <f>G15*Inputs!$C$51</f>
        <v>2.7000000000000001E-3</v>
      </c>
      <c r="H49" s="14">
        <f>H15*Inputs!$C$51</f>
        <v>2.7000000000000001E-3</v>
      </c>
      <c r="I49" s="14">
        <f>I15*Inputs!$C$51</f>
        <v>2.7000000000000001E-3</v>
      </c>
      <c r="J49" s="14">
        <f>J15*Inputs!$C$51</f>
        <v>2.7000000000000001E-3</v>
      </c>
      <c r="K49" s="14">
        <f>K15*Inputs!$C$51</f>
        <v>2.7000000000000001E-3</v>
      </c>
      <c r="L49" s="14">
        <f>L15*Inputs!$C$51</f>
        <v>2.7000000000000001E-3</v>
      </c>
      <c r="M49" s="14">
        <f>M15*Inputs!$C$51</f>
        <v>2.7000000000000001E-3</v>
      </c>
      <c r="N49" s="190">
        <f>N15*Inputs!$C$51</f>
        <v>2.7000000000000001E-3</v>
      </c>
      <c r="O49" s="14">
        <f>O15*Inputs!$C$51</f>
        <v>2.7000000000000001E-3</v>
      </c>
      <c r="P49" s="14">
        <f>P15*Inputs!$C$51</f>
        <v>2.7000000000000001E-3</v>
      </c>
      <c r="Q49" s="14">
        <f>Q15*Inputs!$C$51</f>
        <v>2.7000000000000001E-3</v>
      </c>
      <c r="R49" s="14">
        <f>R15*Inputs!$C$51</f>
        <v>2.7000000000000001E-3</v>
      </c>
      <c r="S49" s="14">
        <f>S15*Inputs!$C$51</f>
        <v>2.7000000000000001E-3</v>
      </c>
      <c r="T49" s="14">
        <f>T15*Inputs!$C$51</f>
        <v>2.7000000000000001E-3</v>
      </c>
      <c r="U49" s="14">
        <f>U15*Inputs!$C$51</f>
        <v>2.7000000000000001E-3</v>
      </c>
      <c r="V49" s="14">
        <f>V15*Inputs!$C$51</f>
        <v>2.7000000000000001E-3</v>
      </c>
      <c r="W49" s="14">
        <f>W15*Inputs!$C$51</f>
        <v>2.7000000000000001E-3</v>
      </c>
      <c r="X49" s="187">
        <f>X15*Inputs!$C$51</f>
        <v>2.7000000000000001E-3</v>
      </c>
      <c r="Y49" s="14">
        <f>Y15*Inputs!$C$51</f>
        <v>2.7000000000000001E-3</v>
      </c>
      <c r="Z49" s="14">
        <f>Z15*Inputs!$C$51</f>
        <v>2.7000000000000001E-3</v>
      </c>
      <c r="AA49" s="14">
        <f>AA15*Inputs!$C$51</f>
        <v>2.7000000000000001E-3</v>
      </c>
      <c r="AB49" s="14">
        <f>AB15*Inputs!$C$51</f>
        <v>2.7000000000000001E-3</v>
      </c>
      <c r="AC49" s="14">
        <f>AC15*Inputs!$C$51</f>
        <v>2.7000000000000001E-3</v>
      </c>
      <c r="AD49" s="14">
        <f>AD15*Inputs!$C$51</f>
        <v>2.7000000000000001E-3</v>
      </c>
      <c r="AE49" s="14">
        <f>AE15*Inputs!$C$51</f>
        <v>2.7000000000000001E-3</v>
      </c>
      <c r="AF49" s="14">
        <f>AF15*Inputs!$C$51</f>
        <v>2.7000000000000001E-3</v>
      </c>
      <c r="AG49" s="14">
        <f>AG15*Inputs!$C$51</f>
        <v>2.7000000000000001E-3</v>
      </c>
      <c r="AH49" s="14">
        <f>AH15*Inputs!$C$51</f>
        <v>2.7000000000000001E-3</v>
      </c>
    </row>
    <row r="50" spans="1:34" ht="15">
      <c r="A50" s="8" t="s">
        <v>53</v>
      </c>
      <c r="B50" s="34">
        <v>1</v>
      </c>
      <c r="C50" s="296">
        <f>C16*Inputs!$C$57</f>
        <v>0</v>
      </c>
      <c r="D50" s="296">
        <f>D16*Inputs!$C$57</f>
        <v>0</v>
      </c>
      <c r="E50" s="296">
        <f>E16*Inputs!$C$57</f>
        <v>6.6272665700000009E-3</v>
      </c>
      <c r="F50" s="296">
        <f>F16*Inputs!$C$57</f>
        <v>7.4130069100000013E-3</v>
      </c>
      <c r="G50" s="296">
        <f>G16*Inputs!$C$57</f>
        <v>7.9527526599999995E-3</v>
      </c>
      <c r="H50" s="14">
        <f>H16*Inputs!$C$57</f>
        <v>7.9969280100000012E-3</v>
      </c>
      <c r="I50" s="14">
        <f>I16*Inputs!$C$57</f>
        <v>1.0093402180000001E-2</v>
      </c>
      <c r="J50" s="14">
        <f>J16*Inputs!$C$57</f>
        <v>1.1454708800000001E-2</v>
      </c>
      <c r="K50" s="14">
        <f>K16*Inputs!$C$57</f>
        <v>1.1454764899999997E-2</v>
      </c>
      <c r="L50" s="14">
        <f>L16*Inputs!$C$57</f>
        <v>1.1453096179999999E-2</v>
      </c>
      <c r="M50" s="14">
        <f>M16*Inputs!$C$57</f>
        <v>1.1455216589999999E-2</v>
      </c>
      <c r="N50" s="190">
        <f>N16*Inputs!$C$57</f>
        <v>1.1455873300000001E-2</v>
      </c>
      <c r="O50" s="14">
        <f>O16*Inputs!$C$57</f>
        <v>1.1456955860000001E-2</v>
      </c>
      <c r="P50" s="14">
        <f>P16*Inputs!$C$57</f>
        <v>1.1461589209999999E-2</v>
      </c>
      <c r="Q50" s="14">
        <f>Q16*Inputs!$C$57</f>
        <v>1.146033223E-2</v>
      </c>
      <c r="R50" s="14">
        <f>R16*Inputs!$C$57</f>
        <v>1.145965614E-2</v>
      </c>
      <c r="S50" s="14">
        <f>S16*Inputs!$C$57</f>
        <v>1.1459047369999999E-2</v>
      </c>
      <c r="T50" s="14">
        <f>T16*Inputs!$C$57</f>
        <v>1.146055782E-2</v>
      </c>
      <c r="U50" s="14">
        <f>U16*Inputs!$C$57</f>
        <v>1.1463305869999997E-2</v>
      </c>
      <c r="V50" s="14">
        <f>V16*Inputs!$C$57</f>
        <v>1.1462899739999999E-2</v>
      </c>
      <c r="W50" s="14">
        <f>W16*Inputs!$C$57</f>
        <v>1.1475103190000002E-2</v>
      </c>
      <c r="X50" s="187">
        <f>X16*Inputs!$C$57</f>
        <v>1.1490957560000001E-2</v>
      </c>
      <c r="Y50" s="14">
        <f>Y16*Inputs!$C$57</f>
        <v>1.150778977E-2</v>
      </c>
      <c r="Z50" s="14">
        <f>Z16*Inputs!$C$57</f>
        <v>1.1526455260000002E-2</v>
      </c>
      <c r="AA50" s="14">
        <f>AA16*Inputs!$C$57</f>
        <v>1.1548490320000002E-2</v>
      </c>
      <c r="AB50" s="14">
        <f>AB16*Inputs!$C$57</f>
        <v>1.1586712610000003E-2</v>
      </c>
      <c r="AC50" s="14">
        <f>AC16*Inputs!$C$57</f>
        <v>1.1604805880000001E-2</v>
      </c>
      <c r="AD50" s="14">
        <f>AD16*Inputs!$C$57</f>
        <v>1.1605638710000001E-2</v>
      </c>
      <c r="AE50" s="14">
        <f>AE16*Inputs!$C$57</f>
        <v>1.1658849390000002E-2</v>
      </c>
      <c r="AF50" s="14">
        <f>AF16*Inputs!$C$57</f>
        <v>1.1698352970000001E-2</v>
      </c>
      <c r="AG50" s="14">
        <f>AG16*Inputs!$C$57</f>
        <v>1.1765512319999999E-2</v>
      </c>
      <c r="AH50" s="14">
        <f>AH16*Inputs!$C$57</f>
        <v>1.1876314069999998E-2</v>
      </c>
    </row>
    <row r="51" spans="1:34" s="20" customFormat="1" ht="15">
      <c r="A51" s="8" t="s">
        <v>128</v>
      </c>
      <c r="B51" s="38"/>
      <c r="C51" s="299">
        <f t="shared" ref="C51:AH51" si="21">SUMPRODUCT($B42:$B50,C42:C50)</f>
        <v>326.1927</v>
      </c>
      <c r="D51" s="299">
        <f t="shared" si="21"/>
        <v>334.77269999999999</v>
      </c>
      <c r="E51" s="299">
        <f t="shared" si="21"/>
        <v>355.72284807672418</v>
      </c>
      <c r="F51" s="299">
        <f t="shared" si="21"/>
        <v>344.20736363451886</v>
      </c>
      <c r="G51" s="299">
        <f t="shared" si="21"/>
        <v>378.22078114652493</v>
      </c>
      <c r="H51" s="19">
        <f t="shared" si="21"/>
        <v>389.52641491786608</v>
      </c>
      <c r="I51" s="19">
        <f t="shared" si="21"/>
        <v>402.73122352489662</v>
      </c>
      <c r="J51" s="19">
        <f t="shared" si="21"/>
        <v>427.023476277432</v>
      </c>
      <c r="K51" s="19">
        <f t="shared" si="21"/>
        <v>462.3396321807021</v>
      </c>
      <c r="L51" s="19">
        <f t="shared" si="21"/>
        <v>482.59555493913052</v>
      </c>
      <c r="M51" s="19">
        <f t="shared" si="21"/>
        <v>501.52690802312617</v>
      </c>
      <c r="N51" s="190">
        <f t="shared" si="21"/>
        <v>525.70530928888809</v>
      </c>
      <c r="O51" s="19">
        <f t="shared" si="21"/>
        <v>563.02650160175324</v>
      </c>
      <c r="P51" s="19">
        <f t="shared" si="21"/>
        <v>588.40948239147269</v>
      </c>
      <c r="Q51" s="19">
        <f t="shared" si="21"/>
        <v>660.94893106998563</v>
      </c>
      <c r="R51" s="19">
        <f t="shared" si="21"/>
        <v>689.24459871912859</v>
      </c>
      <c r="S51" s="19">
        <f t="shared" si="21"/>
        <v>777.0714417998214</v>
      </c>
      <c r="T51" s="19">
        <f t="shared" si="21"/>
        <v>802.71879937867106</v>
      </c>
      <c r="U51" s="19">
        <f t="shared" si="21"/>
        <v>820.39532689895179</v>
      </c>
      <c r="V51" s="19">
        <f t="shared" si="21"/>
        <v>836.78525722441293</v>
      </c>
      <c r="W51" s="19">
        <f t="shared" si="21"/>
        <v>936.01154425285824</v>
      </c>
      <c r="X51" s="182">
        <f t="shared" si="21"/>
        <v>951.05786323935581</v>
      </c>
      <c r="Y51" s="19">
        <f t="shared" si="21"/>
        <v>963.66159022247768</v>
      </c>
      <c r="Z51" s="19">
        <f t="shared" si="21"/>
        <v>973.18429181956856</v>
      </c>
      <c r="AA51" s="19">
        <f t="shared" si="21"/>
        <v>985.95489438945219</v>
      </c>
      <c r="AB51" s="19">
        <f t="shared" si="21"/>
        <v>1000.6714219768329</v>
      </c>
      <c r="AC51" s="19">
        <f t="shared" si="21"/>
        <v>1013.1084656691937</v>
      </c>
      <c r="AD51" s="19">
        <f t="shared" si="21"/>
        <v>1030.4265310408084</v>
      </c>
      <c r="AE51" s="19">
        <f t="shared" si="21"/>
        <v>1049.3171388381506</v>
      </c>
      <c r="AF51" s="19">
        <f t="shared" si="21"/>
        <v>1070.8528133623206</v>
      </c>
      <c r="AG51" s="19">
        <f t="shared" si="21"/>
        <v>1093.2844672693357</v>
      </c>
      <c r="AH51" s="19">
        <f t="shared" si="21"/>
        <v>1113.3173314111714</v>
      </c>
    </row>
    <row r="52" spans="1:34" s="20" customFormat="1" ht="15">
      <c r="A52" s="27" t="s">
        <v>329</v>
      </c>
      <c r="B52" s="39"/>
      <c r="C52" s="299">
        <f>SUM(C40:C50)</f>
        <v>3078.9412000000002</v>
      </c>
      <c r="D52" s="299">
        <f t="shared" ref="D52:I52" si="22">SUM(D42:D50)</f>
        <v>2986.8412000000003</v>
      </c>
      <c r="E52" s="299">
        <f t="shared" si="22"/>
        <v>3149.3002912711863</v>
      </c>
      <c r="F52" s="299">
        <f t="shared" si="22"/>
        <v>2995.9443061017137</v>
      </c>
      <c r="G52" s="299">
        <f t="shared" si="22"/>
        <v>3139.6881808799776</v>
      </c>
      <c r="H52" s="19">
        <f t="shared" si="22"/>
        <v>3173.4490311571021</v>
      </c>
      <c r="I52" s="19">
        <f t="shared" si="22"/>
        <v>3280.3988209407289</v>
      </c>
      <c r="J52" s="19">
        <f t="shared" ref="J52:AH52" si="23">SUM(J42:J50)</f>
        <v>3409.0546647259521</v>
      </c>
      <c r="K52" s="19">
        <f t="shared" si="23"/>
        <v>3542.1731327164775</v>
      </c>
      <c r="L52" s="19">
        <f t="shared" si="23"/>
        <v>3631.832361302058</v>
      </c>
      <c r="M52" s="19">
        <f t="shared" si="23"/>
        <v>3662.8892951439461</v>
      </c>
      <c r="N52" s="190">
        <f t="shared" si="23"/>
        <v>3687.067567420087</v>
      </c>
      <c r="O52" s="19">
        <f t="shared" si="23"/>
        <v>3724.388935026353</v>
      </c>
      <c r="P52" s="19">
        <f t="shared" si="23"/>
        <v>3749.7713842397975</v>
      </c>
      <c r="Q52" s="19">
        <f t="shared" si="23"/>
        <v>3826.329848852341</v>
      </c>
      <c r="R52" s="19">
        <f t="shared" si="23"/>
        <v>3854.625163434252</v>
      </c>
      <c r="S52" s="19">
        <f t="shared" si="23"/>
        <v>3942.4572369631178</v>
      </c>
      <c r="T52" s="19">
        <f t="shared" si="23"/>
        <v>3969.6270428686653</v>
      </c>
      <c r="U52" s="19">
        <f t="shared" si="23"/>
        <v>3988.2205829051186</v>
      </c>
      <c r="V52" s="19">
        <f t="shared" si="23"/>
        <v>4009.8021048517903</v>
      </c>
      <c r="W52" s="19">
        <f t="shared" si="23"/>
        <v>4114.0997144048724</v>
      </c>
      <c r="X52" s="182">
        <f t="shared" si="23"/>
        <v>4134.8047121032141</v>
      </c>
      <c r="Y52" s="19">
        <f t="shared" si="23"/>
        <v>4147.4085413408193</v>
      </c>
      <c r="Z52" s="19">
        <f t="shared" si="23"/>
        <v>4160.2135007071529</v>
      </c>
      <c r="AA52" s="19">
        <f t="shared" si="23"/>
        <v>4172.984213203019</v>
      </c>
      <c r="AB52" s="19">
        <f t="shared" si="23"/>
        <v>4187.7007712461791</v>
      </c>
      <c r="AC52" s="19">
        <f t="shared" si="23"/>
        <v>4203.2529215381301</v>
      </c>
      <c r="AD52" s="19">
        <f t="shared" si="23"/>
        <v>4222.7286003448626</v>
      </c>
      <c r="AE52" s="19">
        <f t="shared" si="23"/>
        <v>4241.6195002978748</v>
      </c>
      <c r="AF52" s="19">
        <f t="shared" si="23"/>
        <v>4265.1127492709502</v>
      </c>
      <c r="AG52" s="19">
        <f t="shared" si="23"/>
        <v>4287.5443479624737</v>
      </c>
      <c r="AH52" s="19">
        <f t="shared" si="23"/>
        <v>4307.5772851432257</v>
      </c>
    </row>
    <row r="53" spans="1:34" s="20" customFormat="1" ht="15">
      <c r="A53" s="27" t="s">
        <v>330</v>
      </c>
      <c r="B53" s="39"/>
      <c r="C53" s="299">
        <f>C20*Inputs!$C$60</f>
        <v>2758.25</v>
      </c>
      <c r="D53" s="299">
        <f>D20*Inputs!$C$60</f>
        <v>3096.72</v>
      </c>
      <c r="E53" s="299">
        <f>E20*Inputs!$C$60</f>
        <v>2773.8283969199697</v>
      </c>
      <c r="F53" s="299">
        <f>F20*Inputs!$C$60</f>
        <v>2389.6366765230855</v>
      </c>
      <c r="G53" s="299">
        <f>G20*Inputs!$C$60</f>
        <v>2555.2088203668272</v>
      </c>
      <c r="H53" s="19">
        <f>H20*Inputs!$C$60</f>
        <v>2632.1436596036451</v>
      </c>
      <c r="I53" s="19">
        <f>I20*Inputs!$C$60</f>
        <v>2494.4270738438099</v>
      </c>
      <c r="J53" s="19">
        <f>J20*Inputs!$C$60</f>
        <v>2396.6628456871263</v>
      </c>
      <c r="K53" s="19">
        <f>K20*Inputs!$C$60</f>
        <v>2523.0381966847535</v>
      </c>
      <c r="L53" s="19">
        <f>L20*Inputs!$C$60</f>
        <v>2568.5382424637332</v>
      </c>
      <c r="M53" s="19">
        <f>M20*Inputs!$C$60</f>
        <v>2592.0077009513261</v>
      </c>
      <c r="N53" s="190">
        <f>N20*Inputs!$C$60</f>
        <v>2585.379534204701</v>
      </c>
      <c r="O53" s="19">
        <f>O20*Inputs!$C$60</f>
        <v>2607.0390306581066</v>
      </c>
      <c r="P53" s="19">
        <f>P20*Inputs!$C$60</f>
        <v>2627.2555701586944</v>
      </c>
      <c r="Q53" s="19">
        <f>Q20*Inputs!$C$60</f>
        <v>2628.3831967659039</v>
      </c>
      <c r="R53" s="19">
        <f>R20*Inputs!$C$60</f>
        <v>2662.3929879019934</v>
      </c>
      <c r="S53" s="19">
        <f>S20*Inputs!$C$60</f>
        <v>2688.5566768595513</v>
      </c>
      <c r="T53" s="19">
        <f>T20*Inputs!$C$60</f>
        <v>2686.6517198113984</v>
      </c>
      <c r="U53" s="19">
        <f>U20*Inputs!$C$60</f>
        <v>2687.2156761868473</v>
      </c>
      <c r="V53" s="19">
        <f>V20*Inputs!$C$60</f>
        <v>2686.8344155206955</v>
      </c>
      <c r="W53" s="19">
        <f>W20*Inputs!$C$60</f>
        <v>2676.917589971184</v>
      </c>
      <c r="X53" s="182">
        <f>X20*Inputs!$C$60</f>
        <v>2679.1123730495578</v>
      </c>
      <c r="Y53" s="19">
        <f>Y20*Inputs!$C$60</f>
        <v>2677.9228549696168</v>
      </c>
      <c r="Z53" s="19">
        <f>Z20*Inputs!$C$60</f>
        <v>2677.0296410253859</v>
      </c>
      <c r="AA53" s="19">
        <f>AA20*Inputs!$C$60</f>
        <v>2674.3446891163612</v>
      </c>
      <c r="AB53" s="19">
        <f>AB20*Inputs!$C$60</f>
        <v>2672.1430854982459</v>
      </c>
      <c r="AC53" s="19">
        <f>AC20*Inputs!$C$60</f>
        <v>2669.7492355388426</v>
      </c>
      <c r="AD53" s="19">
        <f>AD20*Inputs!$C$60</f>
        <v>2667.3737879022769</v>
      </c>
      <c r="AE53" s="19">
        <f>AE20*Inputs!$C$60</f>
        <v>2665.1479324337724</v>
      </c>
      <c r="AF53" s="19">
        <f>AF20*Inputs!$C$60</f>
        <v>2662.9016716366059</v>
      </c>
      <c r="AG53" s="19">
        <f>AG20*Inputs!$C$60</f>
        <v>2662.8805345306391</v>
      </c>
      <c r="AH53" s="19">
        <f>AH20*Inputs!$C$60</f>
        <v>2662.8457797995898</v>
      </c>
    </row>
    <row r="54" spans="1:34" s="20" customFormat="1" ht="15">
      <c r="A54" s="27" t="s">
        <v>222</v>
      </c>
      <c r="B54" s="39"/>
      <c r="C54" s="299">
        <f>C21*Inputs!$C$61</f>
        <v>1234.31</v>
      </c>
      <c r="D54" s="299">
        <f>D21*Inputs!$C$61</f>
        <v>1371.59</v>
      </c>
      <c r="E54" s="299">
        <f>E21*Inputs!$C$61</f>
        <v>1116.0970068252618</v>
      </c>
      <c r="F54" s="299">
        <f>F21*Inputs!$C$61</f>
        <v>1326.9644813993862</v>
      </c>
      <c r="G54" s="299">
        <f>G21*Inputs!$C$61</f>
        <v>1184.6035158141376</v>
      </c>
      <c r="H54" s="19">
        <f>H21*Inputs!$C$61</f>
        <v>1129.0709413682666</v>
      </c>
      <c r="I54" s="19">
        <f>I21*Inputs!$C$61</f>
        <v>1218.1498183645306</v>
      </c>
      <c r="J54" s="19">
        <f>J21*Inputs!$C$61</f>
        <v>1329.2778356615447</v>
      </c>
      <c r="K54" s="19">
        <f>K21*Inputs!$C$61</f>
        <v>1269.6880937300996</v>
      </c>
      <c r="L54" s="19">
        <f>L21*Inputs!$C$61</f>
        <v>1254.3305162503336</v>
      </c>
      <c r="M54" s="19">
        <f>M21*Inputs!$C$61</f>
        <v>1275.0072423707973</v>
      </c>
      <c r="N54" s="190">
        <f>N21*Inputs!$C$61</f>
        <v>1313.7320191250469</v>
      </c>
      <c r="O54" s="19">
        <f>O21*Inputs!$C$61</f>
        <v>1333.6691177640539</v>
      </c>
      <c r="P54" s="19">
        <f>P21*Inputs!$C$61</f>
        <v>1361.6886234115952</v>
      </c>
      <c r="Q54" s="19">
        <f>Q21*Inputs!$C$61</f>
        <v>1413.8542346987099</v>
      </c>
      <c r="R54" s="19">
        <f>R21*Inputs!$C$61</f>
        <v>1445.979418362685</v>
      </c>
      <c r="S54" s="19">
        <f>S21*Inputs!$C$61</f>
        <v>1463.4247544994396</v>
      </c>
      <c r="T54" s="19">
        <f>T21*Inputs!$C$61</f>
        <v>1487.1262237310766</v>
      </c>
      <c r="U54" s="19">
        <f>U21*Inputs!$C$61</f>
        <v>1510.2697164483957</v>
      </c>
      <c r="V54" s="19">
        <f>V21*Inputs!$C$61</f>
        <v>1537.3037853634751</v>
      </c>
      <c r="W54" s="19">
        <f>W21*Inputs!$C$61</f>
        <v>1549.9380657464221</v>
      </c>
      <c r="X54" s="182">
        <f>X21*Inputs!$C$61</f>
        <v>1574.0522184579895</v>
      </c>
      <c r="Y54" s="19">
        <f>Y21*Inputs!$C$61</f>
        <v>1584.4064151247023</v>
      </c>
      <c r="Z54" s="19">
        <f>Z21*Inputs!$C$61</f>
        <v>1601.7638286982069</v>
      </c>
      <c r="AA54" s="19">
        <f>AA21*Inputs!$C$61</f>
        <v>1614.2930907721532</v>
      </c>
      <c r="AB54" s="19">
        <f>AB21*Inputs!$C$61</f>
        <v>1631.6477276392652</v>
      </c>
      <c r="AC54" s="19">
        <f>AC21*Inputs!$C$61</f>
        <v>1659.0666408481072</v>
      </c>
      <c r="AD54" s="19">
        <f>AD21*Inputs!$C$61</f>
        <v>1683.5759180471334</v>
      </c>
      <c r="AE54" s="19">
        <f>AE21*Inputs!$C$61</f>
        <v>1722.4316188656278</v>
      </c>
      <c r="AF54" s="19">
        <f>AF21*Inputs!$C$61</f>
        <v>1765.5034224039211</v>
      </c>
      <c r="AG54" s="19">
        <f>AG21*Inputs!$C$61</f>
        <v>1798.8988202545604</v>
      </c>
      <c r="AH54" s="19">
        <f>AH21*Inputs!$C$61</f>
        <v>1824.8709002230808</v>
      </c>
    </row>
    <row r="55" spans="1:34" s="20" customFormat="1" ht="15">
      <c r="A55" s="27" t="s">
        <v>58</v>
      </c>
      <c r="B55" s="39"/>
      <c r="C55" s="299">
        <f>SUM(C52:C54)</f>
        <v>7071.5012000000006</v>
      </c>
      <c r="D55" s="299">
        <f t="shared" ref="D55:AH55" si="24">SUM(D52:D54)</f>
        <v>7455.1512000000002</v>
      </c>
      <c r="E55" s="299">
        <f t="shared" si="24"/>
        <v>7039.2256950164183</v>
      </c>
      <c r="F55" s="299">
        <f t="shared" si="24"/>
        <v>6712.5454640241851</v>
      </c>
      <c r="G55" s="299">
        <f t="shared" si="24"/>
        <v>6879.5005170609429</v>
      </c>
      <c r="H55" s="19">
        <f t="shared" si="24"/>
        <v>6934.6636321290134</v>
      </c>
      <c r="I55" s="19">
        <f t="shared" si="24"/>
        <v>6992.9757131490696</v>
      </c>
      <c r="J55" s="19">
        <f t="shared" si="24"/>
        <v>7134.9953460746228</v>
      </c>
      <c r="K55" s="19">
        <f t="shared" si="24"/>
        <v>7334.89942313133</v>
      </c>
      <c r="L55" s="19">
        <f t="shared" si="24"/>
        <v>7454.7011200161251</v>
      </c>
      <c r="M55" s="19">
        <f t="shared" si="24"/>
        <v>7529.9042384660697</v>
      </c>
      <c r="N55" s="190">
        <f t="shared" si="24"/>
        <v>7586.1791207498354</v>
      </c>
      <c r="O55" s="19">
        <f t="shared" si="24"/>
        <v>7665.0970834485133</v>
      </c>
      <c r="P55" s="19">
        <f t="shared" si="24"/>
        <v>7738.7155778100878</v>
      </c>
      <c r="Q55" s="19">
        <f t="shared" si="24"/>
        <v>7868.5672803169546</v>
      </c>
      <c r="R55" s="19">
        <f t="shared" si="24"/>
        <v>7962.9975696989313</v>
      </c>
      <c r="S55" s="19">
        <f t="shared" si="24"/>
        <v>8094.4386683221092</v>
      </c>
      <c r="T55" s="19">
        <f t="shared" si="24"/>
        <v>8143.4049864111403</v>
      </c>
      <c r="U55" s="19">
        <f t="shared" si="24"/>
        <v>8185.7059755403625</v>
      </c>
      <c r="V55" s="19">
        <f t="shared" si="24"/>
        <v>8233.9403057359596</v>
      </c>
      <c r="W55" s="19">
        <f t="shared" si="24"/>
        <v>8340.9553701224795</v>
      </c>
      <c r="X55" s="182">
        <f t="shared" si="24"/>
        <v>8387.9693036107619</v>
      </c>
      <c r="Y55" s="19">
        <f t="shared" si="24"/>
        <v>8409.7378114351377</v>
      </c>
      <c r="Z55" s="19">
        <f t="shared" si="24"/>
        <v>8439.0069704307462</v>
      </c>
      <c r="AA55" s="19">
        <f t="shared" si="24"/>
        <v>8461.621993091534</v>
      </c>
      <c r="AB55" s="19">
        <f t="shared" si="24"/>
        <v>8491.4915843836898</v>
      </c>
      <c r="AC55" s="19">
        <f t="shared" si="24"/>
        <v>8532.0687979250797</v>
      </c>
      <c r="AD55" s="19">
        <f t="shared" si="24"/>
        <v>8573.6783062942741</v>
      </c>
      <c r="AE55" s="19">
        <f t="shared" si="24"/>
        <v>8629.1990515972757</v>
      </c>
      <c r="AF55" s="19">
        <f t="shared" si="24"/>
        <v>8693.5178433114779</v>
      </c>
      <c r="AG55" s="19">
        <f t="shared" si="24"/>
        <v>8749.3237027476735</v>
      </c>
      <c r="AH55" s="19">
        <f t="shared" si="24"/>
        <v>8795.2939651658962</v>
      </c>
    </row>
    <row r="57" spans="1:34">
      <c r="A57" s="1" t="s">
        <v>140</v>
      </c>
      <c r="B57" s="13"/>
      <c r="D57" s="298"/>
      <c r="E57" s="298"/>
      <c r="F57" s="298"/>
      <c r="G57" s="298"/>
      <c r="H57" s="16"/>
      <c r="I57" s="16"/>
      <c r="J57" s="16"/>
      <c r="K57" s="16"/>
      <c r="L57" s="16"/>
      <c r="M57" s="16"/>
      <c r="N57" s="354" t="s">
        <v>0</v>
      </c>
    </row>
    <row r="58" spans="1:34" ht="15">
      <c r="A58" s="8" t="s">
        <v>61</v>
      </c>
      <c r="B58" s="34">
        <v>0</v>
      </c>
      <c r="C58" s="296">
        <f>C40*Inputs!$H44</f>
        <v>0</v>
      </c>
      <c r="D58" s="296">
        <f>D40*Inputs!$H44</f>
        <v>0</v>
      </c>
      <c r="E58" s="296">
        <f>E40*Inputs!$H44</f>
        <v>0</v>
      </c>
      <c r="F58" s="296">
        <f>F40*Inputs!$H44</f>
        <v>0</v>
      </c>
      <c r="G58" s="296">
        <f>G40*Inputs!$H44</f>
        <v>0</v>
      </c>
      <c r="H58" s="14">
        <f>H40*Inputs!$H44</f>
        <v>0</v>
      </c>
      <c r="I58" s="14">
        <f>I40*Inputs!$H44</f>
        <v>0</v>
      </c>
      <c r="J58" s="14">
        <f>J40*Inputs!$H44</f>
        <v>0</v>
      </c>
      <c r="K58" s="14">
        <f>K40*Inputs!$H44</f>
        <v>0</v>
      </c>
      <c r="L58" s="14">
        <f>L40*Inputs!$H44</f>
        <v>0</v>
      </c>
      <c r="M58" s="14">
        <f>M40*Inputs!$H44</f>
        <v>0</v>
      </c>
      <c r="N58" s="190">
        <f>N40*Inputs!$H44</f>
        <v>0</v>
      </c>
      <c r="O58" s="14">
        <f>O40*Inputs!$H44</f>
        <v>0</v>
      </c>
      <c r="P58" s="14">
        <f>P40*Inputs!$H44</f>
        <v>0</v>
      </c>
      <c r="Q58" s="14">
        <f>Q40*Inputs!$H44</f>
        <v>0</v>
      </c>
      <c r="R58" s="14">
        <f>R40*Inputs!$H44</f>
        <v>0</v>
      </c>
      <c r="S58" s="14">
        <f>S40*Inputs!$H44</f>
        <v>0</v>
      </c>
      <c r="T58" s="14">
        <f>T40*Inputs!$H44</f>
        <v>0</v>
      </c>
      <c r="U58" s="14">
        <f>U40*Inputs!$H44</f>
        <v>0</v>
      </c>
      <c r="V58" s="14">
        <f>V40*Inputs!$H44</f>
        <v>0</v>
      </c>
      <c r="W58" s="14">
        <f>W40*Inputs!$H44</f>
        <v>0</v>
      </c>
      <c r="X58" s="187">
        <f>X40*Inputs!$H44</f>
        <v>0</v>
      </c>
      <c r="Y58" s="14">
        <f>Y40*Inputs!$H44</f>
        <v>0</v>
      </c>
      <c r="Z58" s="14">
        <f>Z40*Inputs!$H44</f>
        <v>0</v>
      </c>
      <c r="AA58" s="14">
        <f>AA40*Inputs!$H44</f>
        <v>0</v>
      </c>
      <c r="AB58" s="14">
        <f>AB40*Inputs!$H44</f>
        <v>0</v>
      </c>
      <c r="AC58" s="14">
        <f>AC40*Inputs!$H44</f>
        <v>0</v>
      </c>
      <c r="AD58" s="14">
        <f>AD40*Inputs!$H44</f>
        <v>0</v>
      </c>
      <c r="AE58" s="14">
        <f>AE40*Inputs!$H44</f>
        <v>0</v>
      </c>
      <c r="AF58" s="14">
        <f>AF40*Inputs!$H44</f>
        <v>0</v>
      </c>
      <c r="AG58" s="14">
        <f>AG40*Inputs!$H44</f>
        <v>0</v>
      </c>
      <c r="AH58" s="14">
        <f>AH40*Inputs!$H44</f>
        <v>0</v>
      </c>
    </row>
    <row r="59" spans="1:34" ht="15">
      <c r="A59" s="8" t="s">
        <v>60</v>
      </c>
      <c r="B59" s="34">
        <v>0</v>
      </c>
      <c r="C59" s="296">
        <f>C41*Inputs!$H47</f>
        <v>0</v>
      </c>
      <c r="D59" s="296">
        <f>D41*Inputs!$H47</f>
        <v>0</v>
      </c>
      <c r="E59" s="296" t="s">
        <v>377</v>
      </c>
      <c r="F59" s="296">
        <f>F41*Inputs!$H47</f>
        <v>0</v>
      </c>
      <c r="G59" s="296">
        <f>G41*Inputs!$H47</f>
        <v>0</v>
      </c>
      <c r="H59" s="14">
        <f>H41*Inputs!$H47</f>
        <v>0</v>
      </c>
      <c r="I59" s="14">
        <f>I41*Inputs!$H47</f>
        <v>0</v>
      </c>
      <c r="J59" s="14">
        <f>J41*Inputs!$H47</f>
        <v>0</v>
      </c>
      <c r="K59" s="14">
        <f>K41*Inputs!$H47</f>
        <v>0</v>
      </c>
      <c r="L59" s="14">
        <f>L41*Inputs!$H47</f>
        <v>0</v>
      </c>
      <c r="M59" s="14">
        <f>M41*Inputs!$H47</f>
        <v>0</v>
      </c>
      <c r="N59" s="190">
        <f>N41*Inputs!$H47</f>
        <v>0</v>
      </c>
      <c r="O59" s="14">
        <f>O41*Inputs!$H47</f>
        <v>0</v>
      </c>
      <c r="P59" s="14">
        <f>P41*Inputs!$H47</f>
        <v>0</v>
      </c>
      <c r="Q59" s="14">
        <f>Q41*Inputs!$H47</f>
        <v>0</v>
      </c>
      <c r="R59" s="14">
        <f>R41*Inputs!$H47</f>
        <v>0</v>
      </c>
      <c r="S59" s="14">
        <f>S41*Inputs!$H47</f>
        <v>0</v>
      </c>
      <c r="T59" s="14">
        <f>T41*Inputs!$H47</f>
        <v>0</v>
      </c>
      <c r="U59" s="14">
        <f>U41*Inputs!$H47</f>
        <v>0</v>
      </c>
      <c r="V59" s="14">
        <f>V41*Inputs!$H47</f>
        <v>0</v>
      </c>
      <c r="W59" s="14">
        <f>W41*Inputs!$H47</f>
        <v>0</v>
      </c>
      <c r="X59" s="187">
        <f>X41*Inputs!$H47</f>
        <v>0</v>
      </c>
      <c r="Y59" s="14">
        <f>Y41*Inputs!$H47</f>
        <v>0</v>
      </c>
      <c r="Z59" s="14">
        <f>Z41*Inputs!$H47</f>
        <v>0</v>
      </c>
      <c r="AA59" s="14">
        <f>AA41*Inputs!$H47</f>
        <v>0</v>
      </c>
      <c r="AB59" s="14">
        <f>AB41*Inputs!$H47</f>
        <v>0</v>
      </c>
      <c r="AC59" s="14">
        <f>AC41*Inputs!$H47</f>
        <v>0</v>
      </c>
      <c r="AD59" s="14">
        <f>AD41*Inputs!$H47</f>
        <v>0</v>
      </c>
      <c r="AE59" s="14">
        <f>AE41*Inputs!$H47</f>
        <v>0</v>
      </c>
      <c r="AF59" s="14">
        <f>AF41*Inputs!$H47</f>
        <v>0</v>
      </c>
      <c r="AG59" s="14">
        <f>AG41*Inputs!$H47</f>
        <v>0</v>
      </c>
      <c r="AH59" s="14">
        <f>AH41*Inputs!$H47</f>
        <v>0</v>
      </c>
    </row>
    <row r="60" spans="1:34" ht="15">
      <c r="A60" s="8" t="s">
        <v>49</v>
      </c>
      <c r="B60" s="34">
        <v>0</v>
      </c>
      <c r="C60" s="296">
        <f>C42*Inputs!$H48</f>
        <v>566.05364999999995</v>
      </c>
      <c r="D60" s="296">
        <f>D42*Inputs!$H48</f>
        <v>493.96364999999997</v>
      </c>
      <c r="E60" s="296">
        <f>E42*Inputs!$H48</f>
        <v>589.53914981190212</v>
      </c>
      <c r="F60" s="296">
        <f>F42*Inputs!$H48</f>
        <v>479.65360214357173</v>
      </c>
      <c r="G60" s="296">
        <f>G42*Inputs!$H48</f>
        <v>608.86339355452549</v>
      </c>
      <c r="H60" s="14">
        <f>H42*Inputs!$H48</f>
        <v>623.50414820678554</v>
      </c>
      <c r="I60" s="14">
        <f>I42*Inputs!$H48</f>
        <v>636.42653670682557</v>
      </c>
      <c r="J60" s="14">
        <f>J42*Inputs!$H48</f>
        <v>647.59201203574594</v>
      </c>
      <c r="K60" s="14">
        <f>K42*Inputs!$H48</f>
        <v>655.167986861175</v>
      </c>
      <c r="L60" s="14">
        <f>L42*Inputs!$H48</f>
        <v>655.16765818604813</v>
      </c>
      <c r="M60" s="14">
        <f>M42*Inputs!$H48</f>
        <v>655.16782909711401</v>
      </c>
      <c r="N60" s="190">
        <f>N42*Inputs!$H48</f>
        <v>655.16765818604813</v>
      </c>
      <c r="O60" s="14">
        <f>O42*Inputs!$H48</f>
        <v>655.16781595010889</v>
      </c>
      <c r="P60" s="14">
        <f>P42*Inputs!$H48</f>
        <v>655.16735580493105</v>
      </c>
      <c r="Q60" s="14">
        <f>Q42*Inputs!$H48</f>
        <v>658.78445187208888</v>
      </c>
      <c r="R60" s="14">
        <f>R42*Inputs!$H48</f>
        <v>658.78418893198739</v>
      </c>
      <c r="S60" s="14">
        <f>S42*Inputs!$H48</f>
        <v>658.784465019094</v>
      </c>
      <c r="T60" s="14">
        <f>T42*Inputs!$H48</f>
        <v>660.15906328243341</v>
      </c>
      <c r="U60" s="14">
        <f>U42*Inputs!$H48</f>
        <v>660.98439282045751</v>
      </c>
      <c r="V60" s="14">
        <f>V42*Inputs!$H48</f>
        <v>665.65682527954687</v>
      </c>
      <c r="W60" s="14">
        <f>W42*Inputs!$H48</f>
        <v>670.22097900478195</v>
      </c>
      <c r="X60" s="187">
        <f>X42*Inputs!$H48</f>
        <v>675.31382639237904</v>
      </c>
      <c r="Y60" s="14">
        <f>Y42*Inputs!$H48</f>
        <v>675.31391842141477</v>
      </c>
      <c r="Z60" s="14">
        <f>Z42*Inputs!$H48</f>
        <v>678.26793214026384</v>
      </c>
      <c r="AA60" s="14">
        <f>AA42*Inputs!$H48</f>
        <v>678.26807675731959</v>
      </c>
      <c r="AB60" s="14">
        <f>AB42*Inputs!$H48</f>
        <v>678.26807675731959</v>
      </c>
      <c r="AC60" s="14">
        <f>AC42*Inputs!$H48</f>
        <v>681.07163615001184</v>
      </c>
      <c r="AD60" s="14">
        <f>AD42*Inputs!$H48</f>
        <v>683.01348824161846</v>
      </c>
      <c r="AE60" s="14">
        <f>AE42*Inputs!$H48</f>
        <v>683.01375118172007</v>
      </c>
      <c r="AF60" s="14">
        <f>AF42*Inputs!$H48</f>
        <v>684.77556818573555</v>
      </c>
      <c r="AG60" s="14">
        <f>AG42*Inputs!$H48</f>
        <v>684.77555503873043</v>
      </c>
      <c r="AH60" s="14">
        <f>AH42*Inputs!$H48</f>
        <v>684.77562077375603</v>
      </c>
    </row>
    <row r="61" spans="1:34" ht="15">
      <c r="A61" s="8" t="s">
        <v>59</v>
      </c>
      <c r="B61" s="34">
        <v>0</v>
      </c>
      <c r="C61" s="296">
        <f>C43*Inputs!$H53</f>
        <v>1911.4200000000003</v>
      </c>
      <c r="D61" s="296">
        <f>D43*Inputs!$H53</f>
        <v>1892.8980000000004</v>
      </c>
      <c r="E61" s="296">
        <f>E43*Inputs!$H53</f>
        <v>1924.6805490631136</v>
      </c>
      <c r="F61" s="296">
        <f>F43*Inputs!$H53</f>
        <v>1906.9096460769035</v>
      </c>
      <c r="G61" s="296">
        <f>G43*Inputs!$H53</f>
        <v>1876.4572662055818</v>
      </c>
      <c r="H61" s="14">
        <f>H43*Inputs!$H53</f>
        <v>1882.0262064085271</v>
      </c>
      <c r="I61" s="14">
        <f>I43*Inputs!$H53</f>
        <v>1953.4743009674235</v>
      </c>
      <c r="J61" s="14">
        <f>J43*Inputs!$H53</f>
        <v>2036.2360575679222</v>
      </c>
      <c r="K61" s="14">
        <f>K43*Inputs!$H53</f>
        <v>2116.6821636210229</v>
      </c>
      <c r="L61" s="14">
        <f>L43*Inputs!$H53</f>
        <v>2179.1454675405862</v>
      </c>
      <c r="M61" s="14">
        <f>M43*Inputs!$H53</f>
        <v>2190.058319311624</v>
      </c>
      <c r="N61" s="190">
        <f>N43*Inputs!$H53</f>
        <v>2190.0583741320311</v>
      </c>
      <c r="O61" s="14">
        <f>O43*Inputs!$H53</f>
        <v>2190.0583741320311</v>
      </c>
      <c r="P61" s="14">
        <f>P43*Inputs!$H53</f>
        <v>2190.0583558585618</v>
      </c>
      <c r="Q61" s="14">
        <f>Q43*Inputs!$H53</f>
        <v>2190.0583741320311</v>
      </c>
      <c r="R61" s="14">
        <f>R43*Inputs!$H53</f>
        <v>2190.058319311624</v>
      </c>
      <c r="S61" s="14">
        <f>S43*Inputs!$H53</f>
        <v>2190.0627506278729</v>
      </c>
      <c r="T61" s="14">
        <f>T43*Inputs!$H53</f>
        <v>2190.0583558585618</v>
      </c>
      <c r="U61" s="14">
        <f>U43*Inputs!$H53</f>
        <v>2190.0583375850929</v>
      </c>
      <c r="V61" s="14">
        <f>V43*Inputs!$H53</f>
        <v>2190.0583375850929</v>
      </c>
      <c r="W61" s="14">
        <f>W43*Inputs!$H53</f>
        <v>2190.0583741320311</v>
      </c>
      <c r="X61" s="187">
        <f>X43*Inputs!$H53</f>
        <v>2190.0583375850929</v>
      </c>
      <c r="Y61" s="14">
        <f>Y43*Inputs!$H53</f>
        <v>2190.0583375850929</v>
      </c>
      <c r="Z61" s="14">
        <f>Z43*Inputs!$H53</f>
        <v>2190.0583558585618</v>
      </c>
      <c r="AA61" s="14">
        <f>AA43*Inputs!$H53</f>
        <v>2190.0583101748894</v>
      </c>
      <c r="AB61" s="14">
        <f>AB43*Inputs!$H53</f>
        <v>2190.0583375850929</v>
      </c>
      <c r="AC61" s="14">
        <f>AC43*Inputs!$H53</f>
        <v>2190.0583741320311</v>
      </c>
      <c r="AD61" s="14">
        <f>AD43*Inputs!$H53</f>
        <v>2190.0583741320311</v>
      </c>
      <c r="AE61" s="14">
        <f>AE43*Inputs!$H53</f>
        <v>2190.0583741320311</v>
      </c>
      <c r="AF61" s="14">
        <f>AF43*Inputs!$H53</f>
        <v>2190.0583741320311</v>
      </c>
      <c r="AG61" s="14">
        <f>AG43*Inputs!$H53</f>
        <v>2190.0583375850929</v>
      </c>
      <c r="AH61" s="14">
        <f>AH43*Inputs!$H53</f>
        <v>2190.0583375850929</v>
      </c>
    </row>
    <row r="62" spans="1:34" ht="15">
      <c r="A62" s="8" t="s">
        <v>121</v>
      </c>
      <c r="B62" s="34">
        <v>1</v>
      </c>
      <c r="C62" s="296">
        <f>C44*Inputs!$H46</f>
        <v>288.98099999999999</v>
      </c>
      <c r="D62" s="296">
        <f>D44*Inputs!$H46</f>
        <v>296.16300000000001</v>
      </c>
      <c r="E62" s="296">
        <f>E44*Inputs!$H46</f>
        <v>311.04575704931057</v>
      </c>
      <c r="F62" s="296">
        <f>F44*Inputs!$H46</f>
        <v>300.36446371506514</v>
      </c>
      <c r="G62" s="296">
        <f>G44*Inputs!$H46</f>
        <v>332.70219500183441</v>
      </c>
      <c r="H62" s="14">
        <f>H44*Inputs!$H46</f>
        <v>342.30523581655484</v>
      </c>
      <c r="I62" s="14">
        <f>I44*Inputs!$H46</f>
        <v>354.87299237312652</v>
      </c>
      <c r="J62" s="14">
        <f>J44*Inputs!$H46</f>
        <v>375.47644414643378</v>
      </c>
      <c r="K62" s="14">
        <f>K44*Inputs!$H46</f>
        <v>407.20143546201462</v>
      </c>
      <c r="L62" s="14">
        <f>L44*Inputs!$H46</f>
        <v>425.43020505833573</v>
      </c>
      <c r="M62" s="14">
        <f>M44*Inputs!$H46</f>
        <v>442.52569396068736</v>
      </c>
      <c r="N62" s="190">
        <f>N44*Inputs!$H46</f>
        <v>464.28879582925822</v>
      </c>
      <c r="O62" s="14">
        <f>O44*Inputs!$H46</f>
        <v>497.87937545832699</v>
      </c>
      <c r="P62" s="14">
        <f>P44*Inputs!$H46</f>
        <v>520.66813673113495</v>
      </c>
      <c r="Q62" s="14">
        <f>Q44*Inputs!$H46</f>
        <v>586.01228319904942</v>
      </c>
      <c r="R62" s="14">
        <f>R44*Inputs!$H46</f>
        <v>611.47969279398842</v>
      </c>
      <c r="S62" s="14">
        <f>S44*Inputs!$H46</f>
        <v>690.46780871580029</v>
      </c>
      <c r="T62" s="14">
        <f>T44*Inputs!$H46</f>
        <v>713.70247718886355</v>
      </c>
      <c r="U62" s="14">
        <f>U44*Inputs!$H46</f>
        <v>729.52145396890648</v>
      </c>
      <c r="V62" s="14">
        <f>V44*Inputs!$H46</f>
        <v>744.27499871182169</v>
      </c>
      <c r="W62" s="14">
        <f>W44*Inputs!$H46</f>
        <v>833.58170902837605</v>
      </c>
      <c r="X62" s="187">
        <f>X44*Inputs!$H46</f>
        <v>847.1266319307673</v>
      </c>
      <c r="Y62" s="14">
        <f>Y44*Inputs!$H46</f>
        <v>858.47321672654675</v>
      </c>
      <c r="Z62" s="14">
        <f>Z44*Inputs!$H46</f>
        <v>866.98890997172987</v>
      </c>
      <c r="AA62" s="14">
        <f>AA44*Inputs!$H46</f>
        <v>878.40432161050751</v>
      </c>
      <c r="AB62" s="14">
        <f>AB44*Inputs!$H46</f>
        <v>891.53301589689386</v>
      </c>
      <c r="AC62" s="14">
        <f>AC44*Inputs!$H46</f>
        <v>902.72862702496457</v>
      </c>
      <c r="AD62" s="14">
        <f>AD44*Inputs!$H46</f>
        <v>918.31712649646056</v>
      </c>
      <c r="AE62" s="14">
        <f>AE44*Inputs!$H46</f>
        <v>935.15021175910056</v>
      </c>
      <c r="AF62" s="14">
        <f>AF44*Inputs!$H46</f>
        <v>954.53401108202922</v>
      </c>
      <c r="AG62" s="14">
        <f>AG44*Inputs!$H46</f>
        <v>974.72429367263089</v>
      </c>
      <c r="AH62" s="14">
        <f>AH44*Inputs!$H46</f>
        <v>992.89780615732184</v>
      </c>
    </row>
    <row r="63" spans="1:34" ht="15">
      <c r="A63" s="8" t="s">
        <v>50</v>
      </c>
      <c r="B63" s="34">
        <v>1</v>
      </c>
      <c r="C63" s="296">
        <f>C45*Inputs!$H49</f>
        <v>0</v>
      </c>
      <c r="D63" s="296">
        <f>D45*Inputs!$H49</f>
        <v>0</v>
      </c>
      <c r="E63" s="296">
        <f>E45*Inputs!$H49</f>
        <v>9.0267367500000001E-4</v>
      </c>
      <c r="F63" s="296">
        <f>F45*Inputs!$H49</f>
        <v>8.4559477500000002E-4</v>
      </c>
      <c r="G63" s="296">
        <f>G45*Inputs!$H49</f>
        <v>9.2453715000000007E-4</v>
      </c>
      <c r="H63" s="14">
        <f>H45*Inputs!$H49</f>
        <v>9.2454074999999988E-4</v>
      </c>
      <c r="I63" s="14">
        <f>I45*Inputs!$H49</f>
        <v>9.2425454999999987E-4</v>
      </c>
      <c r="J63" s="14">
        <f>J45*Inputs!$H49</f>
        <v>9.225263249999999E-4</v>
      </c>
      <c r="K63" s="14">
        <f>K45*Inputs!$H49</f>
        <v>1.0142507249999999E-3</v>
      </c>
      <c r="L63" s="14">
        <f>L45*Inputs!$H49</f>
        <v>1.1027132999999998E-3</v>
      </c>
      <c r="M63" s="14">
        <f>M45*Inputs!$H49</f>
        <v>1.1060243999999999E-3</v>
      </c>
      <c r="N63" s="190">
        <f>N45*Inputs!$H49</f>
        <v>1.105724925E-3</v>
      </c>
      <c r="O63" s="14">
        <f>O45*Inputs!$H49</f>
        <v>1.1054754E-3</v>
      </c>
      <c r="P63" s="14">
        <f>P45*Inputs!$H49</f>
        <v>1.10694375E-3</v>
      </c>
      <c r="Q63" s="14">
        <f>Q45*Inputs!$H49</f>
        <v>1.1089799999999999E-3</v>
      </c>
      <c r="R63" s="14">
        <f>R45*Inputs!$H49</f>
        <v>1.1080696499999999E-3</v>
      </c>
      <c r="S63" s="14">
        <f>S45*Inputs!$H49</f>
        <v>1.1089511999999998E-3</v>
      </c>
      <c r="T63" s="14">
        <f>T45*Inputs!$H49</f>
        <v>1.108697175E-3</v>
      </c>
      <c r="U63" s="14">
        <f>U45*Inputs!$H49</f>
        <v>1.1947945499999999E-3</v>
      </c>
      <c r="V63" s="14">
        <f>V45*Inputs!$H49</f>
        <v>1.2487792500000001E-3</v>
      </c>
      <c r="W63" s="14">
        <f>W45*Inputs!$H49</f>
        <v>1.2537045E-3</v>
      </c>
      <c r="X63" s="187">
        <f>X45*Inputs!$H49</f>
        <v>1.3116167999999999E-3</v>
      </c>
      <c r="Y63" s="14">
        <f>Y45*Inputs!$H49</f>
        <v>1.3606139249999999E-3</v>
      </c>
      <c r="Z63" s="14">
        <f>Z45*Inputs!$H49</f>
        <v>1.3600206E-3</v>
      </c>
      <c r="AA63" s="14">
        <f>AA45*Inputs!$H49</f>
        <v>1.3594790249999999E-3</v>
      </c>
      <c r="AB63" s="14">
        <f>AB45*Inputs!$H49</f>
        <v>1.358955E-3</v>
      </c>
      <c r="AC63" s="14">
        <f>AC45*Inputs!$H49</f>
        <v>1.3584519E-3</v>
      </c>
      <c r="AD63" s="14">
        <f>AD45*Inputs!$H49</f>
        <v>1.3579656749999999E-3</v>
      </c>
      <c r="AE63" s="14">
        <f>AE45*Inputs!$H49</f>
        <v>1.3574976750000002E-3</v>
      </c>
      <c r="AF63" s="14">
        <f>AF45*Inputs!$H49</f>
        <v>1.357053975E-3</v>
      </c>
      <c r="AG63" s="14">
        <f>AG45*Inputs!$H49</f>
        <v>1.3566145499999999E-3</v>
      </c>
      <c r="AH63" s="14">
        <f>AH45*Inputs!$H49</f>
        <v>1.3562061749999999E-3</v>
      </c>
    </row>
    <row r="64" spans="1:34" ht="15">
      <c r="A64" s="8" t="s">
        <v>51</v>
      </c>
      <c r="B64" s="34">
        <v>1</v>
      </c>
      <c r="C64" s="296">
        <f>C46*Inputs!$H52</f>
        <v>4.59</v>
      </c>
      <c r="D64" s="296">
        <f>D46*Inputs!$H52</f>
        <v>5.13</v>
      </c>
      <c r="E64" s="296">
        <f>E46*Inputs!$H52</f>
        <v>8.932609006153168</v>
      </c>
      <c r="F64" s="296">
        <f>F46*Inputs!$H52</f>
        <v>9.2493162550078001</v>
      </c>
      <c r="G64" s="296">
        <f>G46*Inputs!$H52</f>
        <v>7.5230960154939313</v>
      </c>
      <c r="H64" s="14">
        <f>H46*Inputs!$H52</f>
        <v>8.0950858335655838</v>
      </c>
      <c r="I64" s="14">
        <f>I46*Inputs!$H52</f>
        <v>7.409770482768387</v>
      </c>
      <c r="J64" s="14">
        <f>J46*Inputs!$H52</f>
        <v>8.6681227390099913</v>
      </c>
      <c r="K64" s="14">
        <f>K46*Inputs!$H52</f>
        <v>8.7275799614822276</v>
      </c>
      <c r="L64" s="14">
        <f>L46*Inputs!$H52</f>
        <v>8.7290538870196777</v>
      </c>
      <c r="M64" s="14">
        <f>M46*Inputs!$H52</f>
        <v>8.6717775407951621</v>
      </c>
      <c r="N64" s="190">
        <f>N46*Inputs!$H52</f>
        <v>8.6692365198459846</v>
      </c>
      <c r="O64" s="14">
        <f>O46*Inputs!$H52</f>
        <v>8.6677292475769185</v>
      </c>
      <c r="P64" s="14">
        <f>P46*Inputs!$H52</f>
        <v>8.7236450471514821</v>
      </c>
      <c r="Q64" s="14">
        <f>Q46*Inputs!$H52</f>
        <v>8.665001484930686</v>
      </c>
      <c r="R64" s="14">
        <f>R46*Inputs!$H52</f>
        <v>8.6636942930513214</v>
      </c>
      <c r="S64" s="14">
        <f>S46*Inputs!$H52</f>
        <v>8.7197368102060242</v>
      </c>
      <c r="T64" s="14">
        <f>T46*Inputs!$H52</f>
        <v>8.5676890527273919</v>
      </c>
      <c r="U64" s="14">
        <f>U46*Inputs!$H52</f>
        <v>8.6574984703169733</v>
      </c>
      <c r="V64" s="14">
        <f>V46*Inputs!$H52</f>
        <v>8.6548374011339746</v>
      </c>
      <c r="W64" s="14">
        <f>W46*Inputs!$H52</f>
        <v>8.6517695018252585</v>
      </c>
      <c r="X64" s="187">
        <f>X46*Inputs!$H52</f>
        <v>8.6484615060489016</v>
      </c>
      <c r="Y64" s="14">
        <f>Y46*Inputs!$H52</f>
        <v>8.6451668489651894</v>
      </c>
      <c r="Z64" s="14">
        <f>Z46*Inputs!$H52</f>
        <v>8.6998888355478794</v>
      </c>
      <c r="AA64" s="14">
        <f>AA46*Inputs!$H52</f>
        <v>8.7780002196863922</v>
      </c>
      <c r="AB64" s="14">
        <f>AB46*Inputs!$H52</f>
        <v>8.8941468859066894</v>
      </c>
      <c r="AC64" s="14">
        <f>AC46*Inputs!$H52</f>
        <v>8.8918593001177975</v>
      </c>
      <c r="AD64" s="14">
        <f>AD46*Inputs!$H52</f>
        <v>8.8896183997531661</v>
      </c>
      <c r="AE64" s="14">
        <f>AE46*Inputs!$H52</f>
        <v>9.0580327331091812</v>
      </c>
      <c r="AF64" s="14">
        <f>AF46*Inputs!$H52</f>
        <v>9.0563053724114475</v>
      </c>
      <c r="AG64" s="14">
        <f>AG46*Inputs!$H52</f>
        <v>9.0544512941335693</v>
      </c>
      <c r="AH64" s="14">
        <f>AH46*Inputs!$H52</f>
        <v>9.0526172238946625</v>
      </c>
    </row>
    <row r="65" spans="1:34" ht="15">
      <c r="A65" s="8" t="s">
        <v>347</v>
      </c>
      <c r="B65" s="34">
        <v>1</v>
      </c>
      <c r="C65" s="296">
        <f>C47*Inputs!$H54</f>
        <v>0</v>
      </c>
      <c r="D65" s="296">
        <f>D47*Inputs!$H54</f>
        <v>0</v>
      </c>
      <c r="E65" s="296">
        <f>E47*Inputs!$H54</f>
        <v>0.14220000000000002</v>
      </c>
      <c r="F65" s="296">
        <f>F47*Inputs!$H54</f>
        <v>0.14220000000000002</v>
      </c>
      <c r="G65" s="296">
        <f>G47*Inputs!$H54</f>
        <v>0.14220000000000002</v>
      </c>
      <c r="H65" s="14">
        <f>H47*Inputs!$H54</f>
        <v>0.14220000000000002</v>
      </c>
      <c r="I65" s="14">
        <f>I47*Inputs!$H54</f>
        <v>0.14220000000000002</v>
      </c>
      <c r="J65" s="14">
        <f>J47*Inputs!$H54</f>
        <v>0.14220000000000002</v>
      </c>
      <c r="K65" s="14">
        <f>K47*Inputs!$H54</f>
        <v>0.14220000000000002</v>
      </c>
      <c r="L65" s="14">
        <f>L47*Inputs!$H54</f>
        <v>0.14220000000000002</v>
      </c>
      <c r="M65" s="14">
        <f>M47*Inputs!$H54</f>
        <v>0.14220000000000002</v>
      </c>
      <c r="N65" s="190">
        <f>N47*Inputs!$H54</f>
        <v>0.14220000000000002</v>
      </c>
      <c r="O65" s="14">
        <f>O47*Inputs!$H54</f>
        <v>0.14220000000000002</v>
      </c>
      <c r="P65" s="14">
        <f>P47*Inputs!$H54</f>
        <v>0.14220000000000002</v>
      </c>
      <c r="Q65" s="14">
        <f>Q47*Inputs!$H54</f>
        <v>0.14220000000000002</v>
      </c>
      <c r="R65" s="14">
        <f>R47*Inputs!$H54</f>
        <v>0.14220000000000002</v>
      </c>
      <c r="S65" s="14">
        <f>S47*Inputs!$H54</f>
        <v>0.14220000000000002</v>
      </c>
      <c r="T65" s="14">
        <f>T47*Inputs!$H54</f>
        <v>0.14220000000000002</v>
      </c>
      <c r="U65" s="14">
        <f>U47*Inputs!$H54</f>
        <v>0.14220000000000002</v>
      </c>
      <c r="V65" s="14">
        <f>V47*Inputs!$H54</f>
        <v>0.14220000000000002</v>
      </c>
      <c r="W65" s="14">
        <f>W47*Inputs!$H54</f>
        <v>0.14220000000000002</v>
      </c>
      <c r="X65" s="187">
        <f>X47*Inputs!$H54</f>
        <v>0.14220000000000002</v>
      </c>
      <c r="Y65" s="14">
        <f>Y47*Inputs!$H54</f>
        <v>0.14220000000000002</v>
      </c>
      <c r="Z65" s="14">
        <f>Z47*Inputs!$H54</f>
        <v>0.14220000000000002</v>
      </c>
      <c r="AA65" s="14">
        <f>AA47*Inputs!$H54</f>
        <v>0.14220000000000002</v>
      </c>
      <c r="AB65" s="14">
        <f>AB47*Inputs!$H54</f>
        <v>0.14220000000000002</v>
      </c>
      <c r="AC65" s="14">
        <f>AC47*Inputs!$H54</f>
        <v>0.14220000000000002</v>
      </c>
      <c r="AD65" s="14">
        <f>AD47*Inputs!$H54</f>
        <v>0.14220000000000002</v>
      </c>
      <c r="AE65" s="14">
        <f>AE47*Inputs!$H54</f>
        <v>0.14220000000000002</v>
      </c>
      <c r="AF65" s="14">
        <f>AF47*Inputs!$H54</f>
        <v>0.14220000000000002</v>
      </c>
      <c r="AG65" s="14">
        <f>AG47*Inputs!$H54</f>
        <v>0.14220000000000002</v>
      </c>
      <c r="AH65" s="14">
        <f>AH47*Inputs!$H54</f>
        <v>0</v>
      </c>
    </row>
    <row r="66" spans="1:34" ht="15">
      <c r="A66" s="8" t="s">
        <v>348</v>
      </c>
      <c r="B66" s="34">
        <v>1</v>
      </c>
      <c r="C66" s="296">
        <f>C48*Inputs!$H55</f>
        <v>0</v>
      </c>
      <c r="D66" s="296">
        <f>D48*Inputs!$H55</f>
        <v>0</v>
      </c>
      <c r="E66" s="296">
        <f>E48*Inputs!$H55</f>
        <v>2.0700000000000003E-2</v>
      </c>
      <c r="F66" s="296">
        <f>F48*Inputs!$H55</f>
        <v>2.0700000000000003E-2</v>
      </c>
      <c r="G66" s="296">
        <f>G48*Inputs!$H55</f>
        <v>2.0700000000000003E-2</v>
      </c>
      <c r="H66" s="14">
        <f>H48*Inputs!$H55</f>
        <v>2.0700000000000003E-2</v>
      </c>
      <c r="I66" s="14">
        <f>I48*Inputs!$H55</f>
        <v>2.0700000000000003E-2</v>
      </c>
      <c r="J66" s="14">
        <f>J48*Inputs!$H55</f>
        <v>2.0700000000000003E-2</v>
      </c>
      <c r="K66" s="14">
        <f>K48*Inputs!$H55</f>
        <v>2.0700000000000003E-2</v>
      </c>
      <c r="L66" s="14">
        <f>L48*Inputs!$H55</f>
        <v>2.0700000000000003E-2</v>
      </c>
      <c r="M66" s="14">
        <f>M48*Inputs!$H55</f>
        <v>2.0700000000000003E-2</v>
      </c>
      <c r="N66" s="190">
        <f>N48*Inputs!$H55</f>
        <v>2.0700000000000003E-2</v>
      </c>
      <c r="O66" s="14">
        <f>O48*Inputs!$H55</f>
        <v>2.0700000000000003E-2</v>
      </c>
      <c r="P66" s="14">
        <f>P48*Inputs!$H55</f>
        <v>2.0700000000000003E-2</v>
      </c>
      <c r="Q66" s="14">
        <f>Q48*Inputs!$H55</f>
        <v>2.0700000000000003E-2</v>
      </c>
      <c r="R66" s="14">
        <f>R48*Inputs!$H55</f>
        <v>2.0700000000000003E-2</v>
      </c>
      <c r="S66" s="14">
        <f>S48*Inputs!$H55</f>
        <v>2.0700000000000003E-2</v>
      </c>
      <c r="T66" s="14">
        <f>T48*Inputs!$H55</f>
        <v>2.0700000000000003E-2</v>
      </c>
      <c r="U66" s="14">
        <f>U48*Inputs!$H55</f>
        <v>2.0700000000000003E-2</v>
      </c>
      <c r="V66" s="14">
        <f>V48*Inputs!$H55</f>
        <v>2.0700000000000003E-2</v>
      </c>
      <c r="W66" s="14">
        <f>W48*Inputs!$H55</f>
        <v>2.0700000000000003E-2</v>
      </c>
      <c r="X66" s="187">
        <f>X48*Inputs!$H55</f>
        <v>2.0700000000000003E-2</v>
      </c>
      <c r="Y66" s="14">
        <f>Y48*Inputs!$H55</f>
        <v>2.0700000000000003E-2</v>
      </c>
      <c r="Z66" s="14">
        <f>Z48*Inputs!$H55</f>
        <v>2.0700000000000003E-2</v>
      </c>
      <c r="AA66" s="14">
        <f>AA48*Inputs!$H55</f>
        <v>2.0700000000000003E-2</v>
      </c>
      <c r="AB66" s="14">
        <f>AB48*Inputs!$H55</f>
        <v>2.0700000000000003E-2</v>
      </c>
      <c r="AC66" s="14">
        <f>AC48*Inputs!$H55</f>
        <v>2.0700000000000003E-2</v>
      </c>
      <c r="AD66" s="14">
        <f>AD48*Inputs!$H55</f>
        <v>2.0700000000000003E-2</v>
      </c>
      <c r="AE66" s="14">
        <f>AE48*Inputs!$H55</f>
        <v>2.0700000000000003E-2</v>
      </c>
      <c r="AF66" s="14">
        <f>AF48*Inputs!$H55</f>
        <v>2.0700000000000003E-2</v>
      </c>
      <c r="AG66" s="14">
        <f>AG48*Inputs!$H55</f>
        <v>2.0700000000000003E-2</v>
      </c>
      <c r="AH66" s="14">
        <f>AH48*Inputs!$H55</f>
        <v>2.0700000000000003E-2</v>
      </c>
    </row>
    <row r="67" spans="1:34" ht="15">
      <c r="A67" s="8" t="s">
        <v>344</v>
      </c>
      <c r="B67" s="34">
        <v>1</v>
      </c>
      <c r="C67" s="296">
        <f>C49*Inputs!$H51</f>
        <v>2.4300000000000003E-3</v>
      </c>
      <c r="D67" s="296">
        <f>D49*Inputs!$H51</f>
        <v>2.4300000000000003E-3</v>
      </c>
      <c r="E67" s="296">
        <f>E49*Inputs!$H51</f>
        <v>2.4300000000000003E-3</v>
      </c>
      <c r="F67" s="296">
        <f>F49*Inputs!$H51</f>
        <v>2.4300000000000003E-3</v>
      </c>
      <c r="G67" s="296">
        <f>G49*Inputs!$H51</f>
        <v>2.4300000000000003E-3</v>
      </c>
      <c r="H67" s="14">
        <f>H49*Inputs!$H51</f>
        <v>2.4300000000000003E-3</v>
      </c>
      <c r="I67" s="14">
        <f>I49*Inputs!$H51</f>
        <v>2.4300000000000003E-3</v>
      </c>
      <c r="J67" s="14">
        <f>J49*Inputs!$H51</f>
        <v>2.4300000000000003E-3</v>
      </c>
      <c r="K67" s="14">
        <f>K49*Inputs!$H51</f>
        <v>2.4300000000000003E-3</v>
      </c>
      <c r="L67" s="14">
        <f>L49*Inputs!$H51</f>
        <v>2.4300000000000003E-3</v>
      </c>
      <c r="M67" s="14">
        <f>M49*Inputs!$H51</f>
        <v>2.4300000000000003E-3</v>
      </c>
      <c r="N67" s="190">
        <f>N49*Inputs!$H51</f>
        <v>2.4300000000000003E-3</v>
      </c>
      <c r="O67" s="14">
        <f>O49*Inputs!$H51</f>
        <v>2.4300000000000003E-3</v>
      </c>
      <c r="P67" s="14">
        <f>P49*Inputs!$H51</f>
        <v>2.4300000000000003E-3</v>
      </c>
      <c r="Q67" s="14">
        <f>Q49*Inputs!$H51</f>
        <v>2.4300000000000003E-3</v>
      </c>
      <c r="R67" s="14">
        <f>R49*Inputs!$H51</f>
        <v>2.4300000000000003E-3</v>
      </c>
      <c r="S67" s="14">
        <f>S49*Inputs!$H51</f>
        <v>2.4300000000000003E-3</v>
      </c>
      <c r="T67" s="14">
        <f>T49*Inputs!$H51</f>
        <v>2.4300000000000003E-3</v>
      </c>
      <c r="U67" s="14">
        <f>U49*Inputs!$H51</f>
        <v>2.4300000000000003E-3</v>
      </c>
      <c r="V67" s="14">
        <f>V49*Inputs!$H51</f>
        <v>2.4300000000000003E-3</v>
      </c>
      <c r="W67" s="14">
        <f>W49*Inputs!$H51</f>
        <v>2.4300000000000003E-3</v>
      </c>
      <c r="X67" s="187">
        <f>X49*Inputs!$H51</f>
        <v>2.4300000000000003E-3</v>
      </c>
      <c r="Y67" s="14">
        <f>Y49*Inputs!$H51</f>
        <v>2.4300000000000003E-3</v>
      </c>
      <c r="Z67" s="14">
        <f>Z49*Inputs!$H51</f>
        <v>2.4300000000000003E-3</v>
      </c>
      <c r="AA67" s="14">
        <f>AA49*Inputs!$H51</f>
        <v>2.4300000000000003E-3</v>
      </c>
      <c r="AB67" s="14">
        <f>AB49*Inputs!$H51</f>
        <v>2.4300000000000003E-3</v>
      </c>
      <c r="AC67" s="14">
        <f>AC49*Inputs!$H51</f>
        <v>2.4300000000000003E-3</v>
      </c>
      <c r="AD67" s="14">
        <f>AD49*Inputs!$H51</f>
        <v>2.4300000000000003E-3</v>
      </c>
      <c r="AE67" s="14">
        <f>AE49*Inputs!$H51</f>
        <v>2.4300000000000003E-3</v>
      </c>
      <c r="AF67" s="14">
        <f>AF49*Inputs!$H51</f>
        <v>2.4300000000000003E-3</v>
      </c>
      <c r="AG67" s="14">
        <f>AG49*Inputs!$H51</f>
        <v>2.4300000000000003E-3</v>
      </c>
      <c r="AH67" s="14">
        <f>AH49*Inputs!$H51</f>
        <v>2.4300000000000003E-3</v>
      </c>
    </row>
    <row r="68" spans="1:34" ht="15">
      <c r="A68" s="8" t="s">
        <v>53</v>
      </c>
      <c r="B68" s="34">
        <v>1</v>
      </c>
      <c r="C68" s="296">
        <f>C50*Inputs!$H57</f>
        <v>0</v>
      </c>
      <c r="D68" s="296">
        <f>D50*Inputs!$H57</f>
        <v>0</v>
      </c>
      <c r="E68" s="296">
        <f>E50*Inputs!$H57</f>
        <v>5.9645399130000007E-3</v>
      </c>
      <c r="F68" s="296">
        <f>F50*Inputs!$H57</f>
        <v>6.6717062190000016E-3</v>
      </c>
      <c r="G68" s="296">
        <f>G50*Inputs!$H57</f>
        <v>7.1574773939999999E-3</v>
      </c>
      <c r="H68" s="14">
        <f>H50*Inputs!$H57</f>
        <v>7.1972352090000011E-3</v>
      </c>
      <c r="I68" s="14">
        <f>I50*Inputs!$H57</f>
        <v>9.0840619620000014E-3</v>
      </c>
      <c r="J68" s="14">
        <f>J50*Inputs!$H57</f>
        <v>1.0309237920000002E-2</v>
      </c>
      <c r="K68" s="14">
        <f>K50*Inputs!$H57</f>
        <v>1.0309288409999997E-2</v>
      </c>
      <c r="L68" s="14">
        <f>L50*Inputs!$H57</f>
        <v>1.0307786562E-2</v>
      </c>
      <c r="M68" s="14">
        <f>M50*Inputs!$H57</f>
        <v>1.0309694930999999E-2</v>
      </c>
      <c r="N68" s="190">
        <f>N50*Inputs!$H57</f>
        <v>1.0310285970000001E-2</v>
      </c>
      <c r="O68" s="14">
        <f>O50*Inputs!$H57</f>
        <v>1.0311260274000001E-2</v>
      </c>
      <c r="P68" s="14">
        <f>P50*Inputs!$H57</f>
        <v>1.0315430289E-2</v>
      </c>
      <c r="Q68" s="14">
        <f>Q50*Inputs!$H57</f>
        <v>1.0314299007E-2</v>
      </c>
      <c r="R68" s="14">
        <f>R50*Inputs!$H57</f>
        <v>1.0313690526000001E-2</v>
      </c>
      <c r="S68" s="14">
        <f>S50*Inputs!$H57</f>
        <v>1.0313142633E-2</v>
      </c>
      <c r="T68" s="14">
        <f>T50*Inputs!$H57</f>
        <v>1.0314502038E-2</v>
      </c>
      <c r="U68" s="14">
        <f>U50*Inputs!$H57</f>
        <v>1.0316975282999997E-2</v>
      </c>
      <c r="V68" s="14">
        <f>V50*Inputs!$H57</f>
        <v>1.0316609765999999E-2</v>
      </c>
      <c r="W68" s="14">
        <f>W50*Inputs!$H57</f>
        <v>1.0327592871000003E-2</v>
      </c>
      <c r="X68" s="187">
        <f>X50*Inputs!$H57</f>
        <v>1.0341861804000001E-2</v>
      </c>
      <c r="Y68" s="14">
        <f>Y50*Inputs!$H57</f>
        <v>1.0357010793000001E-2</v>
      </c>
      <c r="Z68" s="14">
        <f>Z50*Inputs!$H57</f>
        <v>1.0373809734000003E-2</v>
      </c>
      <c r="AA68" s="14">
        <f>AA50*Inputs!$H57</f>
        <v>1.0393641288000003E-2</v>
      </c>
      <c r="AB68" s="14">
        <f>AB50*Inputs!$H57</f>
        <v>1.0428041349000003E-2</v>
      </c>
      <c r="AC68" s="14">
        <f>AC50*Inputs!$H57</f>
        <v>1.0444325292000001E-2</v>
      </c>
      <c r="AD68" s="14">
        <f>AD50*Inputs!$H57</f>
        <v>1.0445074839000002E-2</v>
      </c>
      <c r="AE68" s="14">
        <f>AE50*Inputs!$H57</f>
        <v>1.0492964451000002E-2</v>
      </c>
      <c r="AF68" s="14">
        <f>AF50*Inputs!$H57</f>
        <v>1.0528517673000001E-2</v>
      </c>
      <c r="AG68" s="14">
        <f>AG50*Inputs!$H57</f>
        <v>1.0588961087999999E-2</v>
      </c>
      <c r="AH68" s="14">
        <f>AH50*Inputs!$H57</f>
        <v>1.0688682662999998E-2</v>
      </c>
    </row>
    <row r="69" spans="1:34" s="20" customFormat="1" ht="15">
      <c r="A69" s="8" t="s">
        <v>128</v>
      </c>
      <c r="B69" s="38"/>
      <c r="C69" s="299">
        <f t="shared" ref="C69:AH69" si="25">SUMPRODUCT($B60:$B68,C60:C68)</f>
        <v>293.57342999999997</v>
      </c>
      <c r="D69" s="299">
        <f t="shared" si="25"/>
        <v>301.29543000000001</v>
      </c>
      <c r="E69" s="299">
        <f t="shared" si="25"/>
        <v>320.1505632690517</v>
      </c>
      <c r="F69" s="299">
        <f t="shared" si="25"/>
        <v>309.78662727106689</v>
      </c>
      <c r="G69" s="299">
        <f t="shared" si="25"/>
        <v>340.39870303187234</v>
      </c>
      <c r="H69" s="19">
        <f t="shared" si="25"/>
        <v>350.57377342607941</v>
      </c>
      <c r="I69" s="19">
        <f t="shared" si="25"/>
        <v>362.45810117240694</v>
      </c>
      <c r="J69" s="19">
        <f t="shared" si="25"/>
        <v>384.32112864968877</v>
      </c>
      <c r="K69" s="19">
        <f t="shared" si="25"/>
        <v>416.1056689626318</v>
      </c>
      <c r="L69" s="19">
        <f t="shared" si="25"/>
        <v>434.3359994452174</v>
      </c>
      <c r="M69" s="19">
        <f t="shared" si="25"/>
        <v>451.37421722081348</v>
      </c>
      <c r="N69" s="190">
        <f t="shared" si="25"/>
        <v>473.13477835999919</v>
      </c>
      <c r="O69" s="19">
        <f t="shared" si="25"/>
        <v>506.72385144157789</v>
      </c>
      <c r="P69" s="19">
        <f t="shared" si="25"/>
        <v>529.56853415232547</v>
      </c>
      <c r="Q69" s="19">
        <f t="shared" si="25"/>
        <v>594.85403796298715</v>
      </c>
      <c r="R69" s="19">
        <f t="shared" si="25"/>
        <v>620.32013884721573</v>
      </c>
      <c r="S69" s="19">
        <f t="shared" si="25"/>
        <v>699.36429761983925</v>
      </c>
      <c r="T69" s="19">
        <f t="shared" si="25"/>
        <v>722.44691944080398</v>
      </c>
      <c r="U69" s="19">
        <f t="shared" si="25"/>
        <v>738.35579420905651</v>
      </c>
      <c r="V69" s="19">
        <f t="shared" si="25"/>
        <v>753.10673150197169</v>
      </c>
      <c r="W69" s="19">
        <f t="shared" si="25"/>
        <v>842.41038982757232</v>
      </c>
      <c r="X69" s="182">
        <f t="shared" si="25"/>
        <v>855.95207691542021</v>
      </c>
      <c r="Y69" s="19">
        <f t="shared" si="25"/>
        <v>867.29543120023004</v>
      </c>
      <c r="Z69" s="19">
        <f t="shared" si="25"/>
        <v>875.86586263761183</v>
      </c>
      <c r="AA69" s="19">
        <f t="shared" si="25"/>
        <v>887.35940495050704</v>
      </c>
      <c r="AB69" s="19">
        <f t="shared" si="25"/>
        <v>900.60427977914958</v>
      </c>
      <c r="AC69" s="19">
        <f t="shared" si="25"/>
        <v>911.79761910227444</v>
      </c>
      <c r="AD69" s="19">
        <f t="shared" si="25"/>
        <v>927.3838779367278</v>
      </c>
      <c r="AE69" s="19">
        <f t="shared" si="25"/>
        <v>944.3854249543358</v>
      </c>
      <c r="AF69" s="19">
        <f t="shared" si="25"/>
        <v>963.7675320260887</v>
      </c>
      <c r="AG69" s="19">
        <f t="shared" si="25"/>
        <v>983.95602054240248</v>
      </c>
      <c r="AH69" s="19">
        <f t="shared" si="25"/>
        <v>1001.9855982700547</v>
      </c>
    </row>
    <row r="70" spans="1:34" s="20" customFormat="1" ht="15">
      <c r="A70" s="27" t="s">
        <v>329</v>
      </c>
      <c r="B70" s="39"/>
      <c r="C70" s="299">
        <f>SUM(C58:C68)</f>
        <v>2771.0470800000007</v>
      </c>
      <c r="D70" s="299">
        <f t="shared" ref="D70:AH70" si="26">SUM(D58:D68)</f>
        <v>2688.1570800000004</v>
      </c>
      <c r="E70" s="299">
        <f t="shared" si="26"/>
        <v>2834.3702621440666</v>
      </c>
      <c r="F70" s="299">
        <f t="shared" si="26"/>
        <v>2696.3498754915418</v>
      </c>
      <c r="G70" s="299">
        <f t="shared" si="26"/>
        <v>2825.7193627919792</v>
      </c>
      <c r="H70" s="19">
        <f t="shared" si="26"/>
        <v>2856.104128041392</v>
      </c>
      <c r="I70" s="19">
        <f t="shared" si="26"/>
        <v>2952.3589388466553</v>
      </c>
      <c r="J70" s="19">
        <f t="shared" si="26"/>
        <v>3068.1491982533571</v>
      </c>
      <c r="K70" s="19">
        <f t="shared" si="26"/>
        <v>3187.9558194448296</v>
      </c>
      <c r="L70" s="19">
        <f t="shared" si="26"/>
        <v>3268.6491251718512</v>
      </c>
      <c r="M70" s="19">
        <f t="shared" si="26"/>
        <v>3296.6003656295516</v>
      </c>
      <c r="N70" s="182">
        <f t="shared" si="26"/>
        <v>3318.3608106780775</v>
      </c>
      <c r="O70" s="19">
        <f t="shared" si="26"/>
        <v>3351.950041523718</v>
      </c>
      <c r="P70" s="19">
        <f t="shared" si="26"/>
        <v>3374.7942458158182</v>
      </c>
      <c r="Q70" s="19">
        <f t="shared" si="26"/>
        <v>3443.6968639671068</v>
      </c>
      <c r="R70" s="19">
        <f t="shared" si="26"/>
        <v>3469.1626470908268</v>
      </c>
      <c r="S70" s="19">
        <f t="shared" si="26"/>
        <v>3548.2115132668064</v>
      </c>
      <c r="T70" s="19">
        <f t="shared" si="26"/>
        <v>3572.6643385817988</v>
      </c>
      <c r="U70" s="19">
        <f t="shared" si="26"/>
        <v>3589.3985246146062</v>
      </c>
      <c r="V70" s="19">
        <f t="shared" si="26"/>
        <v>3608.8218943666116</v>
      </c>
      <c r="W70" s="19">
        <f t="shared" si="26"/>
        <v>3702.6897429643845</v>
      </c>
      <c r="X70" s="182">
        <f t="shared" si="26"/>
        <v>3721.3242408928927</v>
      </c>
      <c r="Y70" s="19">
        <f t="shared" si="26"/>
        <v>3732.6676872067378</v>
      </c>
      <c r="Z70" s="19">
        <f t="shared" si="26"/>
        <v>3744.192150636437</v>
      </c>
      <c r="AA70" s="19">
        <f t="shared" si="26"/>
        <v>3755.6857918827154</v>
      </c>
      <c r="AB70" s="19">
        <f t="shared" si="26"/>
        <v>3768.9306941215618</v>
      </c>
      <c r="AC70" s="19">
        <f t="shared" si="26"/>
        <v>3782.9276293843172</v>
      </c>
      <c r="AD70" s="19">
        <f t="shared" si="26"/>
        <v>3800.4557403103768</v>
      </c>
      <c r="AE70" s="19">
        <f t="shared" si="26"/>
        <v>3817.4575502680864</v>
      </c>
      <c r="AF70" s="19">
        <f t="shared" si="26"/>
        <v>3838.601474343855</v>
      </c>
      <c r="AG70" s="19">
        <f t="shared" si="26"/>
        <v>3858.7899131662261</v>
      </c>
      <c r="AH70" s="19">
        <f t="shared" si="26"/>
        <v>3876.8195566289037</v>
      </c>
    </row>
    <row r="71" spans="1:34" s="20" customFormat="1" ht="15">
      <c r="A71" s="27" t="s">
        <v>142</v>
      </c>
      <c r="B71" s="39"/>
      <c r="C71" s="299">
        <f>C53*Inputs!$H$60</f>
        <v>2482.4250000000002</v>
      </c>
      <c r="D71" s="299">
        <f>D53*Inputs!$H$60</f>
        <v>2787.0479999999998</v>
      </c>
      <c r="E71" s="299">
        <f>E53*Inputs!$H$60</f>
        <v>2496.4455572279726</v>
      </c>
      <c r="F71" s="299">
        <f>F53*Inputs!$H$60</f>
        <v>2150.6730088707768</v>
      </c>
      <c r="G71" s="299">
        <f>G53*Inputs!$H$60</f>
        <v>2299.6879383301448</v>
      </c>
      <c r="H71" s="19">
        <f>H53*Inputs!$H$60</f>
        <v>2368.9292936432807</v>
      </c>
      <c r="I71" s="19">
        <f>I53*Inputs!$H$60</f>
        <v>2244.9843664594291</v>
      </c>
      <c r="J71" s="19">
        <f>J53*Inputs!$H$60</f>
        <v>2156.9965611184139</v>
      </c>
      <c r="K71" s="19">
        <f>K53*Inputs!$H$60</f>
        <v>2270.7343770162784</v>
      </c>
      <c r="L71" s="19">
        <f>L53*Inputs!$H$60</f>
        <v>2311.68441821736</v>
      </c>
      <c r="M71" s="19">
        <f>M53*Inputs!$H$60</f>
        <v>2332.8069308561935</v>
      </c>
      <c r="N71" s="190">
        <f>N53*Inputs!$H$60</f>
        <v>2326.8415807842312</v>
      </c>
      <c r="O71" s="19">
        <f>O53*Inputs!$H$60</f>
        <v>2346.335127592296</v>
      </c>
      <c r="P71" s="19">
        <f>P53*Inputs!$H$60</f>
        <v>2364.5300131428248</v>
      </c>
      <c r="Q71" s="19">
        <f>Q53*Inputs!$H$60</f>
        <v>2365.5448770893136</v>
      </c>
      <c r="R71" s="19">
        <f>R53*Inputs!$H$60</f>
        <v>2396.1536891117939</v>
      </c>
      <c r="S71" s="19">
        <f>S53*Inputs!$H$60</f>
        <v>2419.701009173596</v>
      </c>
      <c r="T71" s="19">
        <f>T53*Inputs!$H$60</f>
        <v>2417.9865478302586</v>
      </c>
      <c r="U71" s="19">
        <f>U53*Inputs!$H$60</f>
        <v>2418.4941085681626</v>
      </c>
      <c r="V71" s="19">
        <f>V53*Inputs!$H$60</f>
        <v>2418.1509739686262</v>
      </c>
      <c r="W71" s="19">
        <f>W53*Inputs!$H$60</f>
        <v>2409.2258309740655</v>
      </c>
      <c r="X71" s="182">
        <f>X53*Inputs!$H$60</f>
        <v>2411.2011357446022</v>
      </c>
      <c r="Y71" s="19">
        <f>Y53*Inputs!$H$60</f>
        <v>2410.1305694726552</v>
      </c>
      <c r="Z71" s="19">
        <f>Z53*Inputs!$H$60</f>
        <v>2409.3266769228476</v>
      </c>
      <c r="AA71" s="19">
        <f>AA53*Inputs!$H$60</f>
        <v>2406.9102202047252</v>
      </c>
      <c r="AB71" s="19">
        <f>AB53*Inputs!$H$60</f>
        <v>2404.9287769484213</v>
      </c>
      <c r="AC71" s="19">
        <f>AC53*Inputs!$H$60</f>
        <v>2402.7743119849583</v>
      </c>
      <c r="AD71" s="19">
        <f>AD53*Inputs!$H$60</f>
        <v>2400.6364091120495</v>
      </c>
      <c r="AE71" s="19">
        <f>AE53*Inputs!$H$60</f>
        <v>2398.6331391903955</v>
      </c>
      <c r="AF71" s="19">
        <f>AF53*Inputs!$H$60</f>
        <v>2396.6115044729454</v>
      </c>
      <c r="AG71" s="19">
        <f>AG53*Inputs!$H$60</f>
        <v>2396.5924810775755</v>
      </c>
      <c r="AH71" s="19">
        <f>AH53*Inputs!$H$60</f>
        <v>2396.5612018196307</v>
      </c>
    </row>
    <row r="72" spans="1:34" s="20" customFormat="1" ht="15">
      <c r="A72" s="27" t="s">
        <v>222</v>
      </c>
      <c r="B72" s="39"/>
      <c r="C72" s="299">
        <f>C54*Inputs!$H$61</f>
        <v>1110.8789999999999</v>
      </c>
      <c r="D72" s="299">
        <f>D54*Inputs!$H$61</f>
        <v>1234.431</v>
      </c>
      <c r="E72" s="299">
        <f>E54*Inputs!$H$61</f>
        <v>1004.4873061427356</v>
      </c>
      <c r="F72" s="299">
        <f>F54*Inputs!$H$61</f>
        <v>1194.2680332594475</v>
      </c>
      <c r="G72" s="299">
        <f>G54*Inputs!$H$61</f>
        <v>1066.1431642327238</v>
      </c>
      <c r="H72" s="19">
        <f>H54*Inputs!$H$61</f>
        <v>1016.1638472314399</v>
      </c>
      <c r="I72" s="19">
        <f>I54*Inputs!$H$61</f>
        <v>1096.3348365280776</v>
      </c>
      <c r="J72" s="19">
        <f>J54*Inputs!$H$61</f>
        <v>1196.3500520953903</v>
      </c>
      <c r="K72" s="19">
        <f>K54*Inputs!$H$61</f>
        <v>1142.7192843570897</v>
      </c>
      <c r="L72" s="19">
        <f>L54*Inputs!$H$61</f>
        <v>1128.8974646253002</v>
      </c>
      <c r="M72" s="19">
        <f>M54*Inputs!$H$61</f>
        <v>1147.5065181337175</v>
      </c>
      <c r="N72" s="190">
        <f>N54*Inputs!$H$61</f>
        <v>1182.3588172125424</v>
      </c>
      <c r="O72" s="19">
        <f>O54*Inputs!$H$61</f>
        <v>1200.3022059876484</v>
      </c>
      <c r="P72" s="19">
        <f>P54*Inputs!$H$61</f>
        <v>1225.5197610704358</v>
      </c>
      <c r="Q72" s="19">
        <f>Q54*Inputs!$H$61</f>
        <v>1272.4688112288388</v>
      </c>
      <c r="R72" s="19">
        <f>R54*Inputs!$H$61</f>
        <v>1301.3814765264165</v>
      </c>
      <c r="S72" s="19">
        <f>S54*Inputs!$H$61</f>
        <v>1317.0822790494956</v>
      </c>
      <c r="T72" s="19">
        <f>T54*Inputs!$H$61</f>
        <v>1338.4136013579689</v>
      </c>
      <c r="U72" s="19">
        <f>U54*Inputs!$H$61</f>
        <v>1359.2427448035562</v>
      </c>
      <c r="V72" s="19">
        <f>V54*Inputs!$H$61</f>
        <v>1383.5734068271277</v>
      </c>
      <c r="W72" s="19">
        <f>W54*Inputs!$H$61</f>
        <v>1394.94425917178</v>
      </c>
      <c r="X72" s="182">
        <f>X54*Inputs!$H$61</f>
        <v>1416.6469966121906</v>
      </c>
      <c r="Y72" s="19">
        <f>Y54*Inputs!$H$61</f>
        <v>1425.9657736122322</v>
      </c>
      <c r="Z72" s="19">
        <f>Z54*Inputs!$H$61</f>
        <v>1441.5874458283863</v>
      </c>
      <c r="AA72" s="19">
        <f>AA54*Inputs!$H$61</f>
        <v>1452.8637816949379</v>
      </c>
      <c r="AB72" s="19">
        <f>AB54*Inputs!$H$61</f>
        <v>1468.4829548753387</v>
      </c>
      <c r="AC72" s="19">
        <f>AC54*Inputs!$H$61</f>
        <v>1493.1599767632965</v>
      </c>
      <c r="AD72" s="19">
        <f>AD54*Inputs!$H$61</f>
        <v>1515.2183262424201</v>
      </c>
      <c r="AE72" s="19">
        <f>AE54*Inputs!$H$61</f>
        <v>1550.188456979065</v>
      </c>
      <c r="AF72" s="19">
        <f>AF54*Inputs!$H$61</f>
        <v>1588.953080163529</v>
      </c>
      <c r="AG72" s="19">
        <f>AG54*Inputs!$H$61</f>
        <v>1619.0089382291044</v>
      </c>
      <c r="AH72" s="19">
        <f>AH54*Inputs!$H$61</f>
        <v>1642.3838102007728</v>
      </c>
    </row>
    <row r="73" spans="1:34" ht="15">
      <c r="A73" s="27" t="s">
        <v>58</v>
      </c>
      <c r="C73" s="296">
        <f>SUM(C70:C72)</f>
        <v>6364.3510800000013</v>
      </c>
      <c r="D73" s="296">
        <f t="shared" ref="D73:AH73" si="27">SUM(D70:D72)</f>
        <v>6709.6360800000002</v>
      </c>
      <c r="E73" s="296">
        <f t="shared" si="27"/>
        <v>6335.3031255147744</v>
      </c>
      <c r="F73" s="296">
        <f t="shared" si="27"/>
        <v>6041.2909176217663</v>
      </c>
      <c r="G73" s="296">
        <f t="shared" si="27"/>
        <v>6191.5504653548487</v>
      </c>
      <c r="H73" s="14">
        <f t="shared" si="27"/>
        <v>6241.197268916113</v>
      </c>
      <c r="I73" s="14">
        <f t="shared" si="27"/>
        <v>6293.6781418341616</v>
      </c>
      <c r="J73" s="14">
        <f t="shared" si="27"/>
        <v>6421.4958114671617</v>
      </c>
      <c r="K73" s="14">
        <f t="shared" si="27"/>
        <v>6601.4094808181981</v>
      </c>
      <c r="L73" s="14">
        <f t="shared" si="27"/>
        <v>6709.2310080145116</v>
      </c>
      <c r="M73" s="14">
        <f t="shared" si="27"/>
        <v>6776.9138146194628</v>
      </c>
      <c r="N73" s="190">
        <f t="shared" si="27"/>
        <v>6827.5612086748515</v>
      </c>
      <c r="O73" s="14">
        <f t="shared" si="27"/>
        <v>6898.5873751036625</v>
      </c>
      <c r="P73" s="14">
        <f t="shared" si="27"/>
        <v>6964.8440200290788</v>
      </c>
      <c r="Q73" s="14">
        <f t="shared" si="27"/>
        <v>7081.7105522852589</v>
      </c>
      <c r="R73" s="14">
        <f t="shared" si="27"/>
        <v>7166.6978127290367</v>
      </c>
      <c r="S73" s="14">
        <f t="shared" si="27"/>
        <v>7284.9948014898982</v>
      </c>
      <c r="T73" s="14">
        <f t="shared" si="27"/>
        <v>7329.0644877700261</v>
      </c>
      <c r="U73" s="14">
        <f t="shared" si="27"/>
        <v>7367.1353779863248</v>
      </c>
      <c r="V73" s="14">
        <f t="shared" si="27"/>
        <v>7410.5462751623654</v>
      </c>
      <c r="W73" s="14">
        <f t="shared" si="27"/>
        <v>7506.8598331102294</v>
      </c>
      <c r="X73" s="187">
        <f t="shared" si="27"/>
        <v>7549.1723732496857</v>
      </c>
      <c r="Y73" s="14">
        <f t="shared" si="27"/>
        <v>7568.7640302916243</v>
      </c>
      <c r="Z73" s="14">
        <f t="shared" si="27"/>
        <v>7595.1062733876706</v>
      </c>
      <c r="AA73" s="14">
        <f t="shared" si="27"/>
        <v>7615.4597937823783</v>
      </c>
      <c r="AB73" s="14">
        <f t="shared" si="27"/>
        <v>7642.3424259453222</v>
      </c>
      <c r="AC73" s="14">
        <f t="shared" si="27"/>
        <v>7678.8619181325721</v>
      </c>
      <c r="AD73" s="14">
        <f t="shared" si="27"/>
        <v>7716.3104756648463</v>
      </c>
      <c r="AE73" s="14">
        <f t="shared" si="27"/>
        <v>7766.2791464375478</v>
      </c>
      <c r="AF73" s="14">
        <f t="shared" si="27"/>
        <v>7824.1660589803296</v>
      </c>
      <c r="AG73" s="14">
        <f t="shared" si="27"/>
        <v>7874.3913324729056</v>
      </c>
      <c r="AH73" s="14">
        <f t="shared" si="27"/>
        <v>7915.7645686493079</v>
      </c>
    </row>
    <row r="75" spans="1:34">
      <c r="B75" s="89"/>
      <c r="H75" s="89"/>
      <c r="I75" s="89"/>
      <c r="J75" s="89"/>
      <c r="K75" s="89"/>
      <c r="L75" s="89"/>
      <c r="M75" s="89"/>
      <c r="N75" s="190" t="s">
        <v>0</v>
      </c>
      <c r="O75" s="89"/>
      <c r="P75" s="89"/>
      <c r="Q75" s="89"/>
      <c r="R75" s="89"/>
      <c r="S75" s="89"/>
      <c r="T75" s="89"/>
      <c r="U75" s="89"/>
      <c r="V75" s="89"/>
      <c r="W75" s="89"/>
    </row>
    <row r="76" spans="1:34">
      <c r="B76" s="89"/>
      <c r="H76" s="89"/>
      <c r="I76" s="89"/>
      <c r="J76" s="89"/>
      <c r="K76" s="89"/>
      <c r="L76" s="89"/>
      <c r="M76" s="89"/>
      <c r="O76" s="89"/>
      <c r="P76" s="89"/>
      <c r="Q76" s="89"/>
      <c r="R76" s="89"/>
      <c r="S76" s="89"/>
      <c r="T76" s="89"/>
      <c r="U76" s="89"/>
      <c r="V76" s="89"/>
      <c r="W76" s="89"/>
    </row>
    <row r="77" spans="1:34" hidden="1">
      <c r="A77" s="1" t="s">
        <v>189</v>
      </c>
      <c r="B77" s="33"/>
    </row>
    <row r="78" spans="1:34" hidden="1">
      <c r="A78" t="s">
        <v>190</v>
      </c>
      <c r="B78" s="33"/>
      <c r="C78" s="300">
        <f>'backup - EIA liq_fuelS_aeo2014'!E46</f>
        <v>273.77869168296451</v>
      </c>
      <c r="D78" s="300">
        <f>'backup - EIA liq_fuelS_aeo2014'!F46</f>
        <v>330.59007454663532</v>
      </c>
      <c r="E78" s="300">
        <f>'backup - EIA liq_fuelS_aeo2014'!G46</f>
        <v>346.41273999999999</v>
      </c>
      <c r="F78" s="300">
        <f>'backup - EIA liq_fuelS_aeo2014'!H46</f>
        <v>332.23648773503913</v>
      </c>
      <c r="G78" s="300">
        <f>'backup - EIA liq_fuelS_aeo2014'!I46</f>
        <v>336.63400877733272</v>
      </c>
      <c r="H78" s="12">
        <f>'backup - EIA liq_fuelS_aeo2014'!J46</f>
        <v>352.19858305216189</v>
      </c>
      <c r="I78" s="12">
        <f>'backup - EIA liq_fuelS_aeo2014'!K46</f>
        <v>332.67387741278202</v>
      </c>
      <c r="J78" s="12">
        <f>'backup - EIA liq_fuelS_aeo2014'!L46</f>
        <v>334.25860074671806</v>
      </c>
      <c r="K78" s="12">
        <f>'backup - EIA liq_fuelS_aeo2014'!M46</f>
        <v>341.17813427402433</v>
      </c>
      <c r="L78" s="12">
        <f>'backup - EIA liq_fuelS_aeo2014'!N46</f>
        <v>345.58877710595249</v>
      </c>
      <c r="M78" s="12">
        <f>'backup - EIA liq_fuelS_aeo2014'!O46</f>
        <v>352.0193896929872</v>
      </c>
      <c r="N78" s="355">
        <f>'backup - EIA liq_fuelS_aeo2014'!P46</f>
        <v>362.16295876265764</v>
      </c>
      <c r="O78" s="12">
        <f>'backup - EIA liq_fuelS_aeo2014'!Q46</f>
        <v>371.28950968144909</v>
      </c>
      <c r="P78" s="12">
        <f>'backup - EIA liq_fuelS_aeo2014'!R46</f>
        <v>386.73310267300621</v>
      </c>
      <c r="Q78" s="12">
        <f>'backup - EIA liq_fuelS_aeo2014'!S46</f>
        <v>401.15959175664915</v>
      </c>
      <c r="R78" s="12">
        <f>'backup - EIA liq_fuelS_aeo2014'!T46</f>
        <v>414.56272820760728</v>
      </c>
      <c r="S78" s="12">
        <f>'backup - EIA liq_fuelS_aeo2014'!U46</f>
        <v>426.01426158540727</v>
      </c>
      <c r="T78" s="12">
        <f>'backup - EIA liq_fuelS_aeo2014'!V46</f>
        <v>436.3142303161336</v>
      </c>
      <c r="U78" s="12">
        <f>'backup - EIA liq_fuelS_aeo2014'!W46</f>
        <v>444.95490300330164</v>
      </c>
      <c r="V78" s="12">
        <f>'backup - EIA liq_fuelS_aeo2014'!X46</f>
        <v>451.53307562319765</v>
      </c>
      <c r="W78" s="12">
        <f>'backup - EIA liq_fuelS_aeo2014'!Y46</f>
        <v>456.17321024350161</v>
      </c>
      <c r="X78" s="356">
        <f>'backup - EIA liq_fuelS_aeo2014'!Z46</f>
        <v>459.60339229062083</v>
      </c>
    </row>
    <row r="79" spans="1:34" hidden="1">
      <c r="B79" s="33"/>
    </row>
    <row r="80" spans="1:34" hidden="1">
      <c r="B80" s="33"/>
    </row>
    <row r="81" spans="1:24" hidden="1">
      <c r="B81" s="33"/>
    </row>
    <row r="82" spans="1:24" hidden="1">
      <c r="B82" s="33"/>
    </row>
    <row r="83" spans="1:24" hidden="1">
      <c r="A83" s="1" t="s">
        <v>2</v>
      </c>
      <c r="B83" s="33"/>
      <c r="C83" s="295" t="e">
        <f>C78*Inputs!$C58</f>
        <v>#REF!</v>
      </c>
      <c r="D83" s="295" t="e">
        <f>D78*Inputs!$C58</f>
        <v>#REF!</v>
      </c>
      <c r="E83" s="295" t="e">
        <f>E78*Inputs!$C58</f>
        <v>#REF!</v>
      </c>
      <c r="F83" s="295" t="e">
        <f>F78*Inputs!$C58</f>
        <v>#REF!</v>
      </c>
      <c r="G83" s="295" t="e">
        <f>G78*Inputs!$C58</f>
        <v>#REF!</v>
      </c>
      <c r="H83" s="50" t="e">
        <f>H78*Inputs!$C58</f>
        <v>#REF!</v>
      </c>
      <c r="I83" s="50" t="e">
        <f>I78*Inputs!$C58</f>
        <v>#REF!</v>
      </c>
      <c r="J83" s="50" t="e">
        <f>J78*Inputs!$C58</f>
        <v>#REF!</v>
      </c>
      <c r="K83" s="50" t="e">
        <f>K78*Inputs!$C58</f>
        <v>#REF!</v>
      </c>
      <c r="L83" s="50" t="e">
        <f>L78*Inputs!$C58</f>
        <v>#REF!</v>
      </c>
      <c r="M83" s="50" t="e">
        <f>M78*Inputs!$C58</f>
        <v>#REF!</v>
      </c>
      <c r="N83" s="353" t="e">
        <f>N78*Inputs!$C58</f>
        <v>#REF!</v>
      </c>
      <c r="O83" s="50" t="e">
        <f>O78*Inputs!$C58</f>
        <v>#REF!</v>
      </c>
      <c r="P83" s="50" t="e">
        <f>P78*Inputs!$C58</f>
        <v>#REF!</v>
      </c>
      <c r="Q83" s="50" t="e">
        <f>Q78*Inputs!$C58</f>
        <v>#REF!</v>
      </c>
      <c r="R83" s="50" t="e">
        <f>R78*Inputs!$C58</f>
        <v>#REF!</v>
      </c>
      <c r="S83" s="50" t="e">
        <f>S78*Inputs!$C58</f>
        <v>#REF!</v>
      </c>
      <c r="T83" s="50" t="e">
        <f>T78*Inputs!$C58</f>
        <v>#REF!</v>
      </c>
      <c r="U83" s="50" t="e">
        <f>U78*Inputs!$C58</f>
        <v>#REF!</v>
      </c>
      <c r="V83" s="50" t="e">
        <f>V78*Inputs!$C58</f>
        <v>#REF!</v>
      </c>
      <c r="W83" s="50" t="e">
        <f>W78*Inputs!$C58</f>
        <v>#REF!</v>
      </c>
      <c r="X83" s="184" t="e">
        <f>X78*Inputs!$C58</f>
        <v>#REF!</v>
      </c>
    </row>
    <row r="84" spans="1:24" hidden="1">
      <c r="B84" s="33"/>
    </row>
    <row r="85" spans="1:24">
      <c r="B85" s="33"/>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7"/>
  <sheetViews>
    <sheetView tabSelected="1" zoomScale="85" zoomScaleNormal="85" zoomScalePageLayoutView="85" workbookViewId="0">
      <selection activeCell="A10" sqref="A10:O38"/>
    </sheetView>
  </sheetViews>
  <sheetFormatPr baseColWidth="10" defaultColWidth="17.6640625" defaultRowHeight="12" x14ac:dyDescent="0"/>
  <cols>
    <col min="1" max="1" width="18.1640625" style="81" customWidth="1"/>
    <col min="2" max="2" width="19.1640625" style="81" customWidth="1"/>
    <col min="3" max="3" width="9.5" style="81" customWidth="1"/>
    <col min="4" max="4" width="9.6640625" style="81" customWidth="1"/>
    <col min="5" max="5" width="8.5" style="376" customWidth="1"/>
    <col min="6" max="6" width="9" style="376" customWidth="1"/>
    <col min="7" max="7" width="9.6640625" style="81" customWidth="1"/>
    <col min="8" max="8" width="10.83203125" style="376" customWidth="1"/>
    <col min="9" max="9" width="5.6640625" style="376" bestFit="1" customWidth="1"/>
    <col min="10" max="10" width="9.33203125" style="376" customWidth="1"/>
    <col min="11" max="11" width="6.5" style="376" customWidth="1"/>
    <col min="12" max="12" width="9.6640625" style="376" customWidth="1"/>
    <col min="13" max="13" width="5.6640625" style="376" customWidth="1"/>
    <col min="14" max="14" width="8.5" style="81" customWidth="1"/>
    <col min="15" max="15" width="8" style="81" customWidth="1"/>
    <col min="16" max="16" width="7.33203125" style="81" customWidth="1"/>
    <col min="17" max="17" width="79.83203125" style="81" hidden="1" customWidth="1"/>
    <col min="18" max="16384" width="17.6640625" style="81"/>
  </cols>
  <sheetData>
    <row r="1" spans="1:16">
      <c r="A1" s="437"/>
      <c r="B1" s="437"/>
      <c r="C1" s="437"/>
      <c r="D1" s="437"/>
      <c r="E1" s="437"/>
      <c r="F1" s="437"/>
      <c r="G1" s="437"/>
      <c r="H1" s="437"/>
      <c r="I1" s="437"/>
      <c r="J1" s="437"/>
      <c r="K1" s="437"/>
      <c r="L1" s="437"/>
      <c r="M1" s="437"/>
      <c r="N1" s="437"/>
      <c r="O1" s="437"/>
      <c r="P1" s="437"/>
    </row>
    <row r="2" spans="1:16">
      <c r="A2" s="437"/>
      <c r="B2" s="437"/>
      <c r="C2" s="437"/>
      <c r="D2" s="437"/>
      <c r="E2" s="437"/>
      <c r="F2" s="437"/>
      <c r="G2" s="437"/>
      <c r="H2" s="437"/>
      <c r="I2" s="437"/>
      <c r="J2" s="437"/>
      <c r="K2" s="437"/>
      <c r="L2" s="437"/>
      <c r="M2" s="437"/>
      <c r="N2" s="437"/>
      <c r="O2" s="437"/>
      <c r="P2" s="437"/>
    </row>
    <row r="3" spans="1:16">
      <c r="A3" s="437"/>
      <c r="B3" s="437"/>
      <c r="C3" s="437"/>
      <c r="D3" s="437"/>
      <c r="E3" s="437"/>
      <c r="F3" s="437"/>
      <c r="G3" s="437"/>
      <c r="H3" s="437"/>
      <c r="I3" s="437"/>
      <c r="J3" s="437"/>
      <c r="K3" s="437"/>
      <c r="L3" s="437"/>
      <c r="M3" s="437"/>
      <c r="N3" s="437"/>
      <c r="O3" s="437"/>
      <c r="P3" s="437"/>
    </row>
    <row r="4" spans="1:16">
      <c r="A4" s="437"/>
      <c r="B4" s="437"/>
      <c r="C4" s="437"/>
      <c r="D4" s="437"/>
      <c r="E4" s="437"/>
      <c r="F4" s="437"/>
      <c r="G4" s="437"/>
      <c r="H4" s="437"/>
      <c r="I4" s="437"/>
      <c r="J4" s="437"/>
      <c r="K4" s="437"/>
      <c r="L4" s="437"/>
      <c r="M4" s="437"/>
      <c r="N4" s="437"/>
      <c r="O4" s="437"/>
      <c r="P4" s="437"/>
    </row>
    <row r="5" spans="1:16">
      <c r="A5" s="437"/>
      <c r="B5" s="437"/>
      <c r="C5" s="437"/>
      <c r="D5" s="437"/>
      <c r="E5" s="437"/>
      <c r="F5" s="437"/>
      <c r="G5" s="437"/>
      <c r="H5" s="437"/>
      <c r="I5" s="437"/>
      <c r="J5" s="437"/>
      <c r="K5" s="437"/>
      <c r="L5" s="437"/>
      <c r="M5" s="437"/>
      <c r="N5" s="437"/>
      <c r="O5" s="437"/>
      <c r="P5" s="437"/>
    </row>
    <row r="6" spans="1:16">
      <c r="A6" s="437"/>
      <c r="B6" s="437"/>
      <c r="C6" s="437"/>
      <c r="D6" s="437"/>
      <c r="E6" s="437"/>
      <c r="F6" s="437"/>
      <c r="G6" s="437"/>
      <c r="H6" s="437"/>
      <c r="I6" s="437"/>
      <c r="J6" s="437"/>
      <c r="K6" s="437"/>
      <c r="L6" s="437"/>
      <c r="M6" s="437"/>
      <c r="N6" s="437"/>
      <c r="O6" s="437"/>
      <c r="P6" s="437"/>
    </row>
    <row r="7" spans="1:16">
      <c r="A7" s="437"/>
      <c r="B7" s="437"/>
      <c r="C7" s="437"/>
      <c r="D7" s="437"/>
      <c r="E7" s="437"/>
      <c r="F7" s="437"/>
      <c r="G7" s="437"/>
      <c r="H7" s="437"/>
      <c r="I7" s="437"/>
      <c r="J7" s="437"/>
      <c r="K7" s="437"/>
      <c r="L7" s="437"/>
      <c r="M7" s="437"/>
      <c r="N7" s="437"/>
      <c r="O7" s="437"/>
      <c r="P7" s="437"/>
    </row>
    <row r="8" spans="1:16">
      <c r="A8" s="437"/>
      <c r="B8" s="437"/>
      <c r="C8" s="437"/>
      <c r="D8" s="437"/>
      <c r="E8" s="437"/>
      <c r="F8" s="437"/>
      <c r="G8" s="437"/>
      <c r="H8" s="437"/>
      <c r="I8" s="437"/>
      <c r="J8" s="437"/>
      <c r="K8" s="437"/>
      <c r="L8" s="437"/>
      <c r="M8" s="437"/>
      <c r="N8" s="437"/>
      <c r="O8" s="437"/>
      <c r="P8" s="437"/>
    </row>
    <row r="9" spans="1:16" ht="3" customHeight="1">
      <c r="A9" s="437"/>
      <c r="B9" s="437"/>
      <c r="C9" s="437"/>
      <c r="D9" s="437"/>
      <c r="E9" s="437"/>
      <c r="F9" s="437"/>
      <c r="G9" s="437"/>
      <c r="H9" s="437"/>
      <c r="I9" s="437"/>
      <c r="J9" s="437"/>
      <c r="K9" s="437"/>
      <c r="L9" s="437"/>
      <c r="M9" s="437"/>
      <c r="N9" s="437"/>
      <c r="O9" s="437"/>
      <c r="P9" s="437"/>
    </row>
    <row r="10" spans="1:16" ht="12" hidden="1" customHeight="1">
      <c r="A10" s="441" t="s">
        <v>212</v>
      </c>
      <c r="B10" s="442">
        <v>2000</v>
      </c>
      <c r="C10" s="443" t="s">
        <v>219</v>
      </c>
      <c r="D10" s="443" t="s">
        <v>556</v>
      </c>
      <c r="E10" s="444" t="s">
        <v>213</v>
      </c>
      <c r="F10" s="445"/>
      <c r="G10" s="442"/>
      <c r="H10" s="446" t="s">
        <v>557</v>
      </c>
      <c r="I10" s="447"/>
      <c r="J10" s="447"/>
      <c r="K10" s="447"/>
      <c r="L10" s="447"/>
      <c r="M10" s="447"/>
      <c r="N10" s="447"/>
      <c r="O10" s="448"/>
      <c r="P10" s="433"/>
    </row>
    <row r="11" spans="1:16" ht="26" customHeight="1">
      <c r="A11" s="449"/>
      <c r="B11" s="450"/>
      <c r="C11" s="451"/>
      <c r="D11" s="451"/>
      <c r="E11" s="452"/>
      <c r="F11" s="453"/>
      <c r="G11" s="450"/>
      <c r="H11" s="453" t="s">
        <v>214</v>
      </c>
      <c r="I11" s="450"/>
      <c r="J11" s="452" t="s">
        <v>215</v>
      </c>
      <c r="K11" s="450"/>
      <c r="L11" s="452" t="s">
        <v>216</v>
      </c>
      <c r="M11" s="453"/>
      <c r="N11" s="453"/>
      <c r="O11" s="450"/>
      <c r="P11" s="433"/>
    </row>
    <row r="12" spans="1:16" ht="77" customHeight="1" thickBot="1">
      <c r="A12" s="454" t="s">
        <v>217</v>
      </c>
      <c r="B12" s="454" t="s">
        <v>218</v>
      </c>
      <c r="C12" s="455"/>
      <c r="D12" s="455"/>
      <c r="E12" s="456" t="s">
        <v>758</v>
      </c>
      <c r="F12" s="457" t="s">
        <v>759</v>
      </c>
      <c r="G12" s="458" t="s">
        <v>308</v>
      </c>
      <c r="H12" s="459" t="s">
        <v>360</v>
      </c>
      <c r="I12" s="457" t="s">
        <v>760</v>
      </c>
      <c r="J12" s="456" t="s">
        <v>360</v>
      </c>
      <c r="K12" s="457" t="s">
        <v>760</v>
      </c>
      <c r="L12" s="456" t="s">
        <v>360</v>
      </c>
      <c r="M12" s="457" t="s">
        <v>760</v>
      </c>
      <c r="N12" s="458" t="s">
        <v>58</v>
      </c>
      <c r="O12" s="458" t="s">
        <v>558</v>
      </c>
      <c r="P12" s="436"/>
    </row>
    <row r="13" spans="1:16" ht="13" thickTop="1">
      <c r="A13" s="460" t="s">
        <v>559</v>
      </c>
      <c r="B13" s="460" t="s">
        <v>560</v>
      </c>
      <c r="C13" s="461">
        <v>0.85</v>
      </c>
      <c r="D13" s="462">
        <v>40</v>
      </c>
      <c r="E13" s="463">
        <v>4.29</v>
      </c>
      <c r="F13" s="464">
        <v>1.53</v>
      </c>
      <c r="G13" s="465">
        <v>0</v>
      </c>
      <c r="H13" s="466">
        <f t="shared" ref="H13:H31" si="0">E13/D13</f>
        <v>0.10725</v>
      </c>
      <c r="I13" s="465">
        <f t="shared" ref="I13:I31" si="1">F13+G13*8760/1000*C13</f>
        <v>1.53</v>
      </c>
      <c r="J13" s="467">
        <f t="shared" ref="J13:J31" si="2">H13/C13</f>
        <v>0.12617647058823531</v>
      </c>
      <c r="K13" s="465">
        <f t="shared" ref="K13:K31" si="3">I13/C13</f>
        <v>1.8</v>
      </c>
      <c r="L13" s="467">
        <f t="shared" ref="L13:M30" si="4">J13/8760*1000</f>
        <v>1.4403706688154716E-2</v>
      </c>
      <c r="M13" s="465">
        <f t="shared" si="4"/>
        <v>0.20547945205479454</v>
      </c>
      <c r="N13" s="468">
        <f t="shared" ref="N13:N31" si="5">SUM(L13:M13)</f>
        <v>0.21988315874294925</v>
      </c>
      <c r="O13" s="469">
        <f>AVERAGE(N13:N14)</f>
        <v>0.20532702121944668</v>
      </c>
      <c r="P13" s="436"/>
    </row>
    <row r="14" spans="1:16" ht="13" thickBot="1">
      <c r="A14" s="470" t="s">
        <v>561</v>
      </c>
      <c r="B14" s="470" t="s">
        <v>562</v>
      </c>
      <c r="C14" s="471">
        <v>0.85</v>
      </c>
      <c r="D14" s="472">
        <v>40</v>
      </c>
      <c r="E14" s="473">
        <v>8.5</v>
      </c>
      <c r="F14" s="474">
        <v>0.24</v>
      </c>
      <c r="G14" s="475">
        <v>0.13</v>
      </c>
      <c r="H14" s="476">
        <f t="shared" si="0"/>
        <v>0.21249999999999999</v>
      </c>
      <c r="I14" s="475">
        <f t="shared" si="1"/>
        <v>1.2079800000000001</v>
      </c>
      <c r="J14" s="477">
        <f t="shared" si="2"/>
        <v>0.25</v>
      </c>
      <c r="K14" s="475">
        <f t="shared" si="3"/>
        <v>1.4211529411764707</v>
      </c>
      <c r="L14" s="477">
        <f t="shared" si="4"/>
        <v>2.8538812785388126E-2</v>
      </c>
      <c r="M14" s="475">
        <f t="shared" si="4"/>
        <v>0.16223207091055603</v>
      </c>
      <c r="N14" s="478">
        <f t="shared" si="5"/>
        <v>0.19077088369594414</v>
      </c>
      <c r="O14" s="479"/>
      <c r="P14" s="436"/>
    </row>
    <row r="15" spans="1:16">
      <c r="A15" s="480" t="s">
        <v>563</v>
      </c>
      <c r="B15" s="480" t="s">
        <v>564</v>
      </c>
      <c r="C15" s="481">
        <v>0.9</v>
      </c>
      <c r="D15" s="482">
        <v>40</v>
      </c>
      <c r="E15" s="483">
        <f>36000/5600</f>
        <v>6.4285714285714288</v>
      </c>
      <c r="F15" s="484">
        <f>10000/5600</f>
        <v>1.7857142857142858</v>
      </c>
      <c r="G15" s="483">
        <v>0</v>
      </c>
      <c r="H15" s="485">
        <f t="shared" si="0"/>
        <v>0.16071428571428573</v>
      </c>
      <c r="I15" s="486">
        <f t="shared" si="1"/>
        <v>1.7857142857142858</v>
      </c>
      <c r="J15" s="487">
        <f t="shared" si="2"/>
        <v>0.17857142857142858</v>
      </c>
      <c r="K15" s="486">
        <f t="shared" si="3"/>
        <v>1.9841269841269842</v>
      </c>
      <c r="L15" s="487">
        <f t="shared" si="4"/>
        <v>2.0384866275277233E-2</v>
      </c>
      <c r="M15" s="486">
        <f t="shared" si="4"/>
        <v>0.22649851416974706</v>
      </c>
      <c r="N15" s="488">
        <f t="shared" si="5"/>
        <v>0.24688338044502428</v>
      </c>
      <c r="O15" s="489">
        <f>AVERAGE(N15:N17)</f>
        <v>0.24750247638375492</v>
      </c>
      <c r="P15" s="436"/>
    </row>
    <row r="16" spans="1:16">
      <c r="A16" s="490" t="s">
        <v>565</v>
      </c>
      <c r="B16" s="490" t="s">
        <v>312</v>
      </c>
      <c r="C16" s="491">
        <v>0.9</v>
      </c>
      <c r="D16" s="492">
        <v>40</v>
      </c>
      <c r="E16" s="493">
        <v>17.5</v>
      </c>
      <c r="F16" s="494">
        <v>1.7</v>
      </c>
      <c r="G16" s="493">
        <v>0</v>
      </c>
      <c r="H16" s="495">
        <f>E16/D16</f>
        <v>0.4375</v>
      </c>
      <c r="I16" s="496">
        <f>F16+G16*8760/1000*C16</f>
        <v>1.7</v>
      </c>
      <c r="J16" s="497">
        <f>H16/C16</f>
        <v>0.4861111111111111</v>
      </c>
      <c r="K16" s="496">
        <f>I16/C16</f>
        <v>1.8888888888888888</v>
      </c>
      <c r="L16" s="497">
        <f t="shared" si="4"/>
        <v>5.5492135971588023E-2</v>
      </c>
      <c r="M16" s="496">
        <f t="shared" si="4"/>
        <v>0.21562658548959918</v>
      </c>
      <c r="N16" s="498">
        <f>SUM(L16:M16)</f>
        <v>0.27111872146118721</v>
      </c>
      <c r="O16" s="499"/>
      <c r="P16" s="436"/>
    </row>
    <row r="17" spans="1:16" ht="13" thickBot="1">
      <c r="A17" s="500" t="s">
        <v>566</v>
      </c>
      <c r="B17" s="500" t="s">
        <v>560</v>
      </c>
      <c r="C17" s="501">
        <v>0.9</v>
      </c>
      <c r="D17" s="502">
        <v>40</v>
      </c>
      <c r="E17" s="503">
        <v>4</v>
      </c>
      <c r="F17" s="504">
        <v>1.67</v>
      </c>
      <c r="G17" s="503">
        <v>0</v>
      </c>
      <c r="H17" s="505">
        <f>E17/D17</f>
        <v>0.1</v>
      </c>
      <c r="I17" s="506">
        <f>F17+G17*8760/1000*C17</f>
        <v>1.67</v>
      </c>
      <c r="J17" s="507">
        <f>H17/C17</f>
        <v>0.11111111111111112</v>
      </c>
      <c r="K17" s="506">
        <f>I17/C17</f>
        <v>1.8555555555555554</v>
      </c>
      <c r="L17" s="507">
        <f t="shared" si="4"/>
        <v>1.2683916793505836E-2</v>
      </c>
      <c r="M17" s="506">
        <f t="shared" si="4"/>
        <v>0.21182141045154743</v>
      </c>
      <c r="N17" s="508">
        <f>SUM(L17:M17)</f>
        <v>0.22450532724505326</v>
      </c>
      <c r="O17" s="479"/>
      <c r="P17" s="436"/>
    </row>
    <row r="18" spans="1:16">
      <c r="A18" s="480" t="s">
        <v>567</v>
      </c>
      <c r="B18" s="480" t="s">
        <v>312</v>
      </c>
      <c r="C18" s="481">
        <v>0.85</v>
      </c>
      <c r="D18" s="482">
        <v>40</v>
      </c>
      <c r="E18" s="483">
        <v>21.3</v>
      </c>
      <c r="F18" s="484">
        <v>7.8</v>
      </c>
      <c r="G18" s="483">
        <v>0</v>
      </c>
      <c r="H18" s="485">
        <f>E18/D18</f>
        <v>0.53249999999999997</v>
      </c>
      <c r="I18" s="486">
        <f>F18+G18*8760/1000*C18</f>
        <v>7.8</v>
      </c>
      <c r="J18" s="487">
        <f>H18/C18</f>
        <v>0.62647058823529411</v>
      </c>
      <c r="K18" s="486">
        <f>I18/C18</f>
        <v>9.1764705882352935</v>
      </c>
      <c r="L18" s="487">
        <f t="shared" si="4"/>
        <v>7.1514907332796127E-2</v>
      </c>
      <c r="M18" s="486">
        <f t="shared" si="4"/>
        <v>1.0475423045930701</v>
      </c>
      <c r="N18" s="488">
        <f>SUM(L18:M18)</f>
        <v>1.1190572119258662</v>
      </c>
      <c r="O18" s="489">
        <f>AVERAGE(N18:N19)</f>
        <v>0.71885911899006172</v>
      </c>
      <c r="P18" s="436"/>
    </row>
    <row r="19" spans="1:16" ht="13" thickBot="1">
      <c r="A19" s="500" t="s">
        <v>568</v>
      </c>
      <c r="B19" s="500" t="s">
        <v>560</v>
      </c>
      <c r="C19" s="501">
        <v>0.85</v>
      </c>
      <c r="D19" s="502">
        <v>40</v>
      </c>
      <c r="E19" s="503">
        <v>3.71</v>
      </c>
      <c r="F19" s="504">
        <v>2.2799999999999998</v>
      </c>
      <c r="G19" s="503">
        <v>0</v>
      </c>
      <c r="H19" s="505">
        <f t="shared" si="0"/>
        <v>9.2749999999999999E-2</v>
      </c>
      <c r="I19" s="506">
        <f t="shared" si="1"/>
        <v>2.2799999999999998</v>
      </c>
      <c r="J19" s="507">
        <f t="shared" si="2"/>
        <v>0.10911764705882353</v>
      </c>
      <c r="K19" s="506">
        <f t="shared" si="3"/>
        <v>2.6823529411764704</v>
      </c>
      <c r="L19" s="507">
        <f t="shared" si="4"/>
        <v>1.2456352403975288E-2</v>
      </c>
      <c r="M19" s="506">
        <f t="shared" si="4"/>
        <v>0.30620467365028203</v>
      </c>
      <c r="N19" s="508">
        <f t="shared" si="5"/>
        <v>0.31866102605425733</v>
      </c>
      <c r="O19" s="479"/>
      <c r="P19" s="436"/>
    </row>
    <row r="20" spans="1:16" ht="13" thickBot="1">
      <c r="A20" s="509" t="s">
        <v>569</v>
      </c>
      <c r="B20" s="509" t="s">
        <v>560</v>
      </c>
      <c r="C20" s="510">
        <v>0.55000000000000004</v>
      </c>
      <c r="D20" s="511">
        <v>40</v>
      </c>
      <c r="E20" s="512">
        <v>5.71</v>
      </c>
      <c r="F20" s="513">
        <v>1.1399999999999999</v>
      </c>
      <c r="G20" s="512">
        <v>0</v>
      </c>
      <c r="H20" s="514">
        <f t="shared" si="0"/>
        <v>0.14274999999999999</v>
      </c>
      <c r="I20" s="515">
        <f t="shared" si="1"/>
        <v>1.1399999999999999</v>
      </c>
      <c r="J20" s="516">
        <f t="shared" si="2"/>
        <v>0.25954545454545452</v>
      </c>
      <c r="K20" s="515">
        <f t="shared" si="3"/>
        <v>2.0727272727272723</v>
      </c>
      <c r="L20" s="516">
        <f t="shared" si="4"/>
        <v>2.9628476546284761E-2</v>
      </c>
      <c r="M20" s="515">
        <f t="shared" si="4"/>
        <v>0.236612702366127</v>
      </c>
      <c r="N20" s="517">
        <f t="shared" si="5"/>
        <v>0.26624117891241178</v>
      </c>
      <c r="O20" s="515">
        <f>N20</f>
        <v>0.26624117891241178</v>
      </c>
      <c r="P20" s="433"/>
    </row>
    <row r="21" spans="1:16">
      <c r="A21" s="518" t="s">
        <v>309</v>
      </c>
      <c r="B21" s="518" t="s">
        <v>570</v>
      </c>
      <c r="C21" s="519">
        <v>0.2</v>
      </c>
      <c r="D21" s="520">
        <v>25</v>
      </c>
      <c r="E21" s="521">
        <v>37</v>
      </c>
      <c r="F21" s="522">
        <v>1</v>
      </c>
      <c r="G21" s="521">
        <v>0</v>
      </c>
      <c r="H21" s="523">
        <f>E21/D21</f>
        <v>1.48</v>
      </c>
      <c r="I21" s="524">
        <f>F21+G21*8760/1000*C21</f>
        <v>1</v>
      </c>
      <c r="J21" s="525">
        <f>H21/C21</f>
        <v>7.3999999999999995</v>
      </c>
      <c r="K21" s="524">
        <f>I21/C21</f>
        <v>5</v>
      </c>
      <c r="L21" s="525">
        <f>J21/8760*1000</f>
        <v>0.84474885844748848</v>
      </c>
      <c r="M21" s="524">
        <f>K21/8760*1000</f>
        <v>0.57077625570776247</v>
      </c>
      <c r="N21" s="526">
        <f>SUM(L21:M21)</f>
        <v>1.415525114155251</v>
      </c>
      <c r="O21" s="527">
        <f>N38</f>
        <v>0.79313246811604099</v>
      </c>
      <c r="P21" s="433"/>
    </row>
    <row r="22" spans="1:16">
      <c r="A22" s="528" t="s">
        <v>310</v>
      </c>
      <c r="B22" s="528" t="s">
        <v>221</v>
      </c>
      <c r="C22" s="529">
        <v>0.2</v>
      </c>
      <c r="D22" s="530">
        <v>25</v>
      </c>
      <c r="E22" s="531">
        <v>32.340000000000003</v>
      </c>
      <c r="F22" s="532">
        <v>0.37</v>
      </c>
      <c r="G22" s="531">
        <v>0</v>
      </c>
      <c r="H22" s="533">
        <f t="shared" si="0"/>
        <v>1.2936000000000001</v>
      </c>
      <c r="I22" s="534">
        <f t="shared" si="1"/>
        <v>0.37</v>
      </c>
      <c r="J22" s="535">
        <f t="shared" si="2"/>
        <v>6.468</v>
      </c>
      <c r="K22" s="534">
        <f t="shared" si="3"/>
        <v>1.8499999999999999</v>
      </c>
      <c r="L22" s="535">
        <f t="shared" si="4"/>
        <v>0.73835616438356166</v>
      </c>
      <c r="M22" s="534">
        <f t="shared" si="4"/>
        <v>0.21118721461187212</v>
      </c>
      <c r="N22" s="536">
        <f t="shared" si="5"/>
        <v>0.94954337899543373</v>
      </c>
      <c r="O22" s="537"/>
      <c r="P22" s="433"/>
    </row>
    <row r="23" spans="1:16" ht="13" thickBot="1">
      <c r="A23" s="500" t="s">
        <v>311</v>
      </c>
      <c r="B23" s="500" t="s">
        <v>560</v>
      </c>
      <c r="C23" s="501">
        <v>0.2</v>
      </c>
      <c r="D23" s="500">
        <v>25</v>
      </c>
      <c r="E23" s="503">
        <v>7.14</v>
      </c>
      <c r="F23" s="504">
        <v>0.12</v>
      </c>
      <c r="G23" s="538">
        <v>0</v>
      </c>
      <c r="H23" s="505">
        <f t="shared" si="0"/>
        <v>0.28559999999999997</v>
      </c>
      <c r="I23" s="503">
        <f t="shared" si="1"/>
        <v>0.12</v>
      </c>
      <c r="J23" s="504">
        <f t="shared" si="2"/>
        <v>1.4279999999999997</v>
      </c>
      <c r="K23" s="503">
        <f t="shared" si="3"/>
        <v>0.6</v>
      </c>
      <c r="L23" s="504">
        <f t="shared" si="4"/>
        <v>0.16301369863013696</v>
      </c>
      <c r="M23" s="503">
        <f t="shared" si="4"/>
        <v>6.8493150684931503E-2</v>
      </c>
      <c r="N23" s="539">
        <f t="shared" si="5"/>
        <v>0.23150684931506846</v>
      </c>
      <c r="O23" s="540"/>
      <c r="P23" s="433"/>
    </row>
    <row r="24" spans="1:16">
      <c r="A24" s="480" t="s">
        <v>434</v>
      </c>
      <c r="B24" s="480" t="s">
        <v>438</v>
      </c>
      <c r="C24" s="541">
        <v>0.4</v>
      </c>
      <c r="D24" s="482">
        <v>25</v>
      </c>
      <c r="E24" s="483">
        <f>10310/1000</f>
        <v>10.31</v>
      </c>
      <c r="F24" s="484">
        <v>1</v>
      </c>
      <c r="G24" s="483">
        <v>0</v>
      </c>
      <c r="H24" s="523">
        <f t="shared" si="0"/>
        <v>0.41240000000000004</v>
      </c>
      <c r="I24" s="524">
        <f t="shared" si="1"/>
        <v>1</v>
      </c>
      <c r="J24" s="525">
        <f t="shared" si="2"/>
        <v>1.0310000000000001</v>
      </c>
      <c r="K24" s="524">
        <f t="shared" si="3"/>
        <v>2.5</v>
      </c>
      <c r="L24" s="525">
        <f t="shared" si="4"/>
        <v>0.11769406392694066</v>
      </c>
      <c r="M24" s="524">
        <f t="shared" si="4"/>
        <v>0.28538812785388123</v>
      </c>
      <c r="N24" s="526">
        <f t="shared" si="5"/>
        <v>0.40308219178082189</v>
      </c>
      <c r="O24" s="489">
        <f>AVERAGE(N24:N25,N26)</f>
        <v>0.23028919330289191</v>
      </c>
      <c r="P24" s="433"/>
    </row>
    <row r="25" spans="1:16">
      <c r="A25" s="542" t="s">
        <v>435</v>
      </c>
      <c r="B25" s="542" t="s">
        <v>437</v>
      </c>
      <c r="C25" s="543">
        <v>0.4</v>
      </c>
      <c r="D25" s="544">
        <v>25</v>
      </c>
      <c r="E25" s="493">
        <v>4.5</v>
      </c>
      <c r="F25" s="494">
        <v>0.38</v>
      </c>
      <c r="G25" s="496">
        <v>0</v>
      </c>
      <c r="H25" s="545">
        <f t="shared" si="0"/>
        <v>0.18</v>
      </c>
      <c r="I25" s="496">
        <f t="shared" si="1"/>
        <v>0.38</v>
      </c>
      <c r="J25" s="497">
        <f t="shared" si="2"/>
        <v>0.44999999999999996</v>
      </c>
      <c r="K25" s="496">
        <f t="shared" si="3"/>
        <v>0.95</v>
      </c>
      <c r="L25" s="497">
        <f t="shared" si="4"/>
        <v>5.1369863013698627E-2</v>
      </c>
      <c r="M25" s="496">
        <f t="shared" si="4"/>
        <v>0.10844748858447488</v>
      </c>
      <c r="N25" s="498">
        <f t="shared" si="5"/>
        <v>0.15981735159817351</v>
      </c>
      <c r="O25" s="499"/>
      <c r="P25" s="433"/>
    </row>
    <row r="26" spans="1:16" ht="13" thickBot="1">
      <c r="A26" s="546" t="s">
        <v>436</v>
      </c>
      <c r="B26" s="546" t="s">
        <v>560</v>
      </c>
      <c r="C26" s="547">
        <v>0.4</v>
      </c>
      <c r="D26" s="546">
        <v>25</v>
      </c>
      <c r="E26" s="506">
        <v>5.71</v>
      </c>
      <c r="F26" s="507">
        <v>0.22</v>
      </c>
      <c r="G26" s="538">
        <v>0</v>
      </c>
      <c r="H26" s="548">
        <f t="shared" si="0"/>
        <v>0.22839999999999999</v>
      </c>
      <c r="I26" s="506">
        <f t="shared" si="1"/>
        <v>0.22</v>
      </c>
      <c r="J26" s="507">
        <f t="shared" si="2"/>
        <v>0.57099999999999995</v>
      </c>
      <c r="K26" s="506">
        <f t="shared" si="3"/>
        <v>0.54999999999999993</v>
      </c>
      <c r="L26" s="507">
        <f t="shared" si="4"/>
        <v>6.5182648401826485E-2</v>
      </c>
      <c r="M26" s="506">
        <f t="shared" si="4"/>
        <v>6.2785388127853878E-2</v>
      </c>
      <c r="N26" s="508">
        <f t="shared" si="5"/>
        <v>0.12796803652968036</v>
      </c>
      <c r="O26" s="479"/>
      <c r="P26" s="433"/>
    </row>
    <row r="27" spans="1:16">
      <c r="A27" s="549" t="s">
        <v>571</v>
      </c>
      <c r="B27" s="549" t="s">
        <v>362</v>
      </c>
      <c r="C27" s="541">
        <v>0.35</v>
      </c>
      <c r="D27" s="482">
        <v>25</v>
      </c>
      <c r="E27" s="483">
        <v>10.1</v>
      </c>
      <c r="F27" s="484">
        <v>0.4</v>
      </c>
      <c r="G27" s="486">
        <v>0</v>
      </c>
      <c r="H27" s="550">
        <f t="shared" si="0"/>
        <v>0.40399999999999997</v>
      </c>
      <c r="I27" s="486">
        <f t="shared" si="1"/>
        <v>0.4</v>
      </c>
      <c r="J27" s="487">
        <f t="shared" si="2"/>
        <v>1.1542857142857144</v>
      </c>
      <c r="K27" s="486">
        <f t="shared" si="3"/>
        <v>1.142857142857143</v>
      </c>
      <c r="L27" s="487">
        <f t="shared" si="4"/>
        <v>0.13176777560339206</v>
      </c>
      <c r="M27" s="486">
        <f t="shared" si="4"/>
        <v>0.13046314416177432</v>
      </c>
      <c r="N27" s="488">
        <f t="shared" si="5"/>
        <v>0.26223091976516638</v>
      </c>
      <c r="O27" s="489">
        <f>AVERAGE(N27,N28,N29:N31)</f>
        <v>0.16974559686888452</v>
      </c>
      <c r="P27" s="433"/>
    </row>
    <row r="28" spans="1:16">
      <c r="A28" s="542" t="s">
        <v>220</v>
      </c>
      <c r="B28" s="542" t="s">
        <v>221</v>
      </c>
      <c r="C28" s="543">
        <v>0.35</v>
      </c>
      <c r="D28" s="492">
        <v>25</v>
      </c>
      <c r="E28" s="493">
        <v>3.8</v>
      </c>
      <c r="F28" s="494">
        <v>0.14399999999999999</v>
      </c>
      <c r="G28" s="496">
        <v>0</v>
      </c>
      <c r="H28" s="545">
        <f t="shared" si="0"/>
        <v>0.152</v>
      </c>
      <c r="I28" s="496">
        <f t="shared" si="1"/>
        <v>0.14399999999999999</v>
      </c>
      <c r="J28" s="497">
        <f t="shared" si="2"/>
        <v>0.43428571428571427</v>
      </c>
      <c r="K28" s="496">
        <f t="shared" si="3"/>
        <v>0.41142857142857142</v>
      </c>
      <c r="L28" s="497">
        <f t="shared" si="4"/>
        <v>4.9575994781474238E-2</v>
      </c>
      <c r="M28" s="496">
        <f t="shared" si="4"/>
        <v>4.6966731898238752E-2</v>
      </c>
      <c r="N28" s="498">
        <f t="shared" si="5"/>
        <v>9.654272667971299E-2</v>
      </c>
      <c r="O28" s="499"/>
      <c r="P28" s="433"/>
    </row>
    <row r="29" spans="1:16">
      <c r="A29" s="542" t="s">
        <v>361</v>
      </c>
      <c r="B29" s="542" t="s">
        <v>572</v>
      </c>
      <c r="C29" s="543">
        <v>0.35</v>
      </c>
      <c r="D29" s="544">
        <v>25</v>
      </c>
      <c r="E29" s="496">
        <v>10.96</v>
      </c>
      <c r="F29" s="497">
        <v>0.17499999999999999</v>
      </c>
      <c r="G29" s="496">
        <v>0</v>
      </c>
      <c r="H29" s="545">
        <f t="shared" si="0"/>
        <v>0.43840000000000001</v>
      </c>
      <c r="I29" s="496">
        <f t="shared" si="1"/>
        <v>0.17499999999999999</v>
      </c>
      <c r="J29" s="497">
        <f t="shared" si="2"/>
        <v>1.2525714285714287</v>
      </c>
      <c r="K29" s="496">
        <f t="shared" si="3"/>
        <v>0.5</v>
      </c>
      <c r="L29" s="497">
        <f t="shared" si="4"/>
        <v>0.14298760600130464</v>
      </c>
      <c r="M29" s="496">
        <f t="shared" si="4"/>
        <v>5.7077625570776253E-2</v>
      </c>
      <c r="N29" s="498">
        <f t="shared" si="5"/>
        <v>0.20006523157208089</v>
      </c>
      <c r="O29" s="499"/>
      <c r="P29" s="433"/>
    </row>
    <row r="30" spans="1:16">
      <c r="A30" s="542" t="s">
        <v>573</v>
      </c>
      <c r="B30" s="542" t="s">
        <v>312</v>
      </c>
      <c r="C30" s="543">
        <v>0.35</v>
      </c>
      <c r="D30" s="544">
        <v>25</v>
      </c>
      <c r="E30" s="496">
        <v>7.4</v>
      </c>
      <c r="F30" s="497">
        <v>0.2</v>
      </c>
      <c r="G30" s="496">
        <v>0</v>
      </c>
      <c r="H30" s="545">
        <f t="shared" si="0"/>
        <v>0.29600000000000004</v>
      </c>
      <c r="I30" s="496">
        <f t="shared" si="1"/>
        <v>0.2</v>
      </c>
      <c r="J30" s="497">
        <f t="shared" si="2"/>
        <v>0.84571428571428586</v>
      </c>
      <c r="K30" s="496">
        <f t="shared" si="3"/>
        <v>0.57142857142857151</v>
      </c>
      <c r="L30" s="497">
        <f t="shared" si="4"/>
        <v>9.6542726679713003E-2</v>
      </c>
      <c r="M30" s="496">
        <f t="shared" si="4"/>
        <v>6.523157208088716E-2</v>
      </c>
      <c r="N30" s="498">
        <f t="shared" si="5"/>
        <v>0.16177429876060018</v>
      </c>
      <c r="O30" s="499"/>
      <c r="P30" s="433"/>
    </row>
    <row r="31" spans="1:16" ht="13" thickBot="1">
      <c r="A31" s="546" t="s">
        <v>574</v>
      </c>
      <c r="B31" s="546" t="s">
        <v>560</v>
      </c>
      <c r="C31" s="547">
        <v>0.35</v>
      </c>
      <c r="D31" s="551">
        <v>25</v>
      </c>
      <c r="E31" s="506">
        <v>2.57</v>
      </c>
      <c r="F31" s="507">
        <v>0.28999999999999998</v>
      </c>
      <c r="G31" s="506">
        <v>0</v>
      </c>
      <c r="H31" s="548">
        <f t="shared" si="0"/>
        <v>0.10279999999999999</v>
      </c>
      <c r="I31" s="506">
        <f t="shared" si="1"/>
        <v>0.28999999999999998</v>
      </c>
      <c r="J31" s="507">
        <f t="shared" si="2"/>
        <v>0.29371428571428571</v>
      </c>
      <c r="K31" s="506">
        <f t="shared" si="3"/>
        <v>0.82857142857142851</v>
      </c>
      <c r="L31" s="507">
        <f>J31/8760*1000</f>
        <v>3.3529028049575992E-2</v>
      </c>
      <c r="M31" s="506">
        <f>K31/8760*1000</f>
        <v>9.4585779517286361E-2</v>
      </c>
      <c r="N31" s="508">
        <f t="shared" si="5"/>
        <v>0.12811480756686236</v>
      </c>
      <c r="O31" s="479"/>
      <c r="P31" s="433"/>
    </row>
    <row r="32" spans="1:16" ht="23" thickBot="1">
      <c r="A32" s="509" t="s">
        <v>431</v>
      </c>
      <c r="B32" s="509" t="s">
        <v>432</v>
      </c>
      <c r="C32" s="510">
        <v>0.8</v>
      </c>
      <c r="D32" s="511">
        <v>40</v>
      </c>
      <c r="E32" s="512">
        <v>20.48</v>
      </c>
      <c r="F32" s="513">
        <v>0.31</v>
      </c>
      <c r="G32" s="512">
        <v>0.06</v>
      </c>
      <c r="H32" s="514">
        <v>0.51200000000000001</v>
      </c>
      <c r="I32" s="515">
        <v>0.73048000000000002</v>
      </c>
      <c r="J32" s="516">
        <v>0.64</v>
      </c>
      <c r="K32" s="515">
        <v>0.91310000000000002</v>
      </c>
      <c r="L32" s="516">
        <v>7.3059360730593603E-2</v>
      </c>
      <c r="M32" s="515">
        <v>0.10423515981735161</v>
      </c>
      <c r="N32" s="517">
        <v>0.1772945205479452</v>
      </c>
      <c r="O32" s="515">
        <f>N32</f>
        <v>0.1772945205479452</v>
      </c>
      <c r="P32" s="433"/>
    </row>
    <row r="33" spans="1:16" ht="13" thickBot="1">
      <c r="A33" s="509" t="s">
        <v>225</v>
      </c>
      <c r="B33" s="509" t="s">
        <v>433</v>
      </c>
      <c r="C33" s="510">
        <v>0.9</v>
      </c>
      <c r="D33" s="511">
        <v>40</v>
      </c>
      <c r="E33" s="512">
        <v>15.2</v>
      </c>
      <c r="F33" s="513">
        <v>0.7</v>
      </c>
      <c r="G33" s="512">
        <v>0</v>
      </c>
      <c r="H33" s="552">
        <f>E33/D33</f>
        <v>0.38</v>
      </c>
      <c r="I33" s="515">
        <f>F33+G33*8760/1000*C33</f>
        <v>0.7</v>
      </c>
      <c r="J33" s="516">
        <f>H33/C33</f>
        <v>0.42222222222222222</v>
      </c>
      <c r="K33" s="515">
        <f>I33/C33</f>
        <v>0.77777777777777768</v>
      </c>
      <c r="L33" s="516">
        <f t="shared" ref="L33:M35" si="6">J33/8760*1000</f>
        <v>4.8198883815322169E-2</v>
      </c>
      <c r="M33" s="515">
        <f t="shared" si="6"/>
        <v>8.8787417554540837E-2</v>
      </c>
      <c r="N33" s="517">
        <f>SUM(L33:M33)</f>
        <v>0.13698630136986301</v>
      </c>
      <c r="O33" s="515">
        <f>N33</f>
        <v>0.13698630136986301</v>
      </c>
      <c r="P33" s="433"/>
    </row>
    <row r="34" spans="1:16" ht="13" thickBot="1">
      <c r="A34" s="553" t="s">
        <v>142</v>
      </c>
      <c r="B34" s="553" t="s">
        <v>223</v>
      </c>
      <c r="C34" s="554">
        <v>0.8</v>
      </c>
      <c r="D34" s="555">
        <v>40</v>
      </c>
      <c r="E34" s="515">
        <v>8.5</v>
      </c>
      <c r="F34" s="516">
        <v>0.18</v>
      </c>
      <c r="G34" s="515">
        <v>5.8999999999999997E-2</v>
      </c>
      <c r="H34" s="552">
        <f>E34/D34</f>
        <v>0.21249999999999999</v>
      </c>
      <c r="I34" s="515">
        <v>0.59</v>
      </c>
      <c r="J34" s="516">
        <f>H34/C34</f>
        <v>0.265625</v>
      </c>
      <c r="K34" s="515">
        <f>I34/C34</f>
        <v>0.73749999999999993</v>
      </c>
      <c r="L34" s="516">
        <f t="shared" si="6"/>
        <v>3.0322488584474887E-2</v>
      </c>
      <c r="M34" s="515">
        <f t="shared" si="6"/>
        <v>8.4189497716894962E-2</v>
      </c>
      <c r="N34" s="517">
        <f>SUM(L34:M34)</f>
        <v>0.11451198630136986</v>
      </c>
      <c r="O34" s="515">
        <f>N34</f>
        <v>0.11451198630136986</v>
      </c>
      <c r="P34" s="433"/>
    </row>
    <row r="35" spans="1:16" ht="13" thickBot="1">
      <c r="A35" s="553" t="s">
        <v>222</v>
      </c>
      <c r="B35" s="553" t="s">
        <v>312</v>
      </c>
      <c r="C35" s="554">
        <v>0.85</v>
      </c>
      <c r="D35" s="555">
        <v>40</v>
      </c>
      <c r="E35" s="515">
        <v>1.02</v>
      </c>
      <c r="F35" s="516">
        <v>0.1</v>
      </c>
      <c r="G35" s="515">
        <v>0.09</v>
      </c>
      <c r="H35" s="552">
        <f>E35/D35</f>
        <v>2.5500000000000002E-2</v>
      </c>
      <c r="I35" s="515">
        <f>F35+G35*8760/1000*C35</f>
        <v>0.77013999999999994</v>
      </c>
      <c r="J35" s="516">
        <f>H35/C35</f>
        <v>3.0000000000000002E-2</v>
      </c>
      <c r="K35" s="515">
        <f>I35/C35</f>
        <v>0.90604705882352932</v>
      </c>
      <c r="L35" s="516">
        <f t="shared" si="6"/>
        <v>3.4246575342465756E-3</v>
      </c>
      <c r="M35" s="515">
        <f t="shared" si="6"/>
        <v>0.10343002954606499</v>
      </c>
      <c r="N35" s="517">
        <f>SUM(L35:M35)</f>
        <v>0.10685468708031157</v>
      </c>
      <c r="O35" s="515">
        <f>N35</f>
        <v>0.10685468708031157</v>
      </c>
      <c r="P35" s="433"/>
    </row>
    <row r="36" spans="1:16">
      <c r="A36" s="556" t="s">
        <v>427</v>
      </c>
      <c r="B36" s="556" t="s">
        <v>429</v>
      </c>
      <c r="C36" s="557">
        <v>1</v>
      </c>
      <c r="D36" s="558">
        <v>20</v>
      </c>
      <c r="E36" s="559" t="s">
        <v>0</v>
      </c>
      <c r="F36" s="560"/>
      <c r="G36" s="560"/>
      <c r="H36" s="560"/>
      <c r="I36" s="560"/>
      <c r="J36" s="560"/>
      <c r="K36" s="560"/>
      <c r="L36" s="560"/>
      <c r="M36" s="561"/>
      <c r="N36" s="562">
        <v>0.17</v>
      </c>
      <c r="O36" s="563">
        <f>AVERAGE(N36,N37)</f>
        <v>0.38</v>
      </c>
      <c r="P36" s="433"/>
    </row>
    <row r="37" spans="1:16">
      <c r="A37" s="542" t="s">
        <v>428</v>
      </c>
      <c r="B37" s="542" t="s">
        <v>430</v>
      </c>
      <c r="C37" s="564">
        <v>1</v>
      </c>
      <c r="D37" s="544">
        <v>20</v>
      </c>
      <c r="E37" s="565" t="s">
        <v>0</v>
      </c>
      <c r="F37" s="566"/>
      <c r="G37" s="566"/>
      <c r="H37" s="566"/>
      <c r="I37" s="566"/>
      <c r="J37" s="566"/>
      <c r="K37" s="566"/>
      <c r="L37" s="566"/>
      <c r="M37" s="567"/>
      <c r="N37" s="498">
        <v>0.59</v>
      </c>
      <c r="O37" s="568"/>
      <c r="P37" s="433"/>
    </row>
    <row r="38" spans="1:16">
      <c r="A38" s="81" t="s">
        <v>756</v>
      </c>
      <c r="B38" s="81" t="s">
        <v>757</v>
      </c>
      <c r="C38" s="569">
        <v>0.2</v>
      </c>
      <c r="D38" s="81">
        <v>25</v>
      </c>
      <c r="E38" s="376">
        <f>(97031+32490+15112+20185)/B39</f>
        <v>14.698366579021558</v>
      </c>
      <c r="F38" s="376">
        <f>(8989)/B39</f>
        <v>0.80163342097844159</v>
      </c>
      <c r="G38" s="81">
        <v>0</v>
      </c>
      <c r="H38" s="376">
        <f>E38/D38</f>
        <v>0.58793466316086229</v>
      </c>
      <c r="I38" s="376">
        <f>F38</f>
        <v>0.80163342097844159</v>
      </c>
      <c r="J38" s="376">
        <f>H38/C38</f>
        <v>2.9396733158043111</v>
      </c>
      <c r="K38" s="376">
        <f>I38/C38</f>
        <v>4.0081671048922081</v>
      </c>
      <c r="L38" s="376">
        <f>J38/8760*1000</f>
        <v>0.33557914563976154</v>
      </c>
      <c r="M38" s="376">
        <f>K38/8760*1000</f>
        <v>0.4575533224762795</v>
      </c>
      <c r="N38" s="81">
        <f>L38+M38</f>
        <v>0.79313246811604099</v>
      </c>
      <c r="P38" s="433"/>
    </row>
    <row r="39" spans="1:16">
      <c r="B39" s="81">
        <f>173807/15.5</f>
        <v>11213.354838709678</v>
      </c>
      <c r="P39" s="433"/>
    </row>
    <row r="40" spans="1:16" ht="14">
      <c r="A40"/>
      <c r="B40"/>
      <c r="C40"/>
      <c r="D40"/>
      <c r="E40"/>
      <c r="F40"/>
      <c r="G40"/>
      <c r="H40"/>
      <c r="I40"/>
      <c r="J40"/>
      <c r="K40"/>
      <c r="L40"/>
      <c r="M40"/>
      <c r="N40"/>
      <c r="O40"/>
      <c r="P40" s="433"/>
    </row>
    <row r="41" spans="1:16" ht="14">
      <c r="A41"/>
      <c r="B41"/>
      <c r="C41"/>
      <c r="D41"/>
      <c r="E41"/>
      <c r="F41"/>
      <c r="G41"/>
      <c r="H41"/>
      <c r="I41"/>
      <c r="J41"/>
      <c r="K41"/>
      <c r="L41"/>
      <c r="M41"/>
      <c r="N41"/>
      <c r="O41"/>
      <c r="P41" s="433"/>
    </row>
    <row r="42" spans="1:16" ht="14">
      <c r="A42"/>
      <c r="B42"/>
      <c r="C42"/>
      <c r="D42"/>
      <c r="E42"/>
      <c r="F42"/>
      <c r="G42"/>
      <c r="H42"/>
      <c r="I42"/>
      <c r="J42"/>
      <c r="K42"/>
      <c r="L42"/>
      <c r="M42"/>
      <c r="N42"/>
      <c r="O42"/>
      <c r="P42" s="433"/>
    </row>
    <row r="43" spans="1:16" ht="14">
      <c r="A43"/>
      <c r="B43"/>
      <c r="C43"/>
      <c r="D43"/>
      <c r="E43"/>
      <c r="F43"/>
      <c r="G43"/>
      <c r="H43"/>
      <c r="I43"/>
      <c r="J43"/>
      <c r="K43"/>
      <c r="L43"/>
      <c r="M43"/>
      <c r="N43"/>
      <c r="O43"/>
      <c r="P43" s="433"/>
    </row>
    <row r="44" spans="1:16" ht="14">
      <c r="A44"/>
      <c r="B44"/>
      <c r="C44"/>
      <c r="D44"/>
      <c r="E44"/>
      <c r="F44"/>
      <c r="G44"/>
      <c r="H44"/>
      <c r="I44"/>
      <c r="J44"/>
      <c r="K44"/>
      <c r="L44"/>
      <c r="M44"/>
      <c r="N44"/>
      <c r="O44"/>
      <c r="P44" s="433"/>
    </row>
    <row r="45" spans="1:16" ht="14">
      <c r="A45"/>
      <c r="B45"/>
      <c r="C45"/>
      <c r="D45"/>
      <c r="E45"/>
      <c r="F45"/>
      <c r="G45"/>
      <c r="H45"/>
      <c r="I45"/>
      <c r="J45"/>
      <c r="K45"/>
      <c r="L45"/>
      <c r="M45"/>
      <c r="N45"/>
      <c r="O45"/>
      <c r="P45" s="433"/>
    </row>
    <row r="46" spans="1:16">
      <c r="A46" s="433"/>
      <c r="B46" s="433"/>
      <c r="C46" s="433"/>
      <c r="D46" s="433"/>
      <c r="E46" s="433"/>
      <c r="F46" s="433"/>
      <c r="G46" s="433"/>
      <c r="H46" s="433"/>
      <c r="I46" s="433"/>
      <c r="J46" s="433"/>
      <c r="K46" s="433"/>
      <c r="L46" s="433"/>
      <c r="M46" s="433"/>
      <c r="N46" s="433"/>
      <c r="O46" s="433"/>
      <c r="P46" s="433"/>
    </row>
    <row r="47" spans="1:16">
      <c r="A47" s="433"/>
      <c r="B47" s="433"/>
      <c r="C47" s="433"/>
      <c r="D47" s="433"/>
      <c r="E47" s="433"/>
      <c r="F47" s="433"/>
      <c r="G47" s="433"/>
      <c r="H47" s="433"/>
      <c r="I47" s="433"/>
      <c r="J47" s="433"/>
      <c r="K47" s="433"/>
      <c r="L47" s="433"/>
      <c r="M47" s="433"/>
      <c r="N47" s="434"/>
      <c r="O47" s="433"/>
      <c r="P47" s="433"/>
    </row>
  </sheetData>
  <mergeCells count="20">
    <mergeCell ref="A1:P9"/>
    <mergeCell ref="A10:A11"/>
    <mergeCell ref="B10:B11"/>
    <mergeCell ref="E10:G11"/>
    <mergeCell ref="C10:C12"/>
    <mergeCell ref="D10:D12"/>
    <mergeCell ref="O13:O14"/>
    <mergeCell ref="O15:O17"/>
    <mergeCell ref="O18:O19"/>
    <mergeCell ref="H10:O10"/>
    <mergeCell ref="H11:I11"/>
    <mergeCell ref="J11:K11"/>
    <mergeCell ref="L11:O11"/>
    <mergeCell ref="P12:P19"/>
    <mergeCell ref="O21:O23"/>
    <mergeCell ref="O24:O26"/>
    <mergeCell ref="O27:O31"/>
    <mergeCell ref="E36:M36"/>
    <mergeCell ref="O36:O37"/>
    <mergeCell ref="E37:M37"/>
  </mergeCells>
  <pageMargins left="0.75" right="0.75" top="1" bottom="1" header="0.5" footer="0.5"/>
  <pageSetup orientation="portrait" horizontalDpi="4294967293" verticalDpi="4294967293"/>
  <headerFooter alignWithMargins="0"/>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topLeftCell="B1" workbookViewId="0">
      <pane xSplit="6" ySplit="10" topLeftCell="H29" activePane="bottomRight" state="frozen"/>
      <selection activeCell="B1" sqref="B1"/>
      <selection pane="topRight" activeCell="H1" sqref="H1"/>
      <selection pane="bottomLeft" activeCell="B11" sqref="B11"/>
      <selection pane="bottomRight" activeCell="I29" sqref="I29"/>
    </sheetView>
  </sheetViews>
  <sheetFormatPr baseColWidth="10" defaultColWidth="8.83203125" defaultRowHeight="14" x14ac:dyDescent="0"/>
  <cols>
    <col min="1" max="1" width="10.5" style="156" hidden="1" customWidth="1"/>
    <col min="2" max="2" width="6.83203125" style="157" customWidth="1"/>
    <col min="3" max="3" width="5.1640625" style="154" bestFit="1" customWidth="1"/>
    <col min="4" max="5" width="21.5" style="154" hidden="1" customWidth="1"/>
    <col min="6" max="6" width="28.83203125" style="154" customWidth="1"/>
    <col min="7" max="7" width="31.6640625" style="154" customWidth="1"/>
    <col min="8" max="8" width="40.83203125" style="156" customWidth="1"/>
    <col min="9" max="9" width="60.83203125" style="154" customWidth="1"/>
    <col min="10" max="10" width="86" style="154" customWidth="1"/>
    <col min="11" max="16384" width="8.83203125" style="154"/>
  </cols>
  <sheetData>
    <row r="1" spans="1:12">
      <c r="B1" s="438"/>
      <c r="C1" s="438"/>
      <c r="D1" s="438"/>
      <c r="E1" s="438"/>
      <c r="F1" s="438"/>
      <c r="G1" s="438"/>
      <c r="H1" s="438"/>
      <c r="I1" s="438"/>
      <c r="J1" s="438"/>
      <c r="K1" s="438"/>
      <c r="L1" s="438"/>
    </row>
    <row r="2" spans="1:12">
      <c r="B2" s="438"/>
      <c r="C2" s="438"/>
      <c r="D2" s="438"/>
      <c r="E2" s="438"/>
      <c r="F2" s="438"/>
      <c r="G2" s="438"/>
      <c r="H2" s="438"/>
      <c r="I2" s="438"/>
      <c r="J2" s="438"/>
      <c r="K2" s="438"/>
      <c r="L2" s="438"/>
    </row>
    <row r="3" spans="1:12">
      <c r="B3" s="438"/>
      <c r="C3" s="438"/>
      <c r="D3" s="438"/>
      <c r="E3" s="438"/>
      <c r="F3" s="438"/>
      <c r="G3" s="438"/>
      <c r="H3" s="438"/>
      <c r="I3" s="438"/>
      <c r="J3" s="438"/>
      <c r="K3" s="438"/>
      <c r="L3" s="438"/>
    </row>
    <row r="4" spans="1:12">
      <c r="B4" s="438"/>
      <c r="C4" s="438"/>
      <c r="D4" s="438"/>
      <c r="E4" s="438"/>
      <c r="F4" s="438"/>
      <c r="G4" s="438"/>
      <c r="H4" s="438"/>
      <c r="I4" s="438"/>
      <c r="J4" s="438"/>
      <c r="K4" s="438"/>
      <c r="L4" s="438"/>
    </row>
    <row r="5" spans="1:12">
      <c r="B5" s="438"/>
      <c r="C5" s="438"/>
      <c r="D5" s="438"/>
      <c r="E5" s="438"/>
      <c r="F5" s="438"/>
      <c r="G5" s="438"/>
      <c r="H5" s="438"/>
      <c r="I5" s="438"/>
      <c r="J5" s="438"/>
      <c r="K5" s="438"/>
      <c r="L5" s="438"/>
    </row>
    <row r="6" spans="1:12">
      <c r="B6" s="438"/>
      <c r="C6" s="438"/>
      <c r="D6" s="438"/>
      <c r="E6" s="438"/>
      <c r="F6" s="438"/>
      <c r="G6" s="438"/>
      <c r="H6" s="438"/>
      <c r="I6" s="438"/>
      <c r="J6" s="438"/>
      <c r="K6" s="438"/>
      <c r="L6" s="438"/>
    </row>
    <row r="7" spans="1:12">
      <c r="B7" s="438"/>
      <c r="C7" s="438"/>
      <c r="D7" s="438"/>
      <c r="E7" s="438"/>
      <c r="F7" s="438"/>
      <c r="G7" s="438"/>
      <c r="H7" s="438"/>
      <c r="I7" s="438"/>
      <c r="J7" s="438"/>
      <c r="K7" s="438"/>
      <c r="L7" s="438"/>
    </row>
    <row r="8" spans="1:12">
      <c r="B8" s="438"/>
      <c r="C8" s="438"/>
      <c r="D8" s="438"/>
      <c r="E8" s="438"/>
      <c r="F8" s="438"/>
      <c r="G8" s="438"/>
      <c r="H8" s="438"/>
      <c r="I8" s="438"/>
      <c r="J8" s="438"/>
      <c r="K8" s="438"/>
      <c r="L8" s="438"/>
    </row>
    <row r="9" spans="1:12" ht="48" customHeight="1">
      <c r="B9" s="438"/>
      <c r="C9" s="438"/>
      <c r="D9" s="438"/>
      <c r="E9" s="438"/>
      <c r="F9" s="438"/>
      <c r="G9" s="438"/>
      <c r="H9" s="438"/>
      <c r="I9" s="438"/>
      <c r="J9" s="438"/>
      <c r="K9" s="438"/>
      <c r="L9" s="438"/>
    </row>
    <row r="10" spans="1:12" s="144" customFormat="1" ht="15" thickBot="1">
      <c r="A10" s="139" t="s">
        <v>149</v>
      </c>
      <c r="B10" s="140" t="s">
        <v>460</v>
      </c>
      <c r="C10" s="141" t="s">
        <v>144</v>
      </c>
      <c r="D10" s="141" t="s">
        <v>461</v>
      </c>
      <c r="E10" s="141" t="s">
        <v>265</v>
      </c>
      <c r="F10" s="141" t="s">
        <v>461</v>
      </c>
      <c r="G10" s="141" t="s">
        <v>145</v>
      </c>
      <c r="H10" s="142" t="s">
        <v>146</v>
      </c>
      <c r="I10" s="141" t="s">
        <v>147</v>
      </c>
      <c r="J10" s="143" t="s">
        <v>263</v>
      </c>
    </row>
    <row r="11" spans="1:12" s="145" customFormat="1" ht="84">
      <c r="A11" s="145" t="s">
        <v>143</v>
      </c>
      <c r="B11" s="146">
        <v>1</v>
      </c>
      <c r="C11" s="147">
        <v>2009</v>
      </c>
      <c r="D11" s="147" t="s">
        <v>277</v>
      </c>
      <c r="E11" s="147" t="s">
        <v>275</v>
      </c>
      <c r="F11" s="147" t="str">
        <f>D11 &amp; " - " &amp; E11</f>
        <v>Isabel Blanco and Christian Kjaer - European Wind Energy Association</v>
      </c>
      <c r="G11" s="147" t="s">
        <v>276</v>
      </c>
      <c r="H11" s="147" t="s">
        <v>553</v>
      </c>
      <c r="I11" s="147" t="s">
        <v>462</v>
      </c>
      <c r="J11" s="145" t="s">
        <v>463</v>
      </c>
    </row>
    <row r="12" spans="1:12" s="145" customFormat="1" ht="28">
      <c r="B12" s="148">
        <f>B11+1</f>
        <v>2</v>
      </c>
      <c r="C12" s="149">
        <v>2009</v>
      </c>
      <c r="D12" s="149" t="s">
        <v>464</v>
      </c>
      <c r="E12" s="149" t="s">
        <v>465</v>
      </c>
      <c r="F12" s="147" t="str">
        <f t="shared" ref="F12:F26" si="0">D12 &amp; " - " &amp; E12</f>
        <v>Julio Friedmann - Lawrence Livermore National Laboratory</v>
      </c>
      <c r="G12" s="149" t="s">
        <v>466</v>
      </c>
      <c r="H12" s="149" t="s">
        <v>467</v>
      </c>
      <c r="I12" s="149" t="s">
        <v>468</v>
      </c>
    </row>
    <row r="13" spans="1:12" s="145" customFormat="1" ht="28">
      <c r="B13" s="148">
        <f>B12+1</f>
        <v>3</v>
      </c>
      <c r="C13" s="149">
        <v>2009</v>
      </c>
      <c r="D13" s="149" t="s">
        <v>469</v>
      </c>
      <c r="E13" s="149" t="s">
        <v>470</v>
      </c>
      <c r="F13" s="147" t="str">
        <f t="shared" si="0"/>
        <v>José Goldemberg  - State of São Paulo, Brazil</v>
      </c>
      <c r="G13" s="149" t="s">
        <v>471</v>
      </c>
      <c r="H13" s="149"/>
      <c r="I13" s="149"/>
    </row>
    <row r="14" spans="1:12" s="145" customFormat="1" ht="42">
      <c r="B14" s="150">
        <f>B13+1</f>
        <v>4</v>
      </c>
      <c r="C14" s="151">
        <v>2009</v>
      </c>
      <c r="D14" s="151" t="s">
        <v>472</v>
      </c>
      <c r="E14" s="151" t="s">
        <v>473</v>
      </c>
      <c r="F14" s="147" t="str">
        <f t="shared" si="0"/>
        <v xml:space="preserve">SkyFuels - National Renewable Energy Laboratory </v>
      </c>
      <c r="G14" s="151" t="s">
        <v>474</v>
      </c>
      <c r="H14" s="151" t="s">
        <v>475</v>
      </c>
      <c r="I14" s="151" t="s">
        <v>476</v>
      </c>
    </row>
    <row r="15" spans="1:12" s="152" customFormat="1" ht="93.75" customHeight="1">
      <c r="A15" s="149" t="s">
        <v>224</v>
      </c>
      <c r="B15" s="148">
        <f>B14+1</f>
        <v>5</v>
      </c>
      <c r="C15" s="149">
        <v>2008</v>
      </c>
      <c r="D15" s="149" t="s">
        <v>274</v>
      </c>
      <c r="E15" s="149" t="s">
        <v>272</v>
      </c>
      <c r="F15" s="147" t="str">
        <f t="shared" si="0"/>
        <v>John A. "Skip" Laitner and Vanessa McKinney - American Council for an Energy Efficient Economy</v>
      </c>
      <c r="G15" s="149" t="s">
        <v>273</v>
      </c>
      <c r="H15" s="149" t="s">
        <v>148</v>
      </c>
      <c r="I15" s="149" t="s">
        <v>477</v>
      </c>
      <c r="J15" s="145" t="s">
        <v>478</v>
      </c>
    </row>
    <row r="16" spans="1:12" s="152" customFormat="1" ht="42">
      <c r="A16" s="149"/>
      <c r="B16" s="148">
        <f>B15+1</f>
        <v>6</v>
      </c>
      <c r="C16" s="149">
        <v>2008</v>
      </c>
      <c r="D16" s="149" t="s">
        <v>479</v>
      </c>
      <c r="E16" s="149" t="s">
        <v>480</v>
      </c>
      <c r="F16" s="147" t="str">
        <f t="shared" si="0"/>
        <v>David Roland-Holst - University of California, Berkeley</v>
      </c>
      <c r="G16" s="149" t="s">
        <v>481</v>
      </c>
      <c r="H16" s="149" t="s">
        <v>482</v>
      </c>
      <c r="I16" s="149" t="s">
        <v>483</v>
      </c>
      <c r="J16" s="145"/>
    </row>
    <row r="17" spans="1:10" s="152" customFormat="1" ht="28">
      <c r="A17" s="149"/>
      <c r="B17" s="148">
        <v>7</v>
      </c>
      <c r="C17" s="149">
        <v>2007</v>
      </c>
      <c r="D17" s="149" t="s">
        <v>497</v>
      </c>
      <c r="E17" s="149" t="s">
        <v>0</v>
      </c>
      <c r="F17" s="147" t="str">
        <f>D17</f>
        <v>Vestas</v>
      </c>
      <c r="G17" s="149" t="s">
        <v>498</v>
      </c>
      <c r="H17" s="149" t="s">
        <v>499</v>
      </c>
      <c r="I17" s="149" t="s">
        <v>500</v>
      </c>
      <c r="J17" s="145"/>
    </row>
    <row r="18" spans="1:10" s="152" customFormat="1" ht="42">
      <c r="A18" s="149"/>
      <c r="B18" s="148">
        <v>8</v>
      </c>
      <c r="C18" s="149">
        <v>2006</v>
      </c>
      <c r="D18" s="149" t="s">
        <v>484</v>
      </c>
      <c r="E18" s="149" t="s">
        <v>485</v>
      </c>
      <c r="F18" s="147" t="str">
        <f t="shared" si="0"/>
        <v>Winfried Hoffman, Sven Teske - European Photovoltaic Industry Association (EPIA) and Greenpeace</v>
      </c>
      <c r="G18" s="149" t="s">
        <v>486</v>
      </c>
      <c r="H18" s="149" t="s">
        <v>487</v>
      </c>
      <c r="I18" s="149" t="s">
        <v>488</v>
      </c>
      <c r="J18" s="145"/>
    </row>
    <row r="19" spans="1:10" s="152" customFormat="1" ht="84" customHeight="1">
      <c r="A19" s="149" t="s">
        <v>262</v>
      </c>
      <c r="B19" s="148">
        <v>9</v>
      </c>
      <c r="C19" s="149">
        <v>2006</v>
      </c>
      <c r="D19" s="149" t="s">
        <v>278</v>
      </c>
      <c r="E19" s="149" t="s">
        <v>279</v>
      </c>
      <c r="F19" s="147" t="str">
        <f t="shared" si="0"/>
        <v>Frithjof Staiss, et al. - Forschungsvorhaben im Auftrag des Bundesministeriums für Umwelt, Naturschutz und Reaktorsicherheit, Federal Republic of Germany.</v>
      </c>
      <c r="G19" s="149" t="s">
        <v>533</v>
      </c>
      <c r="H19" s="149" t="s">
        <v>534</v>
      </c>
      <c r="I19" s="149"/>
      <c r="J19" s="145" t="s">
        <v>489</v>
      </c>
    </row>
    <row r="20" spans="1:10" s="152" customFormat="1" ht="42">
      <c r="A20" s="149" t="s">
        <v>314</v>
      </c>
      <c r="B20" s="148">
        <v>10</v>
      </c>
      <c r="C20" s="149">
        <v>2006</v>
      </c>
      <c r="D20" s="149" t="s">
        <v>323</v>
      </c>
      <c r="E20" s="149" t="s">
        <v>320</v>
      </c>
      <c r="F20" s="147" t="str">
        <f t="shared" si="0"/>
        <v>George Sterzinger - Renewable Energy Policy Project (REPP)</v>
      </c>
      <c r="G20" s="149" t="s">
        <v>324</v>
      </c>
      <c r="H20" s="149" t="s">
        <v>490</v>
      </c>
      <c r="I20" s="149" t="s">
        <v>0</v>
      </c>
      <c r="J20" s="145" t="s">
        <v>325</v>
      </c>
    </row>
    <row r="21" spans="1:10" s="152" customFormat="1" ht="70">
      <c r="A21" s="149" t="s">
        <v>491</v>
      </c>
      <c r="B21" s="148">
        <v>11</v>
      </c>
      <c r="C21" s="149">
        <v>2006</v>
      </c>
      <c r="D21" s="149" t="s">
        <v>492</v>
      </c>
      <c r="E21" s="149" t="s">
        <v>493</v>
      </c>
      <c r="F21" s="147" t="str">
        <f t="shared" si="0"/>
        <v>L. Stoddard, J. Abiecunas, R. O'Connell - National Renewable Energy Laboratory</v>
      </c>
      <c r="G21" s="149" t="s">
        <v>494</v>
      </c>
      <c r="H21" s="149" t="s">
        <v>554</v>
      </c>
      <c r="I21" s="149" t="s">
        <v>495</v>
      </c>
      <c r="J21" s="145" t="s">
        <v>496</v>
      </c>
    </row>
    <row r="22" spans="1:10" s="152" customFormat="1" ht="42">
      <c r="A22" s="149" t="s">
        <v>501</v>
      </c>
      <c r="B22" s="148">
        <v>12</v>
      </c>
      <c r="C22" s="149">
        <v>2005</v>
      </c>
      <c r="D22" s="149" t="s">
        <v>502</v>
      </c>
      <c r="E22" s="149" t="s">
        <v>503</v>
      </c>
      <c r="F22" s="147" t="str">
        <f t="shared" si="0"/>
        <v>Doug Arent, John Tschirhart, Dick Watsson - Western Governors' Association: Geothermal Task Force</v>
      </c>
      <c r="G22" s="149" t="s">
        <v>504</v>
      </c>
      <c r="H22" s="149" t="s">
        <v>505</v>
      </c>
      <c r="I22" s="149"/>
      <c r="J22" s="145" t="s">
        <v>506</v>
      </c>
    </row>
    <row r="23" spans="1:10" s="152" customFormat="1" ht="70">
      <c r="A23" s="153"/>
      <c r="B23" s="148">
        <v>13</v>
      </c>
      <c r="C23" s="149">
        <v>2005</v>
      </c>
      <c r="D23" s="149" t="s">
        <v>507</v>
      </c>
      <c r="E23" s="149" t="s">
        <v>508</v>
      </c>
      <c r="F23" s="147" t="str">
        <f t="shared" si="0"/>
        <v>Jose Gil and Hugo Lucas - Institute for Diversification and Saving of Energy (Instituto para la Diversificacion y Ahorro de la Energia, IDAE)</v>
      </c>
      <c r="G23" s="149" t="s">
        <v>509</v>
      </c>
      <c r="H23" s="149" t="s">
        <v>532</v>
      </c>
      <c r="I23" s="149" t="s">
        <v>530</v>
      </c>
      <c r="J23" s="145" t="s">
        <v>531</v>
      </c>
    </row>
    <row r="24" spans="1:10" s="152" customFormat="1" ht="56">
      <c r="A24" s="149" t="s">
        <v>269</v>
      </c>
      <c r="B24" s="148">
        <v>14</v>
      </c>
      <c r="C24" s="149">
        <v>2004</v>
      </c>
      <c r="D24" s="149" t="s">
        <v>266</v>
      </c>
      <c r="E24" s="149" t="s">
        <v>267</v>
      </c>
      <c r="F24" s="147" t="str">
        <f t="shared" si="0"/>
        <v xml:space="preserve">Daniel M. Kammen, Kamal Kapadia, and Matthias Fripp - Energy and Resources Group, Universtiy of California, Berkeley.  </v>
      </c>
      <c r="G24" s="149" t="s">
        <v>264</v>
      </c>
      <c r="H24" s="149" t="s">
        <v>270</v>
      </c>
      <c r="I24" s="149" t="s">
        <v>271</v>
      </c>
      <c r="J24" s="145" t="s">
        <v>510</v>
      </c>
    </row>
    <row r="25" spans="1:10" s="152" customFormat="1" ht="70.5" customHeight="1">
      <c r="A25" s="149" t="s">
        <v>225</v>
      </c>
      <c r="B25" s="148">
        <v>15</v>
      </c>
      <c r="C25" s="149">
        <v>2004</v>
      </c>
      <c r="D25" s="149" t="s">
        <v>268</v>
      </c>
      <c r="E25" s="149" t="s">
        <v>313</v>
      </c>
      <c r="F25" s="147" t="str">
        <f t="shared" si="0"/>
        <v>C.R. Kenley, et al.  - Idaho National Engineering and Environmental Laboratory (INEEL) and Bechtel BWXT Idaho, LLC</v>
      </c>
      <c r="G25" s="149" t="s">
        <v>511</v>
      </c>
      <c r="H25" s="149" t="s">
        <v>512</v>
      </c>
      <c r="I25" s="149" t="s">
        <v>513</v>
      </c>
      <c r="J25" s="145" t="s">
        <v>514</v>
      </c>
    </row>
    <row r="26" spans="1:10" s="152" customFormat="1" ht="70">
      <c r="A26" s="149" t="s">
        <v>314</v>
      </c>
      <c r="B26" s="148">
        <v>16</v>
      </c>
      <c r="C26" s="149">
        <v>2002</v>
      </c>
      <c r="D26" s="149" t="s">
        <v>315</v>
      </c>
      <c r="E26" s="149" t="s">
        <v>316</v>
      </c>
      <c r="F26" s="147" t="str">
        <f t="shared" si="0"/>
        <v>Heavner and Churchill - CALPIRG (California Public Interest Research Group) Charitable Trust</v>
      </c>
      <c r="G26" s="149" t="s">
        <v>317</v>
      </c>
      <c r="H26" s="149" t="s">
        <v>515</v>
      </c>
      <c r="I26" s="149" t="s">
        <v>516</v>
      </c>
      <c r="J26" s="145" t="s">
        <v>318</v>
      </c>
    </row>
    <row r="27" spans="1:10" s="152" customFormat="1" ht="112">
      <c r="A27" s="149" t="s">
        <v>314</v>
      </c>
      <c r="B27" s="148">
        <f>B26+1</f>
        <v>17</v>
      </c>
      <c r="C27" s="149">
        <v>2001</v>
      </c>
      <c r="D27" s="149" t="s">
        <v>319</v>
      </c>
      <c r="E27" s="149" t="s">
        <v>320</v>
      </c>
      <c r="F27" s="149" t="s">
        <v>536</v>
      </c>
      <c r="G27" s="149" t="s">
        <v>321</v>
      </c>
      <c r="H27" s="149" t="s">
        <v>517</v>
      </c>
      <c r="I27" s="149" t="s">
        <v>518</v>
      </c>
      <c r="J27" s="145" t="s">
        <v>322</v>
      </c>
    </row>
    <row r="28" spans="1:10">
      <c r="A28" s="149"/>
      <c r="B28" s="148"/>
      <c r="C28" s="149"/>
      <c r="D28" s="149"/>
      <c r="E28" s="149"/>
      <c r="F28" s="149"/>
      <c r="G28" s="149"/>
      <c r="H28" s="149"/>
      <c r="I28" s="149"/>
      <c r="J28" s="145"/>
    </row>
    <row r="29" spans="1:10">
      <c r="A29" s="149"/>
      <c r="B29" s="148"/>
      <c r="C29" s="149"/>
      <c r="D29" s="149"/>
      <c r="E29" s="149"/>
      <c r="F29" s="149"/>
      <c r="G29" s="149"/>
      <c r="H29" s="149"/>
      <c r="I29" s="149"/>
      <c r="J29" s="145"/>
    </row>
    <row r="30" spans="1:10">
      <c r="A30" s="149"/>
      <c r="B30" s="148"/>
      <c r="C30" s="149"/>
      <c r="D30" s="149"/>
      <c r="E30" s="149"/>
      <c r="F30" s="149"/>
      <c r="G30" s="149"/>
      <c r="H30" s="149"/>
      <c r="I30" s="149"/>
      <c r="J30" s="145"/>
    </row>
    <row r="31" spans="1:10" s="152" customFormat="1">
      <c r="A31" s="145"/>
      <c r="B31" s="155"/>
      <c r="C31" s="145"/>
      <c r="D31" s="145"/>
      <c r="E31" s="145"/>
      <c r="F31" s="145"/>
      <c r="G31" s="145"/>
      <c r="H31" s="145"/>
      <c r="I31" s="145"/>
      <c r="J31" s="145"/>
    </row>
    <row r="32" spans="1:10">
      <c r="A32" s="154"/>
      <c r="B32" s="155"/>
      <c r="C32" s="145"/>
      <c r="D32" s="145"/>
      <c r="E32" s="145"/>
      <c r="F32" s="145"/>
      <c r="G32" s="145"/>
      <c r="H32" s="145"/>
      <c r="I32" s="145"/>
      <c r="J32" s="145"/>
    </row>
    <row r="33" spans="1:10">
      <c r="A33" s="154"/>
      <c r="B33" s="155"/>
      <c r="C33" s="145"/>
      <c r="D33" s="145"/>
      <c r="E33" s="145"/>
      <c r="F33" s="145"/>
      <c r="G33" s="145"/>
      <c r="H33" s="145"/>
      <c r="I33" s="145"/>
      <c r="J33" s="145"/>
    </row>
    <row r="34" spans="1:10">
      <c r="A34" s="154"/>
      <c r="B34" s="155"/>
      <c r="C34" s="145"/>
      <c r="D34" s="145"/>
      <c r="E34" s="145"/>
      <c r="F34" s="145"/>
      <c r="G34" s="145"/>
      <c r="H34" s="145"/>
      <c r="I34" s="145"/>
      <c r="J34" s="145"/>
    </row>
  </sheetData>
  <mergeCells count="1">
    <mergeCell ref="B1:L9"/>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R137"/>
  <sheetViews>
    <sheetView topLeftCell="A32" zoomScale="125" zoomScaleNormal="125" zoomScalePageLayoutView="125" workbookViewId="0">
      <pane xSplit="1" topLeftCell="B1" activePane="topRight" state="frozen"/>
      <selection activeCell="A33" sqref="A33"/>
      <selection pane="topRight" activeCell="AM36" sqref="AM36"/>
    </sheetView>
  </sheetViews>
  <sheetFormatPr baseColWidth="10" defaultColWidth="12.5" defaultRowHeight="16" x14ac:dyDescent="0"/>
  <cols>
    <col min="1" max="1" width="47.33203125" style="5" customWidth="1"/>
    <col min="2" max="2" width="13.6640625" style="309" bestFit="1" customWidth="1"/>
    <col min="3" max="6" width="13.1640625" style="309" bestFit="1" customWidth="1"/>
    <col min="7" max="7" width="13.1640625" style="264" bestFit="1" customWidth="1"/>
    <col min="8" max="19" width="14.5" style="264" bestFit="1" customWidth="1"/>
    <col min="20" max="21" width="16.5" style="264" bestFit="1" customWidth="1"/>
    <col min="22" max="37" width="12.5" style="264"/>
    <col min="38" max="16384" width="12.5" style="5"/>
  </cols>
  <sheetData>
    <row r="1" spans="1:37">
      <c r="A1" s="233" t="s">
        <v>63</v>
      </c>
    </row>
    <row r="2" spans="1:37">
      <c r="A2" s="237" t="s">
        <v>702</v>
      </c>
    </row>
    <row r="3" spans="1:37">
      <c r="A3" s="237" t="s">
        <v>654</v>
      </c>
    </row>
    <row r="4" spans="1:37">
      <c r="A4" s="237" t="s">
        <v>589</v>
      </c>
    </row>
    <row r="6" spans="1:37">
      <c r="A6" s="6" t="s">
        <v>64</v>
      </c>
    </row>
    <row r="7" spans="1:37">
      <c r="A7" s="6" t="s">
        <v>65</v>
      </c>
    </row>
    <row r="8" spans="1:37">
      <c r="A8" s="78" t="s">
        <v>280</v>
      </c>
    </row>
    <row r="10" spans="1:37">
      <c r="AK10" s="265"/>
    </row>
    <row r="11" spans="1:37">
      <c r="B11" s="329" t="s">
        <v>7</v>
      </c>
      <c r="C11" s="329" t="s">
        <v>8</v>
      </c>
      <c r="D11" s="329" t="s">
        <v>9</v>
      </c>
      <c r="E11" s="329" t="s">
        <v>10</v>
      </c>
      <c r="F11" s="329" t="s">
        <v>11</v>
      </c>
      <c r="G11" s="284" t="s">
        <v>12</v>
      </c>
      <c r="H11" s="284" t="s">
        <v>13</v>
      </c>
      <c r="I11" s="284" t="s">
        <v>14</v>
      </c>
      <c r="J11" s="284" t="s">
        <v>15</v>
      </c>
      <c r="K11" s="284" t="s">
        <v>16</v>
      </c>
      <c r="L11" s="284" t="s">
        <v>17</v>
      </c>
      <c r="M11" s="284" t="s">
        <v>18</v>
      </c>
      <c r="N11" s="284" t="s">
        <v>19</v>
      </c>
      <c r="O11" s="284" t="s">
        <v>20</v>
      </c>
      <c r="P11" s="284" t="s">
        <v>21</v>
      </c>
      <c r="Q11" s="284" t="s">
        <v>22</v>
      </c>
      <c r="R11" s="284" t="s">
        <v>23</v>
      </c>
      <c r="S11" s="284" t="s">
        <v>24</v>
      </c>
      <c r="T11" s="284" t="s">
        <v>25</v>
      </c>
      <c r="U11" s="284" t="s">
        <v>26</v>
      </c>
      <c r="V11" s="284" t="s">
        <v>27</v>
      </c>
      <c r="W11" s="284" t="s">
        <v>28</v>
      </c>
      <c r="X11" s="284" t="s">
        <v>29</v>
      </c>
      <c r="Y11" s="284" t="s">
        <v>30</v>
      </c>
      <c r="Z11" s="284" t="s">
        <v>31</v>
      </c>
      <c r="AA11" s="284" t="s">
        <v>579</v>
      </c>
      <c r="AB11" s="284" t="s">
        <v>580</v>
      </c>
      <c r="AC11" s="284" t="s">
        <v>581</v>
      </c>
      <c r="AD11" s="284" t="s">
        <v>582</v>
      </c>
      <c r="AE11" s="284" t="s">
        <v>583</v>
      </c>
      <c r="AF11" s="284" t="s">
        <v>584</v>
      </c>
      <c r="AG11" s="284" t="s">
        <v>585</v>
      </c>
      <c r="AH11" s="284" t="s">
        <v>586</v>
      </c>
      <c r="AI11" s="284" t="s">
        <v>587</v>
      </c>
      <c r="AJ11" s="284" t="s">
        <v>588</v>
      </c>
      <c r="AK11" s="284" t="s">
        <v>591</v>
      </c>
    </row>
    <row r="14" spans="1:37">
      <c r="A14" s="6" t="s">
        <v>66</v>
      </c>
    </row>
    <row r="16" spans="1:37">
      <c r="A16" s="6" t="s">
        <v>32</v>
      </c>
    </row>
    <row r="17" spans="1:38" s="216" customFormat="1">
      <c r="A17" s="215" t="s">
        <v>67</v>
      </c>
      <c r="B17" s="309"/>
      <c r="C17" s="309"/>
      <c r="D17" s="309"/>
      <c r="E17" s="309"/>
      <c r="F17" s="309"/>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row>
    <row r="18" spans="1:38" s="216" customFormat="1">
      <c r="A18" s="215" t="s">
        <v>68</v>
      </c>
      <c r="B18"/>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1:38" s="216" customFormat="1">
      <c r="A19" s="215" t="s">
        <v>69</v>
      </c>
      <c r="B19"/>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1:38" s="216" customFormat="1">
      <c r="A20" s="215" t="s">
        <v>70</v>
      </c>
      <c r="B20"/>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1:38" s="216" customFormat="1">
      <c r="A21" s="215" t="s">
        <v>71</v>
      </c>
      <c r="B21"/>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1:38" s="216" customFormat="1">
      <c r="A22" s="215" t="s">
        <v>72</v>
      </c>
      <c r="B22"/>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1:38" s="216" customFormat="1">
      <c r="A23" s="215" t="s">
        <v>73</v>
      </c>
      <c r="B2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1:38" s="216" customFormat="1">
      <c r="A24" s="215" t="s">
        <v>74</v>
      </c>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38" s="216" customFormat="1">
      <c r="A25" s="215" t="s">
        <v>54</v>
      </c>
      <c r="B25"/>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1:38" s="216" customFormat="1">
      <c r="A26" s="215" t="s">
        <v>75</v>
      </c>
      <c r="B26"/>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1:38" s="216" customFormat="1">
      <c r="A27" s="215" t="s">
        <v>68</v>
      </c>
      <c r="B27"/>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1:38" s="216" customFormat="1">
      <c r="A28" s="215" t="s">
        <v>69</v>
      </c>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1:38" s="216" customFormat="1">
      <c r="A29" s="215" t="s">
        <v>76</v>
      </c>
      <c r="B29"/>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1:38" s="216" customFormat="1">
      <c r="A30" s="215" t="s">
        <v>77</v>
      </c>
      <c r="B30"/>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1:38" s="216" customFormat="1">
      <c r="A31" s="215" t="s">
        <v>54</v>
      </c>
      <c r="B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1:38" s="216" customFormat="1">
      <c r="A32" s="215" t="s">
        <v>78</v>
      </c>
      <c r="B3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1:44" s="216" customFormat="1">
      <c r="A33" s="215" t="s">
        <v>79</v>
      </c>
      <c r="B3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1:44" s="216" customForma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s="218" t="s">
        <v>754</v>
      </c>
    </row>
    <row r="35" spans="1:44" s="216" customFormat="1">
      <c r="A35" s="215" t="s">
        <v>744</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s="220"/>
    </row>
    <row r="36" spans="1:44" s="216" customFormat="1">
      <c r="A36" s="409" t="s">
        <v>717</v>
      </c>
      <c r="G36" s="407">
        <v>591.32365499999992</v>
      </c>
      <c r="H36" s="407">
        <v>509.42181400000004</v>
      </c>
      <c r="I36" s="407">
        <v>544.71841900000004</v>
      </c>
      <c r="J36" s="407">
        <v>561.11935800000003</v>
      </c>
      <c r="K36" s="407">
        <v>531.76098999999999</v>
      </c>
      <c r="L36" s="407">
        <v>510.91964999999999</v>
      </c>
      <c r="M36" s="407">
        <v>537.86029799999994</v>
      </c>
      <c r="N36" s="407">
        <v>547.55998</v>
      </c>
      <c r="O36" s="407">
        <v>552.56318999999996</v>
      </c>
      <c r="P36" s="407">
        <v>551.15020000000004</v>
      </c>
      <c r="Q36" s="407">
        <v>555.767563</v>
      </c>
      <c r="R36" s="407">
        <v>560.07731699999999</v>
      </c>
      <c r="S36" s="407">
        <v>560.31770400000005</v>
      </c>
      <c r="T36" s="407">
        <v>567.56789800000001</v>
      </c>
      <c r="U36" s="407">
        <v>573.14546299999995</v>
      </c>
      <c r="V36" s="407">
        <v>572.73936500000002</v>
      </c>
      <c r="W36" s="407">
        <v>572.85958900000003</v>
      </c>
      <c r="X36" s="407">
        <v>572.77831199999991</v>
      </c>
      <c r="Y36" s="407">
        <v>570.66424699999993</v>
      </c>
      <c r="Z36" s="407">
        <v>571.13212999999996</v>
      </c>
      <c r="AA36" s="407">
        <v>570.87854900000002</v>
      </c>
      <c r="AB36" s="407">
        <v>570.68813399999999</v>
      </c>
      <c r="AC36" s="407">
        <v>570.11575700000003</v>
      </c>
      <c r="AD36" s="407">
        <v>569.64642000000003</v>
      </c>
      <c r="AE36" s="407">
        <v>569.13610000000006</v>
      </c>
      <c r="AF36" s="407">
        <v>568.62970300000006</v>
      </c>
      <c r="AG36" s="407">
        <v>568.15519599999993</v>
      </c>
      <c r="AH36" s="407">
        <v>567.67633899999998</v>
      </c>
      <c r="AI36" s="407">
        <v>567.67183300000011</v>
      </c>
      <c r="AJ36" s="407">
        <v>567.66442400000005</v>
      </c>
      <c r="AK36" s="411">
        <v>0.03</v>
      </c>
      <c r="AL36" s="423" t="s">
        <v>68</v>
      </c>
      <c r="AM36" s="426">
        <v>4.2644365022369263E-2</v>
      </c>
    </row>
    <row r="37" spans="1:44" s="216" customFormat="1">
      <c r="A37" s="409" t="s">
        <v>718</v>
      </c>
      <c r="G37" s="407">
        <v>7.5450270000000002</v>
      </c>
      <c r="H37" s="407">
        <v>4.7830259999999996</v>
      </c>
      <c r="I37" s="407">
        <v>3.9312390000000001</v>
      </c>
      <c r="J37" s="407">
        <v>3.9871850000000002</v>
      </c>
      <c r="K37" s="407">
        <v>3.864411</v>
      </c>
      <c r="L37" s="407">
        <v>3.6898569999999995</v>
      </c>
      <c r="M37" s="407">
        <v>2.2080980000000001</v>
      </c>
      <c r="N37" s="407">
        <v>2.2466269999999997</v>
      </c>
      <c r="O37" s="407">
        <v>2.2673010000000002</v>
      </c>
      <c r="P37" s="407">
        <v>2.263798</v>
      </c>
      <c r="Q37" s="407">
        <v>2.2854749999999999</v>
      </c>
      <c r="R37" s="407">
        <v>2.3014510000000001</v>
      </c>
      <c r="S37" s="407">
        <v>2.312357</v>
      </c>
      <c r="T37" s="407">
        <v>2.342514</v>
      </c>
      <c r="U37" s="407">
        <v>2.3751979999999997</v>
      </c>
      <c r="V37" s="407">
        <v>2.3506619999999998</v>
      </c>
      <c r="W37" s="407">
        <v>2.3439230000000002</v>
      </c>
      <c r="X37" s="407">
        <v>2.3437229999999998</v>
      </c>
      <c r="Y37" s="407">
        <v>2.3410069999999998</v>
      </c>
      <c r="Z37" s="407">
        <v>2.34361</v>
      </c>
      <c r="AA37" s="407">
        <v>2.3431340000000001</v>
      </c>
      <c r="AB37" s="407">
        <v>2.3426260000000001</v>
      </c>
      <c r="AC37" s="407">
        <v>2.3402319999999999</v>
      </c>
      <c r="AD37" s="407">
        <v>2.3382579999999997</v>
      </c>
      <c r="AE37" s="407">
        <v>2.3362100000000003</v>
      </c>
      <c r="AF37" s="407">
        <v>2.3342360000000002</v>
      </c>
      <c r="AG37" s="407">
        <v>2.3325259999999997</v>
      </c>
      <c r="AH37" s="407">
        <v>2.3302890000000001</v>
      </c>
      <c r="AI37" s="407">
        <v>2.3299530000000002</v>
      </c>
      <c r="AJ37" s="407">
        <v>2.329879</v>
      </c>
      <c r="AK37" s="411">
        <v>-3.7999999999999999E-2</v>
      </c>
      <c r="AL37" s="424" t="s">
        <v>69</v>
      </c>
      <c r="AM37" s="426">
        <v>1.1428820940364539E-2</v>
      </c>
    </row>
    <row r="38" spans="1:44" s="216" customFormat="1">
      <c r="A38" s="409" t="s">
        <v>719</v>
      </c>
      <c r="G38" s="407">
        <v>402.35190399999999</v>
      </c>
      <c r="H38" s="407">
        <v>478.36942699999997</v>
      </c>
      <c r="I38" s="407">
        <v>427.04843500000004</v>
      </c>
      <c r="J38" s="407">
        <v>407.02899500000001</v>
      </c>
      <c r="K38" s="407">
        <v>439.14184499999999</v>
      </c>
      <c r="L38" s="407">
        <v>479.20338900000002</v>
      </c>
      <c r="M38" s="407">
        <v>457.72134399999999</v>
      </c>
      <c r="N38" s="407">
        <v>452.18495200000001</v>
      </c>
      <c r="O38" s="407">
        <v>459.638892</v>
      </c>
      <c r="P38" s="407">
        <v>473.59913699999998</v>
      </c>
      <c r="Q38" s="407">
        <v>480.78644199999997</v>
      </c>
      <c r="R38" s="407">
        <v>490.88744700000001</v>
      </c>
      <c r="S38" s="407">
        <v>509.69309999999996</v>
      </c>
      <c r="T38" s="407">
        <v>521.27419799999996</v>
      </c>
      <c r="U38" s="407">
        <v>527.56322499999999</v>
      </c>
      <c r="V38" s="407">
        <v>536.10758199999998</v>
      </c>
      <c r="W38" s="407">
        <v>544.45078899999999</v>
      </c>
      <c r="X38" s="407">
        <v>554.19654500000001</v>
      </c>
      <c r="Y38" s="407">
        <v>558.75119099999995</v>
      </c>
      <c r="Z38" s="407">
        <v>567.44431999999995</v>
      </c>
      <c r="AA38" s="407">
        <v>571.17699799999991</v>
      </c>
      <c r="AB38" s="407">
        <v>577.43432899999993</v>
      </c>
      <c r="AC38" s="407">
        <v>581.95111599999996</v>
      </c>
      <c r="AD38" s="407">
        <v>588.207446</v>
      </c>
      <c r="AE38" s="407">
        <v>598.09193800000003</v>
      </c>
      <c r="AF38" s="407">
        <v>606.92750899999999</v>
      </c>
      <c r="AG38" s="407">
        <v>620.93495200000007</v>
      </c>
      <c r="AH38" s="407">
        <v>636.46229600000015</v>
      </c>
      <c r="AI38" s="407">
        <v>648.501305</v>
      </c>
      <c r="AJ38" s="407">
        <v>657.86421500000006</v>
      </c>
      <c r="AK38" s="411">
        <v>-4.0000000000000001E-3</v>
      </c>
      <c r="AL38" s="424" t="s">
        <v>76</v>
      </c>
      <c r="AM38" s="426">
        <v>2.5217567817658937E-2</v>
      </c>
    </row>
    <row r="39" spans="1:44" s="216" customFormat="1">
      <c r="A39" s="409" t="s">
        <v>720</v>
      </c>
      <c r="G39" s="407">
        <v>210.65300099999999</v>
      </c>
      <c r="H39" s="407">
        <v>208.70800600000001</v>
      </c>
      <c r="I39" s="407">
        <v>205.375045</v>
      </c>
      <c r="J39" s="407">
        <v>205.984556</v>
      </c>
      <c r="K39" s="407">
        <v>213.80442800000003</v>
      </c>
      <c r="L39" s="407">
        <v>222.86256099999997</v>
      </c>
      <c r="M39" s="407">
        <v>231.66724999999997</v>
      </c>
      <c r="N39" s="407">
        <v>238.50375199999999</v>
      </c>
      <c r="O39" s="407">
        <v>239.69814500000001</v>
      </c>
      <c r="P39" s="407">
        <v>239.698151</v>
      </c>
      <c r="Q39" s="407">
        <v>239.698151</v>
      </c>
      <c r="R39" s="407">
        <v>239.698149</v>
      </c>
      <c r="S39" s="407">
        <v>239.698151</v>
      </c>
      <c r="T39" s="407">
        <v>239.69814500000001</v>
      </c>
      <c r="U39" s="407">
        <v>239.69862999999998</v>
      </c>
      <c r="V39" s="407">
        <v>239.698149</v>
      </c>
      <c r="W39" s="407">
        <v>239.69814700000001</v>
      </c>
      <c r="X39" s="407">
        <v>239.69814700000001</v>
      </c>
      <c r="Y39" s="407">
        <v>239.698151</v>
      </c>
      <c r="Z39" s="407">
        <v>239.69814700000001</v>
      </c>
      <c r="AA39" s="407">
        <v>239.69814700000001</v>
      </c>
      <c r="AB39" s="407">
        <v>239.698149</v>
      </c>
      <c r="AC39" s="407">
        <v>239.69814400000001</v>
      </c>
      <c r="AD39" s="407">
        <v>239.69814700000001</v>
      </c>
      <c r="AE39" s="407">
        <v>239.698151</v>
      </c>
      <c r="AF39" s="407">
        <v>239.698151</v>
      </c>
      <c r="AG39" s="407">
        <v>239.698151</v>
      </c>
      <c r="AH39" s="407">
        <v>239.698151</v>
      </c>
      <c r="AI39" s="407">
        <v>239.69814700000001</v>
      </c>
      <c r="AJ39" s="407">
        <v>239.69814700000001</v>
      </c>
      <c r="AK39" s="411">
        <v>-5.0000000000000001E-3</v>
      </c>
      <c r="AL39" s="424" t="s">
        <v>739</v>
      </c>
      <c r="AM39" s="426">
        <v>0</v>
      </c>
    </row>
    <row r="40" spans="1:44" s="216" customFormat="1">
      <c r="A40" s="409" t="s">
        <v>721</v>
      </c>
      <c r="G40" s="407">
        <v>1.157562</v>
      </c>
      <c r="H40" s="407">
        <v>1.1387160000000001</v>
      </c>
      <c r="I40" s="407">
        <v>-1.0565609999999999</v>
      </c>
      <c r="J40" s="407">
        <v>-1.054187</v>
      </c>
      <c r="K40" s="407">
        <v>-1.0541860000000001</v>
      </c>
      <c r="L40" s="407">
        <v>-1.053023</v>
      </c>
      <c r="M40" s="407">
        <v>-1.053023</v>
      </c>
      <c r="N40" s="407">
        <v>-1.0525070000000001</v>
      </c>
      <c r="O40" s="407">
        <v>-1.0519419999999999</v>
      </c>
      <c r="P40" s="407">
        <v>-1.049839</v>
      </c>
      <c r="Q40" s="407">
        <v>-1.04861</v>
      </c>
      <c r="R40" s="407">
        <v>-1.047512</v>
      </c>
      <c r="S40" s="407">
        <v>-1.0474729999999999</v>
      </c>
      <c r="T40" s="407">
        <v>-1.0474319999999999</v>
      </c>
      <c r="U40" s="407">
        <v>-1.042886</v>
      </c>
      <c r="V40" s="407">
        <v>-1.040087</v>
      </c>
      <c r="W40" s="407">
        <v>-1.0376000000000001</v>
      </c>
      <c r="X40" s="407">
        <v>-1.0325770000000001</v>
      </c>
      <c r="Y40" s="407">
        <v>-1.029685</v>
      </c>
      <c r="Z40" s="407">
        <v>-1.0285440000000001</v>
      </c>
      <c r="AA40" s="407">
        <v>-1.0275510000000001</v>
      </c>
      <c r="AB40" s="407">
        <v>-1.0269680000000001</v>
      </c>
      <c r="AC40" s="407">
        <v>-1.026475</v>
      </c>
      <c r="AD40" s="407">
        <v>-1.0257160000000001</v>
      </c>
      <c r="AE40" s="407">
        <v>-1.025215</v>
      </c>
      <c r="AF40" s="407">
        <v>-1.024686</v>
      </c>
      <c r="AG40" s="407">
        <v>-1.0236839999999998</v>
      </c>
      <c r="AH40" s="407">
        <v>-1.0230999999999999</v>
      </c>
      <c r="AI40" s="407">
        <v>-1.0225420000000001</v>
      </c>
      <c r="AJ40" s="407">
        <v>-1.021506</v>
      </c>
      <c r="AK40" s="411">
        <v>1E-3</v>
      </c>
      <c r="AL40" s="425" t="s">
        <v>225</v>
      </c>
      <c r="AM40" s="426">
        <v>7.2513766147968867E-2</v>
      </c>
    </row>
    <row r="41" spans="1:44" s="216" customFormat="1">
      <c r="A41" s="409" t="s">
        <v>722</v>
      </c>
      <c r="G41" s="407">
        <v>90.044575999999992</v>
      </c>
      <c r="H41" s="407">
        <v>87.587425999999994</v>
      </c>
      <c r="I41" s="407">
        <v>103.043627</v>
      </c>
      <c r="J41" s="407">
        <v>106.50949800000001</v>
      </c>
      <c r="K41" s="407">
        <v>120.12401500000001</v>
      </c>
      <c r="L41" s="407">
        <v>129.478813</v>
      </c>
      <c r="M41" s="407">
        <v>131.505672</v>
      </c>
      <c r="N41" s="407">
        <v>132.48445699999999</v>
      </c>
      <c r="O41" s="407">
        <v>132.887441</v>
      </c>
      <c r="P41" s="407">
        <v>133.36361600000001</v>
      </c>
      <c r="Q41" s="407">
        <v>134.32344000000001</v>
      </c>
      <c r="R41" s="407">
        <v>134.88210699999999</v>
      </c>
      <c r="S41" s="407">
        <v>137.740183</v>
      </c>
      <c r="T41" s="407">
        <v>138.51680100000002</v>
      </c>
      <c r="U41" s="407">
        <v>141.88022899999999</v>
      </c>
      <c r="V41" s="407">
        <v>142.50879100000003</v>
      </c>
      <c r="W41" s="407">
        <v>143.27350600000003</v>
      </c>
      <c r="X41" s="407">
        <v>144.13138799999999</v>
      </c>
      <c r="Y41" s="407">
        <v>148.44254699999999</v>
      </c>
      <c r="Z41" s="407">
        <v>149.46138299999998</v>
      </c>
      <c r="AA41" s="407">
        <v>150.02957600000002</v>
      </c>
      <c r="AB41" s="407">
        <v>150.56626400000002</v>
      </c>
      <c r="AC41" s="407">
        <v>150.808009</v>
      </c>
      <c r="AD41" s="407">
        <v>151.33506200000002</v>
      </c>
      <c r="AE41" s="407">
        <v>152.14981700000001</v>
      </c>
      <c r="AF41" s="407">
        <v>152.74097999999998</v>
      </c>
      <c r="AG41" s="407">
        <v>153.329735</v>
      </c>
      <c r="AH41" s="407">
        <v>154.036767</v>
      </c>
      <c r="AI41" s="407">
        <v>154.81488899999999</v>
      </c>
      <c r="AJ41" s="407">
        <v>155.80237199999999</v>
      </c>
      <c r="AK41" s="411">
        <v>2.1000000000000001E-2</v>
      </c>
      <c r="AL41" s="425" t="s">
        <v>379</v>
      </c>
      <c r="AM41" s="426">
        <v>7.2501705651810064E-2</v>
      </c>
    </row>
    <row r="42" spans="1:44" s="216" customFormat="1">
      <c r="A42" s="409" t="s">
        <v>723</v>
      </c>
      <c r="G42" s="407">
        <v>0</v>
      </c>
      <c r="H42" s="407">
        <v>0</v>
      </c>
      <c r="I42" s="407">
        <v>0</v>
      </c>
      <c r="J42" s="407">
        <v>0</v>
      </c>
      <c r="K42" s="407">
        <v>0.138347</v>
      </c>
      <c r="L42" s="407">
        <v>0.17615500000000001</v>
      </c>
      <c r="M42" s="407">
        <v>0.22020400000000001</v>
      </c>
      <c r="N42" s="407">
        <v>0.26187199999999999</v>
      </c>
      <c r="O42" s="407">
        <v>0.30839099999999997</v>
      </c>
      <c r="P42" s="407">
        <v>0.41514600000000002</v>
      </c>
      <c r="Q42" s="407">
        <v>0.53129399999999993</v>
      </c>
      <c r="R42" s="407">
        <v>0.65826099999999999</v>
      </c>
      <c r="S42" s="407">
        <v>0.79062100000000002</v>
      </c>
      <c r="T42" s="407">
        <v>0.84659699999999993</v>
      </c>
      <c r="U42" s="407">
        <v>0.89368700000000001</v>
      </c>
      <c r="V42" s="407">
        <v>0.94406099999999993</v>
      </c>
      <c r="W42" s="407">
        <v>0.99521099999999996</v>
      </c>
      <c r="X42" s="407">
        <v>1.0492859999999999</v>
      </c>
      <c r="Y42" s="407">
        <v>1.104536</v>
      </c>
      <c r="Z42" s="407">
        <v>1.1563030000000001</v>
      </c>
      <c r="AA42" s="407">
        <v>1.2066940000000002</v>
      </c>
      <c r="AB42" s="407">
        <v>1.2582610000000001</v>
      </c>
      <c r="AC42" s="407">
        <v>1.3122440000000002</v>
      </c>
      <c r="AD42" s="407">
        <v>1.4250240000000001</v>
      </c>
      <c r="AE42" s="407">
        <v>1.534551</v>
      </c>
      <c r="AF42" s="407">
        <v>1.6419260000000002</v>
      </c>
      <c r="AG42" s="407">
        <v>1.7553640000000001</v>
      </c>
      <c r="AH42" s="407">
        <v>1.8796810000000002</v>
      </c>
      <c r="AI42" s="407">
        <v>2.012562</v>
      </c>
      <c r="AJ42" s="407">
        <v>2.1356309999999996</v>
      </c>
      <c r="AK42" s="407" t="s">
        <v>41</v>
      </c>
      <c r="AL42" s="425" t="s">
        <v>740</v>
      </c>
      <c r="AM42" s="426">
        <v>3.007082900484187E-2</v>
      </c>
    </row>
    <row r="43" spans="1:44" s="216" customFormat="1">
      <c r="A43" s="410" t="s">
        <v>724</v>
      </c>
      <c r="G43" s="408">
        <v>1303.0757450000001</v>
      </c>
      <c r="H43" s="408">
        <v>1290.008423</v>
      </c>
      <c r="I43" s="408">
        <v>1283.0601799999999</v>
      </c>
      <c r="J43" s="408">
        <v>1283.5754239999999</v>
      </c>
      <c r="K43" s="408">
        <v>1307.7798919999998</v>
      </c>
      <c r="L43" s="408">
        <v>1345.2773740000002</v>
      </c>
      <c r="M43" s="408">
        <v>1360.129852</v>
      </c>
      <c r="N43" s="408">
        <v>1372.1891479999999</v>
      </c>
      <c r="O43" s="408">
        <v>1386.3114629999998</v>
      </c>
      <c r="P43" s="408">
        <v>1399.4402150000001</v>
      </c>
      <c r="Q43" s="408">
        <v>1412.343764</v>
      </c>
      <c r="R43" s="408">
        <v>1427.4572440000002</v>
      </c>
      <c r="S43" s="408">
        <v>1449.5046699999998</v>
      </c>
      <c r="T43" s="408">
        <v>1469.198746</v>
      </c>
      <c r="U43" s="408">
        <v>1484.5135330000001</v>
      </c>
      <c r="V43" s="408">
        <v>1493.308548</v>
      </c>
      <c r="W43" s="408">
        <v>1502.5835729999999</v>
      </c>
      <c r="X43" s="408">
        <v>1513.1648399999999</v>
      </c>
      <c r="Y43" s="408">
        <v>1519.9720609999999</v>
      </c>
      <c r="Z43" s="408">
        <v>1530.2073520000001</v>
      </c>
      <c r="AA43" s="408">
        <v>1534.3055880000002</v>
      </c>
      <c r="AB43" s="408">
        <v>1540.9608000000001</v>
      </c>
      <c r="AC43" s="408">
        <v>1545.1990959999998</v>
      </c>
      <c r="AD43" s="408">
        <v>1551.624648</v>
      </c>
      <c r="AE43" s="408">
        <v>1561.9216140000001</v>
      </c>
      <c r="AF43" s="408">
        <v>1570.9478590000001</v>
      </c>
      <c r="AG43" s="408">
        <v>1585.1822809999999</v>
      </c>
      <c r="AH43" s="408">
        <v>1601.06041</v>
      </c>
      <c r="AI43" s="408">
        <v>1614.0061479999999</v>
      </c>
      <c r="AJ43" s="408">
        <v>1624.4732049999998</v>
      </c>
      <c r="AK43" s="412">
        <v>1E-3</v>
      </c>
      <c r="AL43" s="425" t="s">
        <v>741</v>
      </c>
      <c r="AM43" s="426">
        <v>1.6158752314305247E-2</v>
      </c>
    </row>
    <row r="44" spans="1:44" s="216" customFormat="1">
      <c r="A44" s="215" t="s">
        <v>54</v>
      </c>
      <c r="B44"/>
      <c r="C44"/>
      <c r="D44"/>
      <c r="E44"/>
      <c r="F44"/>
      <c r="G44"/>
      <c r="H44"/>
      <c r="I44"/>
      <c r="J44"/>
      <c r="K44"/>
      <c r="L44"/>
      <c r="M44"/>
      <c r="N44"/>
      <c r="O44"/>
      <c r="P44"/>
      <c r="Q44"/>
      <c r="R44"/>
      <c r="S44"/>
      <c r="T44"/>
      <c r="U44"/>
      <c r="V44"/>
      <c r="W44"/>
      <c r="X44"/>
      <c r="Y44"/>
      <c r="Z44"/>
      <c r="AA44"/>
      <c r="AB44"/>
      <c r="AC44"/>
      <c r="AD44"/>
      <c r="AE44"/>
      <c r="AF44"/>
      <c r="AG44"/>
      <c r="AH44"/>
      <c r="AI44"/>
      <c r="AJ44"/>
      <c r="AK44"/>
      <c r="AL44" s="417" t="s">
        <v>58</v>
      </c>
      <c r="AM44" s="426">
        <v>4.3329501558824465E-2</v>
      </c>
    </row>
    <row r="45" spans="1:44" s="216" customFormat="1">
      <c r="A45" s="215" t="s">
        <v>80</v>
      </c>
      <c r="B45"/>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1:44" s="216" customFormat="1">
      <c r="A46" s="215" t="s">
        <v>81</v>
      </c>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44" s="218" customFormat="1">
      <c r="B47" s="329" t="s">
        <v>7</v>
      </c>
      <c r="C47" s="329" t="s">
        <v>8</v>
      </c>
      <c r="D47" s="329" t="s">
        <v>9</v>
      </c>
      <c r="E47" s="329" t="s">
        <v>10</v>
      </c>
      <c r="F47" s="329" t="s">
        <v>11</v>
      </c>
      <c r="G47" s="288" t="s">
        <v>12</v>
      </c>
      <c r="H47" s="288" t="s">
        <v>13</v>
      </c>
      <c r="I47" s="288" t="s">
        <v>14</v>
      </c>
      <c r="J47" s="288" t="s">
        <v>15</v>
      </c>
      <c r="K47" s="288" t="s">
        <v>16</v>
      </c>
      <c r="L47" s="288" t="s">
        <v>17</v>
      </c>
      <c r="M47" s="288" t="s">
        <v>18</v>
      </c>
      <c r="N47" s="288" t="s">
        <v>19</v>
      </c>
      <c r="O47" s="288" t="s">
        <v>20</v>
      </c>
      <c r="P47" s="288" t="s">
        <v>21</v>
      </c>
      <c r="Q47" s="288" t="s">
        <v>22</v>
      </c>
      <c r="R47" s="288" t="s">
        <v>23</v>
      </c>
      <c r="S47" s="288" t="s">
        <v>24</v>
      </c>
      <c r="T47" s="288" t="s">
        <v>25</v>
      </c>
      <c r="U47" s="288" t="s">
        <v>26</v>
      </c>
      <c r="V47" s="288" t="s">
        <v>27</v>
      </c>
      <c r="W47" s="288" t="s">
        <v>28</v>
      </c>
      <c r="X47" s="288" t="s">
        <v>29</v>
      </c>
      <c r="Y47" s="288" t="s">
        <v>30</v>
      </c>
      <c r="Z47" s="288" t="s">
        <v>31</v>
      </c>
      <c r="AA47" s="288" t="s">
        <v>579</v>
      </c>
      <c r="AB47" s="288" t="s">
        <v>580</v>
      </c>
      <c r="AC47" s="288" t="s">
        <v>581</v>
      </c>
      <c r="AD47" s="288" t="s">
        <v>582</v>
      </c>
      <c r="AE47" s="288" t="s">
        <v>583</v>
      </c>
      <c r="AF47" s="288" t="s">
        <v>584</v>
      </c>
      <c r="AG47" s="288" t="s">
        <v>585</v>
      </c>
      <c r="AH47" s="288" t="s">
        <v>586</v>
      </c>
      <c r="AI47" s="288" t="s">
        <v>587</v>
      </c>
      <c r="AJ47" s="288" t="s">
        <v>588</v>
      </c>
      <c r="AK47" s="288" t="s">
        <v>591</v>
      </c>
    </row>
    <row r="48" spans="1:44" s="220" customFormat="1">
      <c r="A48" s="219" t="s">
        <v>753</v>
      </c>
      <c r="B48" s="330"/>
      <c r="C48" s="330"/>
      <c r="D48" s="330"/>
      <c r="E48" s="330"/>
      <c r="F48" s="330"/>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M48" s="220" t="s">
        <v>755</v>
      </c>
      <c r="AN48" s="220">
        <v>2006</v>
      </c>
      <c r="AO48" s="220">
        <v>2007</v>
      </c>
      <c r="AP48" s="220">
        <v>2008</v>
      </c>
      <c r="AQ48" s="220">
        <v>2009</v>
      </c>
      <c r="AR48" s="220">
        <v>2010</v>
      </c>
    </row>
    <row r="49" spans="1:44" s="220" customFormat="1">
      <c r="A49" s="219" t="s">
        <v>68</v>
      </c>
      <c r="B49" s="413">
        <f>AN51</f>
        <v>24.183</v>
      </c>
      <c r="C49" s="413">
        <f t="shared" ref="C49:F49" si="0">AO51</f>
        <v>25.744</v>
      </c>
      <c r="D49" s="413">
        <f t="shared" si="0"/>
        <v>26.114999999999998</v>
      </c>
      <c r="E49" s="413">
        <f t="shared" si="0"/>
        <v>25.074999999999999</v>
      </c>
      <c r="F49" s="413">
        <f t="shared" si="0"/>
        <v>28.152000000000001</v>
      </c>
      <c r="G49" s="392">
        <f t="shared" ref="G49:AJ49" si="1">G36*$AM36</f>
        <v>25.216621790181545</v>
      </c>
      <c r="H49" s="392">
        <f t="shared" si="1"/>
        <v>21.723969786573502</v>
      </c>
      <c r="I49" s="392">
        <f t="shared" si="1"/>
        <v>23.229171094243885</v>
      </c>
      <c r="J49" s="392">
        <f t="shared" si="1"/>
        <v>23.928578723669499</v>
      </c>
      <c r="K49" s="392">
        <f t="shared" si="1"/>
        <v>22.676609762216451</v>
      </c>
      <c r="L49" s="392">
        <f t="shared" si="1"/>
        <v>21.787844051701146</v>
      </c>
      <c r="M49" s="392">
        <f t="shared" si="1"/>
        <v>22.936710878952304</v>
      </c>
      <c r="N49" s="392">
        <f t="shared" si="1"/>
        <v>23.350347658761212</v>
      </c>
      <c r="O49" s="392">
        <f t="shared" si="1"/>
        <v>23.563706372284781</v>
      </c>
      <c r="P49" s="392">
        <f t="shared" si="1"/>
        <v>23.503450310951827</v>
      </c>
      <c r="Q49" s="392">
        <f t="shared" si="1"/>
        <v>23.700354824164606</v>
      </c>
      <c r="R49" s="392">
        <f t="shared" si="1"/>
        <v>23.884141546897222</v>
      </c>
      <c r="S49" s="392">
        <f t="shared" si="1"/>
        <v>23.894392697871854</v>
      </c>
      <c r="T49" s="392">
        <f t="shared" si="1"/>
        <v>24.203572617290845</v>
      </c>
      <c r="U49" s="392">
        <f t="shared" si="1"/>
        <v>24.441424335086833</v>
      </c>
      <c r="V49" s="392">
        <f t="shared" si="1"/>
        <v>24.424106543739985</v>
      </c>
      <c r="W49" s="392">
        <f t="shared" si="1"/>
        <v>24.429233419880433</v>
      </c>
      <c r="X49" s="392">
        <f t="shared" si="1"/>
        <v>24.425767413824506</v>
      </c>
      <c r="Y49" s="392">
        <f t="shared" si="1"/>
        <v>24.33561445428349</v>
      </c>
      <c r="Z49" s="392">
        <f t="shared" si="1"/>
        <v>24.355567027723254</v>
      </c>
      <c r="AA49" s="392">
        <f t="shared" si="1"/>
        <v>24.344753226996517</v>
      </c>
      <c r="AB49" s="392">
        <f t="shared" si="1"/>
        <v>24.336633100230781</v>
      </c>
      <c r="AC49" s="392">
        <f t="shared" si="1"/>
        <v>24.312224446512374</v>
      </c>
      <c r="AD49" s="392">
        <f t="shared" si="1"/>
        <v>24.292209868165873</v>
      </c>
      <c r="AE49" s="392">
        <f t="shared" si="1"/>
        <v>24.270447595807656</v>
      </c>
      <c r="AF49" s="392">
        <f t="shared" si="1"/>
        <v>24.248852617293426</v>
      </c>
      <c r="AG49" s="392">
        <f t="shared" si="1"/>
        <v>24.22861756757975</v>
      </c>
      <c r="AH49" s="392">
        <f t="shared" si="1"/>
        <v>24.208197014878234</v>
      </c>
      <c r="AI49" s="392">
        <f t="shared" si="1"/>
        <v>24.208004859369449</v>
      </c>
      <c r="AJ49" s="392">
        <f t="shared" si="1"/>
        <v>24.207688907268999</v>
      </c>
      <c r="AK49"/>
    </row>
    <row r="50" spans="1:44" s="220" customFormat="1">
      <c r="A50" s="219" t="s">
        <v>69</v>
      </c>
      <c r="B50" s="413">
        <f t="shared" ref="B50:B51" si="2">AN52</f>
        <v>0.161</v>
      </c>
      <c r="C50" s="413">
        <f t="shared" ref="C50:C51" si="3">AO52</f>
        <v>9.4E-2</v>
      </c>
      <c r="D50" s="413">
        <f t="shared" ref="D50:D51" si="4">AP52</f>
        <v>6.4000000000000001E-2</v>
      </c>
      <c r="E50" s="413">
        <f t="shared" ref="E50:E51" si="5">AQ52</f>
        <v>8.7999999999999995E-2</v>
      </c>
      <c r="F50" s="413">
        <f t="shared" ref="F50:F51" si="6">AR52</f>
        <v>4.4999999999999998E-2</v>
      </c>
      <c r="G50" s="392">
        <f t="shared" ref="G50:AJ50" si="7">G37*$AM37</f>
        <v>8.6230762573215838E-2</v>
      </c>
      <c r="H50" s="392">
        <f t="shared" si="7"/>
        <v>5.4664347707108034E-2</v>
      </c>
      <c r="I50" s="392">
        <f t="shared" si="7"/>
        <v>4.492942660477775E-2</v>
      </c>
      <c r="J50" s="392">
        <f t="shared" si="7"/>
        <v>4.5568823421107386E-2</v>
      </c>
      <c r="K50" s="392">
        <f t="shared" si="7"/>
        <v>4.4165661358975067E-2</v>
      </c>
      <c r="L50" s="392">
        <f t="shared" si="7"/>
        <v>4.2170714948550674E-2</v>
      </c>
      <c r="M50" s="392">
        <f t="shared" si="7"/>
        <v>2.5235956660777058E-2</v>
      </c>
      <c r="N50" s="392">
        <f t="shared" si="7"/>
        <v>2.5676297702788359E-2</v>
      </c>
      <c r="O50" s="392">
        <f t="shared" si="7"/>
        <v>2.5912577146909463E-2</v>
      </c>
      <c r="P50" s="392">
        <f t="shared" si="7"/>
        <v>2.5872541987155363E-2</v>
      </c>
      <c r="Q50" s="392">
        <f t="shared" si="7"/>
        <v>2.6120284538679643E-2</v>
      </c>
      <c r="R50" s="392">
        <f t="shared" si="7"/>
        <v>2.6302871382022912E-2</v>
      </c>
      <c r="S50" s="392">
        <f t="shared" si="7"/>
        <v>2.6427514103198525E-2</v>
      </c>
      <c r="T50" s="392">
        <f t="shared" si="7"/>
        <v>2.6772173056297099E-2</v>
      </c>
      <c r="U50" s="392">
        <f t="shared" si="7"/>
        <v>2.714571263991197E-2</v>
      </c>
      <c r="V50" s="392">
        <f t="shared" si="7"/>
        <v>2.6865295089319185E-2</v>
      </c>
      <c r="W50" s="392">
        <f t="shared" si="7"/>
        <v>2.6788276265002072E-2</v>
      </c>
      <c r="X50" s="392">
        <f t="shared" si="7"/>
        <v>2.6785990500813997E-2</v>
      </c>
      <c r="Y50" s="392">
        <f t="shared" si="7"/>
        <v>2.6754949823139966E-2</v>
      </c>
      <c r="Z50" s="392">
        <f t="shared" si="7"/>
        <v>2.6784699044047736E-2</v>
      </c>
      <c r="AA50" s="392">
        <f t="shared" si="7"/>
        <v>2.6779258925280124E-2</v>
      </c>
      <c r="AB50" s="392">
        <f t="shared" si="7"/>
        <v>2.6773453084242421E-2</v>
      </c>
      <c r="AC50" s="392">
        <f t="shared" si="7"/>
        <v>2.6746092486911184E-2</v>
      </c>
      <c r="AD50" s="392">
        <f t="shared" si="7"/>
        <v>2.6723531994374904E-2</v>
      </c>
      <c r="AE50" s="392">
        <f t="shared" si="7"/>
        <v>2.6700125769089044E-2</v>
      </c>
      <c r="AF50" s="392">
        <f t="shared" si="7"/>
        <v>2.6677565276552764E-2</v>
      </c>
      <c r="AG50" s="392">
        <f t="shared" si="7"/>
        <v>2.6658021992744734E-2</v>
      </c>
      <c r="AH50" s="392">
        <f t="shared" si="7"/>
        <v>2.6632455720301141E-2</v>
      </c>
      <c r="AI50" s="392">
        <f t="shared" si="7"/>
        <v>2.662861563646518E-2</v>
      </c>
      <c r="AJ50" s="392">
        <f t="shared" si="7"/>
        <v>2.6627769903715591E-2</v>
      </c>
      <c r="AK50"/>
      <c r="AM50" s="220" t="s">
        <v>749</v>
      </c>
      <c r="AN50" s="220">
        <v>33.625999999999998</v>
      </c>
      <c r="AO50" s="220">
        <v>34.203000000000003</v>
      </c>
      <c r="AP50" s="220">
        <v>34.639000000000003</v>
      </c>
      <c r="AQ50" s="220">
        <v>36.384999999999998</v>
      </c>
      <c r="AR50" s="220">
        <v>40.667000000000002</v>
      </c>
    </row>
    <row r="51" spans="1:44" s="220" customFormat="1">
      <c r="A51" s="219" t="s">
        <v>76</v>
      </c>
      <c r="B51" s="413">
        <f t="shared" si="2"/>
        <v>9.282</v>
      </c>
      <c r="C51" s="413">
        <f t="shared" si="3"/>
        <v>8.3640000000000008</v>
      </c>
      <c r="D51" s="413">
        <f t="shared" si="4"/>
        <v>8.4610000000000003</v>
      </c>
      <c r="E51" s="413">
        <f t="shared" si="5"/>
        <v>11.221</v>
      </c>
      <c r="F51" s="413">
        <f t="shared" si="6"/>
        <v>12.468999999999999</v>
      </c>
      <c r="G51" s="392">
        <f t="shared" ref="G51:AJ51" si="8">G38*$AM38</f>
        <v>10.146336425684197</v>
      </c>
      <c r="H51" s="392">
        <f t="shared" si="8"/>
        <v>12.063313467267145</v>
      </c>
      <c r="I51" s="392">
        <f t="shared" si="8"/>
        <v>10.769122871037615</v>
      </c>
      <c r="J51" s="392">
        <f t="shared" si="8"/>
        <v>10.26428128516606</v>
      </c>
      <c r="K51" s="392">
        <f t="shared" si="8"/>
        <v>11.074089257859368</v>
      </c>
      <c r="L51" s="392">
        <f t="shared" si="8"/>
        <v>12.084343960559497</v>
      </c>
      <c r="M51" s="392">
        <f t="shared" si="8"/>
        <v>11.542619033909995</v>
      </c>
      <c r="N51" s="392">
        <f t="shared" si="8"/>
        <v>11.403004693184851</v>
      </c>
      <c r="O51" s="392">
        <f t="shared" si="8"/>
        <v>11.590974930643611</v>
      </c>
      <c r="P51" s="392">
        <f t="shared" si="8"/>
        <v>11.943018355682245</v>
      </c>
      <c r="Q51" s="392">
        <f t="shared" si="8"/>
        <v>12.124264706945944</v>
      </c>
      <c r="R51" s="392">
        <f t="shared" si="8"/>
        <v>12.378987485559957</v>
      </c>
      <c r="S51" s="392">
        <f t="shared" si="8"/>
        <v>12.853220315442817</v>
      </c>
      <c r="T51" s="392">
        <f t="shared" si="8"/>
        <v>13.145267439660772</v>
      </c>
      <c r="U51" s="392">
        <f t="shared" si="8"/>
        <v>13.30386140454036</v>
      </c>
      <c r="V51" s="392">
        <f t="shared" si="8"/>
        <v>13.519329306646149</v>
      </c>
      <c r="W51" s="392">
        <f t="shared" si="8"/>
        <v>13.729724694985416</v>
      </c>
      <c r="X51" s="392">
        <f t="shared" si="8"/>
        <v>13.975488957849773</v>
      </c>
      <c r="Y51" s="392">
        <f t="shared" si="8"/>
        <v>14.0903460522402</v>
      </c>
      <c r="Z51" s="392">
        <f t="shared" si="8"/>
        <v>14.309565622345358</v>
      </c>
      <c r="AA51" s="392">
        <f t="shared" si="8"/>
        <v>14.403694682951841</v>
      </c>
      <c r="AB51" s="392">
        <f t="shared" si="8"/>
        <v>14.561489351801882</v>
      </c>
      <c r="AC51" s="392">
        <f t="shared" si="8"/>
        <v>14.675391734292301</v>
      </c>
      <c r="AD51" s="392">
        <f t="shared" si="8"/>
        <v>14.833161160356957</v>
      </c>
      <c r="AE51" s="392">
        <f t="shared" si="8"/>
        <v>15.082424007710065</v>
      </c>
      <c r="AF51" s="392">
        <f t="shared" si="8"/>
        <v>15.305235618610304</v>
      </c>
      <c r="AG51" s="392">
        <f t="shared" si="8"/>
        <v>15.658469262414798</v>
      </c>
      <c r="AH51" s="392">
        <f t="shared" si="8"/>
        <v>16.05003111276292</v>
      </c>
      <c r="AI51" s="392">
        <f t="shared" si="8"/>
        <v>16.353625638677823</v>
      </c>
      <c r="AJ51" s="392">
        <f t="shared" si="8"/>
        <v>16.589735456573461</v>
      </c>
      <c r="AK51"/>
      <c r="AM51" s="220" t="s">
        <v>68</v>
      </c>
      <c r="AN51" s="220">
        <v>24.183</v>
      </c>
      <c r="AO51" s="220">
        <v>25.744</v>
      </c>
      <c r="AP51" s="220">
        <v>26.114999999999998</v>
      </c>
      <c r="AQ51" s="220">
        <v>25.074999999999999</v>
      </c>
      <c r="AR51" s="220">
        <v>28.152000000000001</v>
      </c>
    </row>
    <row r="52" spans="1:44" s="220" customFormat="1">
      <c r="A52" s="219" t="s">
        <v>71</v>
      </c>
      <c r="B52" s="414">
        <f>AN55</f>
        <v>15.233000000000001</v>
      </c>
      <c r="C52" s="414">
        <f t="shared" ref="C52:F52" si="9">AO55</f>
        <v>15.486000000000001</v>
      </c>
      <c r="D52" s="414">
        <f t="shared" si="9"/>
        <v>14.167999999999999</v>
      </c>
      <c r="E52" s="414">
        <f t="shared" si="9"/>
        <v>15.17</v>
      </c>
      <c r="F52" s="414">
        <f t="shared" si="9"/>
        <v>15.023</v>
      </c>
      <c r="G52" s="392">
        <f>G39*$AM40</f>
        <v>15.275242452881852</v>
      </c>
      <c r="H52" s="392">
        <f t="shared" ref="H52:AJ52" si="10">H39*$AM40</f>
        <v>15.134203540292884</v>
      </c>
      <c r="I52" s="392">
        <f t="shared" si="10"/>
        <v>14.892517985758582</v>
      </c>
      <c r="J52" s="392">
        <f t="shared" si="10"/>
        <v>14.936715923877196</v>
      </c>
      <c r="K52" s="392">
        <f t="shared" si="10"/>
        <v>15.503764293392249</v>
      </c>
      <c r="L52" s="392">
        <f t="shared" si="10"/>
        <v>16.160603631491444</v>
      </c>
      <c r="M52" s="392">
        <f t="shared" si="10"/>
        <v>16.799064790643037</v>
      </c>
      <c r="N52" s="392">
        <f t="shared" si="10"/>
        <v>17.29480529794116</v>
      </c>
      <c r="O52" s="392">
        <f t="shared" si="10"/>
        <v>17.381415232631934</v>
      </c>
      <c r="P52" s="392">
        <f t="shared" si="10"/>
        <v>17.381415667714528</v>
      </c>
      <c r="Q52" s="392">
        <f t="shared" si="10"/>
        <v>17.381415667714528</v>
      </c>
      <c r="R52" s="392">
        <f t="shared" si="10"/>
        <v>17.381415522686996</v>
      </c>
      <c r="S52" s="392">
        <f t="shared" si="10"/>
        <v>17.381415667714528</v>
      </c>
      <c r="T52" s="392">
        <f t="shared" si="10"/>
        <v>17.381415232631934</v>
      </c>
      <c r="U52" s="392">
        <f t="shared" si="10"/>
        <v>17.381450401808515</v>
      </c>
      <c r="V52" s="392">
        <f t="shared" si="10"/>
        <v>17.381415522686996</v>
      </c>
      <c r="W52" s="392">
        <f t="shared" si="10"/>
        <v>17.381415377659465</v>
      </c>
      <c r="X52" s="392">
        <f t="shared" si="10"/>
        <v>17.381415377659465</v>
      </c>
      <c r="Y52" s="392">
        <f t="shared" si="10"/>
        <v>17.381415667714528</v>
      </c>
      <c r="Z52" s="392">
        <f t="shared" si="10"/>
        <v>17.381415377659465</v>
      </c>
      <c r="AA52" s="392">
        <f t="shared" si="10"/>
        <v>17.381415377659465</v>
      </c>
      <c r="AB52" s="392">
        <f t="shared" si="10"/>
        <v>17.381415522686996</v>
      </c>
      <c r="AC52" s="392">
        <f t="shared" si="10"/>
        <v>17.381415160118166</v>
      </c>
      <c r="AD52" s="392">
        <f t="shared" si="10"/>
        <v>17.381415377659465</v>
      </c>
      <c r="AE52" s="392">
        <f t="shared" si="10"/>
        <v>17.381415667714528</v>
      </c>
      <c r="AF52" s="392">
        <f t="shared" si="10"/>
        <v>17.381415667714528</v>
      </c>
      <c r="AG52" s="392">
        <f t="shared" si="10"/>
        <v>17.381415667714528</v>
      </c>
      <c r="AH52" s="392">
        <f t="shared" si="10"/>
        <v>17.381415667714528</v>
      </c>
      <c r="AI52" s="392">
        <f t="shared" si="10"/>
        <v>17.381415377659465</v>
      </c>
      <c r="AJ52" s="392">
        <f t="shared" si="10"/>
        <v>17.381415377659465</v>
      </c>
      <c r="AK52"/>
      <c r="AM52" s="220" t="s">
        <v>69</v>
      </c>
      <c r="AN52" s="220">
        <v>0.161</v>
      </c>
      <c r="AO52" s="220">
        <v>9.4E-2</v>
      </c>
      <c r="AP52" s="220">
        <v>6.4000000000000001E-2</v>
      </c>
      <c r="AQ52" s="220">
        <v>8.7999999999999995E-2</v>
      </c>
      <c r="AR52" s="220">
        <v>4.4999999999999998E-2</v>
      </c>
    </row>
    <row r="53" spans="1:44" s="220" customFormat="1">
      <c r="A53" s="219" t="s">
        <v>326</v>
      </c>
      <c r="B53" s="415"/>
      <c r="C53" s="415"/>
      <c r="D53" s="415"/>
      <c r="E53" s="415"/>
      <c r="F53" s="415"/>
      <c r="G53" s="392"/>
      <c r="H53" s="392"/>
      <c r="I53" s="392"/>
      <c r="J53" s="392"/>
      <c r="K53" s="392"/>
      <c r="L53" s="392"/>
      <c r="M53" s="392"/>
      <c r="N53" s="392"/>
      <c r="O53" s="392"/>
      <c r="P53" s="392"/>
      <c r="Q53" s="392"/>
      <c r="R53" s="392"/>
      <c r="S53" s="392"/>
      <c r="T53" s="392"/>
      <c r="U53" s="392"/>
      <c r="V53" s="392"/>
      <c r="W53" s="392"/>
      <c r="X53" s="392"/>
      <c r="Y53" s="392"/>
      <c r="Z53" s="392"/>
      <c r="AA53" s="392"/>
      <c r="AB53" s="392"/>
      <c r="AC53" s="392"/>
      <c r="AD53" s="392"/>
      <c r="AE53" s="392"/>
      <c r="AF53" s="392"/>
      <c r="AG53" s="392"/>
      <c r="AH53" s="392"/>
      <c r="AI53" s="392"/>
      <c r="AJ53" s="392"/>
      <c r="AK53"/>
      <c r="AM53" s="220" t="s">
        <v>742</v>
      </c>
      <c r="AN53" s="220">
        <v>9.282</v>
      </c>
      <c r="AO53" s="220">
        <v>8.3640000000000008</v>
      </c>
      <c r="AP53" s="220">
        <v>8.4610000000000003</v>
      </c>
      <c r="AQ53" s="220">
        <v>11.221</v>
      </c>
      <c r="AR53" s="220">
        <v>12.468999999999999</v>
      </c>
    </row>
    <row r="54" spans="1:44" s="220" customFormat="1">
      <c r="A54" s="219" t="s">
        <v>625</v>
      </c>
      <c r="B54" s="414">
        <f>AN56</f>
        <v>3.2730000000000001</v>
      </c>
      <c r="C54" s="414">
        <f t="shared" ref="C54:F54" si="11">AO56</f>
        <v>4.8600000000000003</v>
      </c>
      <c r="D54" s="414">
        <f t="shared" si="11"/>
        <v>6.173</v>
      </c>
      <c r="E54" s="414">
        <f t="shared" si="11"/>
        <v>5.7779999999999996</v>
      </c>
      <c r="F54" s="414">
        <f t="shared" si="11"/>
        <v>5.2830000000000004</v>
      </c>
      <c r="G54" s="392">
        <f>EIA_RE_aeo2014!G79</f>
        <v>6.0789218814896513</v>
      </c>
      <c r="H54" s="392">
        <f>EIA_RE_aeo2014!H79</f>
        <v>5.2107904301171128</v>
      </c>
      <c r="I54" s="392">
        <f>EIA_RE_aeo2014!I79</f>
        <v>6.3262158127025909</v>
      </c>
      <c r="J54" s="392">
        <f>EIA_RE_aeo2014!J79</f>
        <v>6.4897128084105473</v>
      </c>
      <c r="K54" s="392">
        <f>EIA_RE_aeo2014!K79</f>
        <v>6.6468661920671241</v>
      </c>
      <c r="L54" s="392">
        <f>EIA_RE_aeo2014!L79</f>
        <v>6.8479155169003443</v>
      </c>
      <c r="M54" s="392">
        <f>EIA_RE_aeo2014!M79</f>
        <v>7.0723317777125594</v>
      </c>
      <c r="N54" s="392">
        <f>EIA_RE_aeo2014!N79</f>
        <v>7.1687891607825858</v>
      </c>
      <c r="O54" s="392">
        <f>EIA_RE_aeo2014!O79</f>
        <v>7.2588185069828537</v>
      </c>
      <c r="P54" s="392">
        <f>EIA_RE_aeo2014!P79</f>
        <v>7.3739471082648516</v>
      </c>
      <c r="Q54" s="392">
        <f>EIA_RE_aeo2014!Q79</f>
        <v>7.5516650517120922</v>
      </c>
      <c r="R54" s="392">
        <f>EIA_RE_aeo2014!R79</f>
        <v>7.672651324588136</v>
      </c>
      <c r="S54" s="392">
        <f>EIA_RE_aeo2014!S79</f>
        <v>8.0447464583860739</v>
      </c>
      <c r="T54" s="392">
        <f>EIA_RE_aeo2014!T79</f>
        <v>8.1794830186708296</v>
      </c>
      <c r="U54" s="392">
        <f>EIA_RE_aeo2014!U79</f>
        <v>8.5978267331230551</v>
      </c>
      <c r="V54" s="392">
        <f>EIA_RE_aeo2014!V79</f>
        <v>8.7298174243778313</v>
      </c>
      <c r="W54" s="392">
        <f>EIA_RE_aeo2014!W79</f>
        <v>8.8202949201179486</v>
      </c>
      <c r="X54" s="392">
        <f>EIA_RE_aeo2014!X79</f>
        <v>8.9329471401412857</v>
      </c>
      <c r="Y54" s="392">
        <f>EIA_RE_aeo2014!Y79</f>
        <v>9.4392553315562413</v>
      </c>
      <c r="Z54" s="392">
        <f>EIA_RE_aeo2014!Z79</f>
        <v>9.548622232739314</v>
      </c>
      <c r="AA54" s="392">
        <f>EIA_RE_aeo2014!AA79</f>
        <v>9.6086336665358978</v>
      </c>
      <c r="AB54" s="392">
        <f>EIA_RE_aeo2014!AB79</f>
        <v>9.6759772828640855</v>
      </c>
      <c r="AC54" s="392">
        <f>EIA_RE_aeo2014!AC79</f>
        <v>9.7369560875377825</v>
      </c>
      <c r="AD54" s="392">
        <f>EIA_RE_aeo2014!AD79</f>
        <v>9.8072806466547497</v>
      </c>
      <c r="AE54" s="392">
        <f>EIA_RE_aeo2014!AE79</f>
        <v>9.8872669500970272</v>
      </c>
      <c r="AF54" s="392">
        <f>EIA_RE_aeo2014!AF79</f>
        <v>9.9841132763230416</v>
      </c>
      <c r="AG54" s="392">
        <f>EIA_RE_aeo2014!AG79</f>
        <v>10.074426991720484</v>
      </c>
      <c r="AH54" s="392">
        <f>EIA_RE_aeo2014!AH79</f>
        <v>10.190024707961499</v>
      </c>
      <c r="AI54" s="392">
        <f>EIA_RE_aeo2014!AI79</f>
        <v>10.296838161778872</v>
      </c>
      <c r="AJ54" s="392">
        <f>EIA_RE_aeo2014!AJ79</f>
        <v>10.392981863672162</v>
      </c>
      <c r="AK54"/>
      <c r="AM54" s="220" t="s">
        <v>750</v>
      </c>
      <c r="AN54" s="220">
        <v>0</v>
      </c>
      <c r="AO54" s="220">
        <v>0</v>
      </c>
      <c r="AP54" s="220">
        <v>0</v>
      </c>
      <c r="AQ54" s="220">
        <v>0</v>
      </c>
      <c r="AR54" s="220">
        <v>0</v>
      </c>
    </row>
    <row r="55" spans="1:44" s="220" customFormat="1">
      <c r="A55" s="219" t="s">
        <v>626</v>
      </c>
      <c r="B55" s="414">
        <f>AN58</f>
        <v>2.1999999999999999E-2</v>
      </c>
      <c r="C55" s="414">
        <f t="shared" ref="C55:F55" si="12">AO58</f>
        <v>1.7000000000000001E-2</v>
      </c>
      <c r="D55" s="414">
        <f t="shared" si="12"/>
        <v>2.1999999999999999E-2</v>
      </c>
      <c r="E55" s="414">
        <f t="shared" si="12"/>
        <v>2.4E-2</v>
      </c>
      <c r="F55" s="414">
        <f t="shared" si="12"/>
        <v>2.8000000000000001E-2</v>
      </c>
      <c r="G55" s="392">
        <f>G40*$AM43</f>
        <v>1.8704757646451811E-2</v>
      </c>
      <c r="H55" s="392">
        <f t="shared" ref="H55:AJ55" si="13">H40*$AM43</f>
        <v>1.8400229800336416E-2</v>
      </c>
      <c r="I55" s="392">
        <f t="shared" si="13"/>
        <v>-1.7072707503954662E-2</v>
      </c>
      <c r="J55" s="392">
        <f t="shared" si="13"/>
        <v>-1.7034346625960504E-2</v>
      </c>
      <c r="K55" s="392">
        <f t="shared" si="13"/>
        <v>-1.7034330467208193E-2</v>
      </c>
      <c r="L55" s="392">
        <f t="shared" si="13"/>
        <v>-1.7015537838266655E-2</v>
      </c>
      <c r="M55" s="392">
        <f t="shared" si="13"/>
        <v>-1.7015537838266655E-2</v>
      </c>
      <c r="N55" s="392">
        <f t="shared" si="13"/>
        <v>-1.7007199922072475E-2</v>
      </c>
      <c r="O55" s="392">
        <f t="shared" si="13"/>
        <v>-1.699807022701489E-2</v>
      </c>
      <c r="P55" s="392">
        <f t="shared" si="13"/>
        <v>-1.6964088370897905E-2</v>
      </c>
      <c r="Q55" s="392">
        <f t="shared" si="13"/>
        <v>-1.6944229264303626E-2</v>
      </c>
      <c r="R55" s="392">
        <f t="shared" si="13"/>
        <v>-1.6926486954262517E-2</v>
      </c>
      <c r="S55" s="392">
        <f t="shared" si="13"/>
        <v>-1.692585676292226E-2</v>
      </c>
      <c r="T55" s="392">
        <f t="shared" si="13"/>
        <v>-1.6925194254077371E-2</v>
      </c>
      <c r="U55" s="392">
        <f t="shared" si="13"/>
        <v>-1.6851736566056541E-2</v>
      </c>
      <c r="V55" s="392">
        <f t="shared" si="13"/>
        <v>-1.6806508218328801E-2</v>
      </c>
      <c r="W55" s="392">
        <f t="shared" si="13"/>
        <v>-1.6766321401323125E-2</v>
      </c>
      <c r="X55" s="392">
        <f t="shared" si="13"/>
        <v>-1.6685155988448372E-2</v>
      </c>
      <c r="Y55" s="392">
        <f t="shared" si="13"/>
        <v>-1.6638424876755396E-2</v>
      </c>
      <c r="Z55" s="392">
        <f t="shared" si="13"/>
        <v>-1.6619987740364779E-2</v>
      </c>
      <c r="AA55" s="392">
        <f t="shared" si="13"/>
        <v>-1.6603942099316673E-2</v>
      </c>
      <c r="AB55" s="392">
        <f t="shared" si="13"/>
        <v>-1.6594521546717433E-2</v>
      </c>
      <c r="AC55" s="392">
        <f t="shared" si="13"/>
        <v>-1.6586555281826478E-2</v>
      </c>
      <c r="AD55" s="392">
        <f t="shared" si="13"/>
        <v>-1.6574290788819921E-2</v>
      </c>
      <c r="AE55" s="392">
        <f t="shared" si="13"/>
        <v>-1.6566195253910454E-2</v>
      </c>
      <c r="AF55" s="392">
        <f t="shared" si="13"/>
        <v>-1.6557647273936184E-2</v>
      </c>
      <c r="AG55" s="392">
        <f t="shared" si="13"/>
        <v>-1.654145620411725E-2</v>
      </c>
      <c r="AH55" s="392">
        <f t="shared" si="13"/>
        <v>-1.6532019492765695E-2</v>
      </c>
      <c r="AI55" s="392">
        <f t="shared" si="13"/>
        <v>-1.6523002908974318E-2</v>
      </c>
      <c r="AJ55" s="392">
        <f t="shared" si="13"/>
        <v>-1.6506262441576696E-2</v>
      </c>
      <c r="AK55"/>
      <c r="AM55" s="220" t="s">
        <v>225</v>
      </c>
      <c r="AN55" s="220">
        <v>15.233000000000001</v>
      </c>
      <c r="AO55" s="220">
        <v>15.486000000000001</v>
      </c>
      <c r="AP55" s="220">
        <v>14.167999999999999</v>
      </c>
      <c r="AQ55" s="220">
        <v>15.17</v>
      </c>
      <c r="AR55" s="220">
        <v>15.023</v>
      </c>
    </row>
    <row r="56" spans="1:44" s="220" customFormat="1">
      <c r="A56" s="219" t="s">
        <v>82</v>
      </c>
      <c r="B56" s="414">
        <f>AN59</f>
        <v>52.168999999999997</v>
      </c>
      <c r="C56" s="414">
        <f t="shared" ref="C56" si="14">AO59</f>
        <v>54.595999999999997</v>
      </c>
      <c r="D56" s="414">
        <f t="shared" ref="D56" si="15">AP59</f>
        <v>55.051000000000002</v>
      </c>
      <c r="E56" s="414">
        <f t="shared" ref="E56" si="16">AQ59</f>
        <v>57.457999999999998</v>
      </c>
      <c r="F56" s="414">
        <f t="shared" ref="F56" si="17">AR59</f>
        <v>61</v>
      </c>
      <c r="G56" s="432">
        <f>G58</f>
        <v>56.822058070456912</v>
      </c>
      <c r="H56" s="432">
        <f t="shared" ref="H56:AJ56" si="18">H58</f>
        <v>54.205341801758081</v>
      </c>
      <c r="I56" s="432">
        <f t="shared" si="18"/>
        <v>55.244884482843496</v>
      </c>
      <c r="J56" s="432">
        <f t="shared" si="18"/>
        <v>55.647823217918443</v>
      </c>
      <c r="K56" s="432">
        <f t="shared" si="18"/>
        <v>55.928460836426957</v>
      </c>
      <c r="L56" s="432">
        <f t="shared" si="18"/>
        <v>56.905862337762706</v>
      </c>
      <c r="M56" s="432">
        <f t="shared" si="18"/>
        <v>58.358946900040401</v>
      </c>
      <c r="N56" s="432">
        <f t="shared" si="18"/>
        <v>59.225615908450528</v>
      </c>
      <c r="O56" s="432">
        <f t="shared" si="18"/>
        <v>59.803829549463067</v>
      </c>
      <c r="P56" s="432">
        <f t="shared" si="18"/>
        <v>60.210739896229711</v>
      </c>
      <c r="Q56" s="432">
        <f t="shared" si="18"/>
        <v>60.76687630581155</v>
      </c>
      <c r="R56" s="432">
        <f t="shared" si="18"/>
        <v>61.32657226416007</v>
      </c>
      <c r="S56" s="432">
        <f t="shared" si="18"/>
        <v>62.183276796755543</v>
      </c>
      <c r="T56" s="432">
        <f t="shared" si="18"/>
        <v>62.919585287056606</v>
      </c>
      <c r="U56" s="432">
        <f t="shared" si="18"/>
        <v>63.734856850632617</v>
      </c>
      <c r="V56" s="432">
        <f t="shared" si="18"/>
        <v>64.064727584321957</v>
      </c>
      <c r="W56" s="432">
        <f t="shared" si="18"/>
        <v>64.370690367506938</v>
      </c>
      <c r="X56" s="432">
        <f t="shared" si="18"/>
        <v>64.725719723987382</v>
      </c>
      <c r="Y56" s="432">
        <f t="shared" si="18"/>
        <v>65.256748030740837</v>
      </c>
      <c r="Z56" s="432">
        <f t="shared" si="18"/>
        <v>65.605334971771072</v>
      </c>
      <c r="AA56" s="432">
        <f t="shared" si="18"/>
        <v>65.748672270969678</v>
      </c>
      <c r="AB56" s="432">
        <f t="shared" si="18"/>
        <v>65.965694189121265</v>
      </c>
      <c r="AC56" s="432">
        <f t="shared" si="18"/>
        <v>66.116146965665692</v>
      </c>
      <c r="AD56" s="432">
        <f t="shared" si="18"/>
        <v>66.3242162940426</v>
      </c>
      <c r="AE56" s="432">
        <f t="shared" si="18"/>
        <v>66.631688151844443</v>
      </c>
      <c r="AF56" s="432">
        <f t="shared" si="18"/>
        <v>66.929737097943914</v>
      </c>
      <c r="AG56" s="432">
        <f t="shared" si="18"/>
        <v>67.353046055218172</v>
      </c>
      <c r="AH56" s="432">
        <f t="shared" si="18"/>
        <v>67.839768939544697</v>
      </c>
      <c r="AI56" s="432">
        <f t="shared" si="18"/>
        <v>68.249989650213109</v>
      </c>
      <c r="AJ56" s="432">
        <f t="shared" si="18"/>
        <v>68.581943112636225</v>
      </c>
      <c r="AK56"/>
      <c r="AM56" s="220" t="s">
        <v>379</v>
      </c>
      <c r="AN56" s="220">
        <v>3.2730000000000001</v>
      </c>
      <c r="AO56" s="220">
        <v>4.8600000000000003</v>
      </c>
      <c r="AP56" s="220">
        <v>6.173</v>
      </c>
      <c r="AQ56" s="220">
        <v>5.7779999999999996</v>
      </c>
      <c r="AR56" s="220">
        <v>5.2830000000000004</v>
      </c>
    </row>
    <row r="57" spans="1:44" s="220" customFormat="1">
      <c r="B57" s="396"/>
      <c r="C57" s="396"/>
      <c r="D57" s="396"/>
      <c r="E57" s="396"/>
      <c r="F57" s="396"/>
      <c r="G57" s="397"/>
      <c r="H57" s="397"/>
      <c r="I57" s="397"/>
      <c r="J57" s="397"/>
      <c r="K57" s="397"/>
      <c r="L57" s="397"/>
      <c r="M57" s="397"/>
      <c r="N57" s="397"/>
      <c r="O57" s="397"/>
      <c r="P57" s="397"/>
      <c r="Q57" s="397"/>
      <c r="R57" s="397"/>
      <c r="S57" s="397"/>
      <c r="T57" s="397"/>
      <c r="U57" s="397"/>
      <c r="V57" s="397"/>
      <c r="W57" s="397"/>
      <c r="X57" s="397"/>
      <c r="Y57" s="397"/>
      <c r="Z57" s="397"/>
      <c r="AA57" s="397"/>
      <c r="AB57" s="397"/>
      <c r="AC57" s="397"/>
      <c r="AD57" s="397"/>
      <c r="AE57" s="397"/>
      <c r="AF57" s="397"/>
      <c r="AG57" s="397"/>
      <c r="AH57" s="397"/>
      <c r="AI57" s="397"/>
      <c r="AJ57" s="397"/>
      <c r="AK57" s="397"/>
      <c r="AM57" s="220" t="s">
        <v>751</v>
      </c>
      <c r="AN57" s="220">
        <v>1.4999999999999999E-2</v>
      </c>
      <c r="AO57" s="220">
        <v>0.03</v>
      </c>
      <c r="AP57" s="220">
        <v>4.8000000000000001E-2</v>
      </c>
      <c r="AQ57" s="220">
        <v>0.1</v>
      </c>
      <c r="AR57" s="220">
        <v>1E-3</v>
      </c>
    </row>
    <row r="58" spans="1:44" s="220" customFormat="1">
      <c r="A58" s="219" t="s">
        <v>83</v>
      </c>
      <c r="B58" s="391">
        <f>SUM(B49:B52,B54,B55)</f>
        <v>52.154000000000011</v>
      </c>
      <c r="C58" s="391">
        <f t="shared" ref="C58:AJ58" si="19">SUM(C49:C52,C54,C55)</f>
        <v>54.565000000000005</v>
      </c>
      <c r="D58" s="391">
        <f t="shared" si="19"/>
        <v>55.003</v>
      </c>
      <c r="E58" s="391">
        <f t="shared" si="19"/>
        <v>57.356000000000002</v>
      </c>
      <c r="F58" s="391">
        <f t="shared" si="19"/>
        <v>61.000000000000007</v>
      </c>
      <c r="G58" s="391">
        <f t="shared" si="19"/>
        <v>56.822058070456912</v>
      </c>
      <c r="H58" s="391">
        <f t="shared" si="19"/>
        <v>54.205341801758081</v>
      </c>
      <c r="I58" s="391">
        <f t="shared" si="19"/>
        <v>55.244884482843496</v>
      </c>
      <c r="J58" s="391">
        <f t="shared" si="19"/>
        <v>55.647823217918443</v>
      </c>
      <c r="K58" s="391">
        <f t="shared" si="19"/>
        <v>55.928460836426957</v>
      </c>
      <c r="L58" s="391">
        <f t="shared" si="19"/>
        <v>56.905862337762706</v>
      </c>
      <c r="M58" s="391">
        <f t="shared" si="19"/>
        <v>58.358946900040401</v>
      </c>
      <c r="N58" s="391">
        <f t="shared" si="19"/>
        <v>59.225615908450528</v>
      </c>
      <c r="O58" s="391">
        <f t="shared" si="19"/>
        <v>59.803829549463067</v>
      </c>
      <c r="P58" s="391">
        <f t="shared" si="19"/>
        <v>60.210739896229711</v>
      </c>
      <c r="Q58" s="391">
        <f t="shared" si="19"/>
        <v>60.76687630581155</v>
      </c>
      <c r="R58" s="391">
        <f t="shared" si="19"/>
        <v>61.32657226416007</v>
      </c>
      <c r="S58" s="391">
        <f t="shared" si="19"/>
        <v>62.183276796755543</v>
      </c>
      <c r="T58" s="391">
        <f t="shared" si="19"/>
        <v>62.919585287056606</v>
      </c>
      <c r="U58" s="391">
        <f t="shared" si="19"/>
        <v>63.734856850632617</v>
      </c>
      <c r="V58" s="391">
        <f t="shared" si="19"/>
        <v>64.064727584321957</v>
      </c>
      <c r="W58" s="391">
        <f t="shared" si="19"/>
        <v>64.370690367506938</v>
      </c>
      <c r="X58" s="391">
        <f t="shared" si="19"/>
        <v>64.725719723987382</v>
      </c>
      <c r="Y58" s="391">
        <f t="shared" si="19"/>
        <v>65.256748030740837</v>
      </c>
      <c r="Z58" s="391">
        <f t="shared" si="19"/>
        <v>65.605334971771072</v>
      </c>
      <c r="AA58" s="391">
        <f t="shared" si="19"/>
        <v>65.748672270969678</v>
      </c>
      <c r="AB58" s="391">
        <f t="shared" si="19"/>
        <v>65.965694189121265</v>
      </c>
      <c r="AC58" s="391">
        <f t="shared" si="19"/>
        <v>66.116146965665692</v>
      </c>
      <c r="AD58" s="391">
        <f t="shared" si="19"/>
        <v>66.3242162940426</v>
      </c>
      <c r="AE58" s="391">
        <f t="shared" si="19"/>
        <v>66.631688151844443</v>
      </c>
      <c r="AF58" s="391">
        <f t="shared" si="19"/>
        <v>66.929737097943914</v>
      </c>
      <c r="AG58" s="391">
        <f t="shared" si="19"/>
        <v>67.353046055218172</v>
      </c>
      <c r="AH58" s="391">
        <f t="shared" si="19"/>
        <v>67.839768939544697</v>
      </c>
      <c r="AI58" s="391">
        <f t="shared" si="19"/>
        <v>68.249989650213109</v>
      </c>
      <c r="AJ58" s="391">
        <f t="shared" si="19"/>
        <v>68.581943112636225</v>
      </c>
      <c r="AK58" s="398">
        <v>8.9999999999999993E-3</v>
      </c>
      <c r="AM58" s="220" t="s">
        <v>741</v>
      </c>
      <c r="AN58" s="220">
        <v>2.1999999999999999E-2</v>
      </c>
      <c r="AO58" s="220">
        <v>1.7000000000000001E-2</v>
      </c>
      <c r="AP58" s="220">
        <v>2.1999999999999999E-2</v>
      </c>
      <c r="AQ58" s="220">
        <v>2.4E-2</v>
      </c>
      <c r="AR58" s="220">
        <v>2.8000000000000001E-2</v>
      </c>
    </row>
    <row r="59" spans="1:44">
      <c r="A59" s="6" t="s">
        <v>84</v>
      </c>
      <c r="B59" s="331">
        <v>3906.17822265625</v>
      </c>
      <c r="C59" s="331">
        <v>4003.6083984375</v>
      </c>
      <c r="D59" s="331">
        <v>4006.09130859375</v>
      </c>
      <c r="E59" s="331">
        <v>3992.21752929688</v>
      </c>
      <c r="F59" s="331">
        <v>4046.56079101563</v>
      </c>
      <c r="G59" s="213">
        <v>3975.9853520000001</v>
      </c>
      <c r="H59" s="213">
        <v>3914.8715820000002</v>
      </c>
      <c r="I59" s="213">
        <v>3921.3237300000001</v>
      </c>
      <c r="J59" s="213">
        <v>3939.0678710000002</v>
      </c>
      <c r="K59" s="213">
        <v>4009.0505370000001</v>
      </c>
      <c r="L59" s="213">
        <v>4063.0170899999998</v>
      </c>
      <c r="M59" s="213">
        <v>4119.9077150000003</v>
      </c>
      <c r="N59" s="213">
        <v>4166.5869140000004</v>
      </c>
      <c r="O59" s="213">
        <v>4198.9038090000004</v>
      </c>
      <c r="P59" s="213">
        <v>4219.6909180000002</v>
      </c>
      <c r="Q59" s="213">
        <v>4252.6411129999997</v>
      </c>
      <c r="R59" s="213">
        <v>4292.3344729999999</v>
      </c>
      <c r="S59" s="213">
        <v>4339.8535160000001</v>
      </c>
      <c r="T59" s="213">
        <v>4382.0117190000001</v>
      </c>
      <c r="U59" s="213">
        <v>4415.9643550000001</v>
      </c>
      <c r="V59" s="213">
        <v>4450.7382809999999</v>
      </c>
      <c r="W59" s="213">
        <v>4486.6025390000004</v>
      </c>
      <c r="X59" s="213">
        <v>4519.0146480000003</v>
      </c>
      <c r="Y59" s="213">
        <v>4546.845703</v>
      </c>
      <c r="Z59" s="213">
        <v>4573.2431640000004</v>
      </c>
      <c r="AA59" s="213">
        <v>4595.8320309999999</v>
      </c>
      <c r="AB59" s="213">
        <v>4620.3847660000001</v>
      </c>
      <c r="AC59" s="213">
        <v>4650.2163090000004</v>
      </c>
      <c r="AD59" s="213">
        <v>4684.017578</v>
      </c>
      <c r="AE59" s="213">
        <v>4715.7373049999997</v>
      </c>
      <c r="AF59" s="213">
        <v>4746.6293949999999</v>
      </c>
      <c r="AG59" s="213">
        <v>4780.0688479999999</v>
      </c>
      <c r="AH59" s="213">
        <v>4817.2851559999999</v>
      </c>
      <c r="AI59" s="213">
        <v>4853.5073240000002</v>
      </c>
      <c r="AJ59" s="213">
        <v>4888.0634769999997</v>
      </c>
      <c r="AK59" s="214">
        <v>8.0000000000000002E-3</v>
      </c>
      <c r="AM59" s="5" t="s">
        <v>58</v>
      </c>
      <c r="AN59" s="5">
        <v>52.168999999999997</v>
      </c>
      <c r="AO59" s="5">
        <v>54.595999999999997</v>
      </c>
      <c r="AP59" s="5">
        <v>55.051000000000002</v>
      </c>
      <c r="AQ59" s="5">
        <v>57.457999999999998</v>
      </c>
      <c r="AR59" s="5">
        <v>61</v>
      </c>
    </row>
    <row r="60" spans="1:44" s="239" customFormat="1">
      <c r="A60" s="238" t="s">
        <v>331</v>
      </c>
      <c r="B60" s="332"/>
      <c r="C60" s="332"/>
      <c r="D60" s="332"/>
      <c r="E60" s="332">
        <f>E49/SUM(E49,E51)</f>
        <v>0.69084747630592902</v>
      </c>
      <c r="F60" s="332">
        <f t="shared" ref="F60:AJ60" si="20">F49/SUM(F49,F51)</f>
        <v>0.69304054553063688</v>
      </c>
      <c r="G60" s="289">
        <f t="shared" si="20"/>
        <v>0.71308010026344448</v>
      </c>
      <c r="H60" s="289">
        <f t="shared" si="20"/>
        <v>0.64296290481135698</v>
      </c>
      <c r="I60" s="289">
        <f t="shared" si="20"/>
        <v>0.68324519806685402</v>
      </c>
      <c r="J60" s="289">
        <f t="shared" si="20"/>
        <v>0.6998121455030748</v>
      </c>
      <c r="K60" s="289">
        <f t="shared" si="20"/>
        <v>0.67188563261246215</v>
      </c>
      <c r="L60" s="289">
        <f t="shared" si="20"/>
        <v>0.64323698379964844</v>
      </c>
      <c r="M60" s="289">
        <f t="shared" si="20"/>
        <v>0.66523076106522327</v>
      </c>
      <c r="N60" s="289">
        <f t="shared" si="20"/>
        <v>0.67188763323586753</v>
      </c>
      <c r="O60" s="289">
        <f t="shared" si="20"/>
        <v>0.67028644547324956</v>
      </c>
      <c r="P60" s="289">
        <f t="shared" si="20"/>
        <v>0.6630688809087415</v>
      </c>
      <c r="Q60" s="289">
        <f t="shared" si="20"/>
        <v>0.66156612782957602</v>
      </c>
      <c r="R60" s="289">
        <f t="shared" si="20"/>
        <v>0.6586343259435723</v>
      </c>
      <c r="S60" s="289">
        <f t="shared" si="20"/>
        <v>0.65022979014213145</v>
      </c>
      <c r="T60" s="289">
        <f t="shared" si="20"/>
        <v>0.64804081145181147</v>
      </c>
      <c r="U60" s="289">
        <f t="shared" si="20"/>
        <v>0.64753581423883111</v>
      </c>
      <c r="V60" s="289">
        <f t="shared" si="20"/>
        <v>0.64369780955119882</v>
      </c>
      <c r="W60" s="289">
        <f t="shared" si="20"/>
        <v>0.64019655217901161</v>
      </c>
      <c r="X60" s="289">
        <f t="shared" si="20"/>
        <v>0.6360668822242378</v>
      </c>
      <c r="Y60" s="289">
        <f t="shared" si="20"/>
        <v>0.63331180622412697</v>
      </c>
      <c r="Z60" s="289">
        <f t="shared" si="20"/>
        <v>0.62991034449949146</v>
      </c>
      <c r="AA60" s="289">
        <f t="shared" si="20"/>
        <v>0.62827686114225489</v>
      </c>
      <c r="AB60" s="289">
        <f t="shared" si="20"/>
        <v>0.62565058584104083</v>
      </c>
      <c r="AC60" s="289">
        <f t="shared" si="20"/>
        <v>0.62358838082750889</v>
      </c>
      <c r="AD60" s="289">
        <f t="shared" si="20"/>
        <v>0.62088126526535903</v>
      </c>
      <c r="AE60" s="289">
        <f t="shared" si="20"/>
        <v>0.61673892163026145</v>
      </c>
      <c r="AF60" s="289">
        <f t="shared" si="20"/>
        <v>0.61305553227952914</v>
      </c>
      <c r="AG60" s="289">
        <f t="shared" si="20"/>
        <v>0.60743011067331598</v>
      </c>
      <c r="AH60" s="289">
        <f t="shared" si="20"/>
        <v>0.60132296280215503</v>
      </c>
      <c r="AI60" s="289">
        <f t="shared" si="20"/>
        <v>0.59682030929537899</v>
      </c>
      <c r="AJ60" s="289">
        <f t="shared" si="20"/>
        <v>0.59336316654155141</v>
      </c>
      <c r="AK60" s="289"/>
      <c r="AL60" s="239" t="s">
        <v>0</v>
      </c>
    </row>
    <row r="61" spans="1:44" s="230" customFormat="1">
      <c r="A61" s="227" t="s">
        <v>107</v>
      </c>
      <c r="B61" s="323">
        <f>B54/B58</f>
        <v>6.2756452045864164E-2</v>
      </c>
      <c r="C61" s="323">
        <f t="shared" ref="C61:AJ61" si="21">C54/C58</f>
        <v>8.9068083936589382E-2</v>
      </c>
      <c r="D61" s="323">
        <f t="shared" si="21"/>
        <v>0.11223024198680072</v>
      </c>
      <c r="E61" s="323">
        <f t="shared" si="21"/>
        <v>0.1007392426250087</v>
      </c>
      <c r="F61" s="323">
        <f t="shared" si="21"/>
        <v>8.660655737704917E-2</v>
      </c>
      <c r="G61" s="274">
        <f t="shared" si="21"/>
        <v>0.10698172660258186</v>
      </c>
      <c r="H61" s="274">
        <f t="shared" si="21"/>
        <v>9.6130570473556304E-2</v>
      </c>
      <c r="I61" s="274">
        <f t="shared" si="21"/>
        <v>0.11451224619117849</v>
      </c>
      <c r="J61" s="274">
        <f t="shared" si="21"/>
        <v>0.11662114406518022</v>
      </c>
      <c r="K61" s="274">
        <f t="shared" si="21"/>
        <v>0.11884586295888069</v>
      </c>
      <c r="L61" s="274">
        <f t="shared" si="21"/>
        <v>0.12033761084674874</v>
      </c>
      <c r="M61" s="274">
        <f t="shared" si="21"/>
        <v>0.12118676147166157</v>
      </c>
      <c r="N61" s="274">
        <f t="shared" si="21"/>
        <v>0.12104203647056909</v>
      </c>
      <c r="O61" s="274">
        <f t="shared" si="21"/>
        <v>0.12137715195946051</v>
      </c>
      <c r="P61" s="274">
        <f t="shared" si="21"/>
        <v>0.12246896684833124</v>
      </c>
      <c r="Q61" s="274">
        <f t="shared" si="21"/>
        <v>0.12427272077814332</v>
      </c>
      <c r="R61" s="274">
        <f t="shared" si="21"/>
        <v>0.12511136757389127</v>
      </c>
      <c r="S61" s="274">
        <f t="shared" si="21"/>
        <v>0.12937154284551652</v>
      </c>
      <c r="T61" s="274">
        <f t="shared" si="21"/>
        <v>0.1299989976309246</v>
      </c>
      <c r="U61" s="274">
        <f t="shared" si="21"/>
        <v>0.13489991439492369</v>
      </c>
      <c r="V61" s="274">
        <f t="shared" si="21"/>
        <v>0.13626558253740564</v>
      </c>
      <c r="W61" s="274">
        <f t="shared" si="21"/>
        <v>0.13702346315941114</v>
      </c>
      <c r="X61" s="274">
        <f t="shared" si="21"/>
        <v>0.13801232613919828</v>
      </c>
      <c r="Y61" s="274">
        <f t="shared" si="21"/>
        <v>0.14464795774238767</v>
      </c>
      <c r="Z61" s="274">
        <f t="shared" si="21"/>
        <v>0.14554642906476942</v>
      </c>
      <c r="AA61" s="274">
        <f t="shared" si="21"/>
        <v>0.14614186621040626</v>
      </c>
      <c r="AB61" s="274">
        <f t="shared" si="21"/>
        <v>0.14668195949129872</v>
      </c>
      <c r="AC61" s="274">
        <f t="shared" si="21"/>
        <v>0.1472704707458862</v>
      </c>
      <c r="AD61" s="274">
        <f t="shared" si="21"/>
        <v>0.14786877545865043</v>
      </c>
      <c r="AE61" s="274">
        <f t="shared" si="21"/>
        <v>0.1483868595309383</v>
      </c>
      <c r="AF61" s="274">
        <f t="shared" si="21"/>
        <v>0.149173053850674</v>
      </c>
      <c r="AG61" s="274">
        <f t="shared" si="21"/>
        <v>0.14957641237875341</v>
      </c>
      <c r="AH61" s="274">
        <f t="shared" si="21"/>
        <v>0.1502072437340157</v>
      </c>
      <c r="AI61" s="274">
        <f t="shared" si="21"/>
        <v>0.15086944649443945</v>
      </c>
      <c r="AJ61" s="274">
        <f t="shared" si="21"/>
        <v>0.15154108198134816</v>
      </c>
      <c r="AK61" s="274"/>
    </row>
    <row r="62" spans="1:44" s="240" customFormat="1">
      <c r="A62" s="229" t="s">
        <v>108</v>
      </c>
      <c r="B62" s="333">
        <f>(B54-EIA_RE_aeo2014!B73)/B56</f>
        <v>3.3008108263528152E-2</v>
      </c>
      <c r="C62" s="333">
        <f>(C54-EIA_RE_aeo2014!C73)/C56</f>
        <v>2.9727452560627157E-2</v>
      </c>
      <c r="D62" s="333">
        <f>(D54-EIA_RE_aeo2014!D73)/D56</f>
        <v>2.7483606110697351E-2</v>
      </c>
      <c r="E62" s="333">
        <f>(E54-EIA_RE_aeo2014!E73)/E56</f>
        <v>2.7585366702634968E-2</v>
      </c>
      <c r="F62" s="333">
        <f>(F54-EIA_RE_aeo2014!F73)/F56</f>
        <v>2.6622950819672139E-2</v>
      </c>
      <c r="G62" s="290">
        <f>(G54-EIA_RE_aeo2014!G73)/G56</f>
        <v>3.012835638747105E-2</v>
      </c>
      <c r="H62" s="290">
        <f>(H54-EIA_RE_aeo2014!H73)/H56</f>
        <v>3.0583531613399145E-2</v>
      </c>
      <c r="I62" s="290">
        <f>(I54-EIA_RE_aeo2014!I73)/I56</f>
        <v>3.2873751446644547E-2</v>
      </c>
      <c r="J62" s="290">
        <f>(J54-EIA_RE_aeo2014!J73)/J56</f>
        <v>3.3624919255275595E-2</v>
      </c>
      <c r="K62" s="290">
        <f>(K54-EIA_RE_aeo2014!K73)/K56</f>
        <v>3.4554599230730523E-2</v>
      </c>
      <c r="L62" s="290">
        <f>(L54-EIA_RE_aeo2014!L73)/L56</f>
        <v>3.6040709440368114E-2</v>
      </c>
      <c r="M62" s="290">
        <f>(M54-EIA_RE_aeo2014!M73)/M56</f>
        <v>3.8027169725013597E-2</v>
      </c>
      <c r="N62" s="290">
        <f>(N54-EIA_RE_aeo2014!N73)/N56</f>
        <v>3.9099389021483834E-2</v>
      </c>
      <c r="O62" s="290">
        <f>(O54-EIA_RE_aeo2014!O73)/O56</f>
        <v>4.0226746259520427E-2</v>
      </c>
      <c r="P62" s="290">
        <f>(P54-EIA_RE_aeo2014!P73)/P56</f>
        <v>4.1867004927498078E-2</v>
      </c>
      <c r="Q62" s="290">
        <f>(Q54-EIA_RE_aeo2014!Q73)/Q56</f>
        <v>4.4408406072540547E-2</v>
      </c>
      <c r="R62" s="290">
        <f>(R54-EIA_RE_aeo2014!R73)/R56</f>
        <v>4.5975988808931702E-2</v>
      </c>
      <c r="S62" s="290">
        <f>(S54-EIA_RE_aeo2014!S73)/S56</f>
        <v>5.0895542865136714E-2</v>
      </c>
      <c r="T62" s="290">
        <f>(T54-EIA_RE_aeo2014!T73)/T56</f>
        <v>5.2441384072057999E-2</v>
      </c>
      <c r="U62" s="290">
        <f>(U54-EIA_RE_aeo2014!U73)/U56</f>
        <v>5.8334355653593788E-2</v>
      </c>
      <c r="V62" s="290">
        <f>(V54-EIA_RE_aeo2014!V73)/V56</f>
        <v>5.9935325314519353E-2</v>
      </c>
      <c r="W62" s="290">
        <f>(W54-EIA_RE_aeo2014!W73)/W56</f>
        <v>6.0961040034764248E-2</v>
      </c>
      <c r="X62" s="290">
        <f>(X54-EIA_RE_aeo2014!X73)/X56</f>
        <v>6.1832388405116089E-2</v>
      </c>
      <c r="Y62" s="290">
        <f>(Y54-EIA_RE_aeo2014!Y73)/Y56</f>
        <v>6.8569850967266713E-2</v>
      </c>
      <c r="Z62" s="290">
        <f>(Z54-EIA_RE_aeo2014!Z73)/Z56</f>
        <v>6.9297528848102988E-2</v>
      </c>
      <c r="AA62" s="290">
        <f>(AA54-EIA_RE_aeo2014!AK73)/AA56</f>
        <v>0.14614186621040626</v>
      </c>
      <c r="AB62" s="290">
        <f>(AB54-EIA_RE_aeo2014!AL73)/AB56</f>
        <v>0.14668195949129872</v>
      </c>
      <c r="AC62" s="290">
        <f>(AC54-EIA_RE_aeo2014!AM73)/AC56</f>
        <v>0.1472704707458862</v>
      </c>
      <c r="AD62" s="290">
        <f>(AD54-EIA_RE_aeo2014!AN73)/AD56</f>
        <v>0.12448365179395793</v>
      </c>
      <c r="AE62" s="290">
        <f>(AE54-EIA_RE_aeo2014!AO73)/AE56</f>
        <v>9.9806370430567268E-2</v>
      </c>
      <c r="AF62" s="290">
        <f>(AF54-EIA_RE_aeo2014!AP73)/AF56</f>
        <v>7.9547799037844993E-2</v>
      </c>
      <c r="AG62" s="290">
        <f>(AG54-EIA_RE_aeo2014!AQ73)/AG56</f>
        <v>8.7322360846140548E-2</v>
      </c>
      <c r="AH62" s="290">
        <f>(AH54-EIA_RE_aeo2014!AR73)/AH56</f>
        <v>9.6271328898269254E-2</v>
      </c>
      <c r="AI62" s="290">
        <f>(AI54-EIA_RE_aeo2014!AS73)/AI56</f>
        <v>0.15086944649443945</v>
      </c>
      <c r="AJ62" s="290">
        <f>(AJ54-EIA_RE_aeo2014!AT73)/AJ56</f>
        <v>0.15154108198134816</v>
      </c>
      <c r="AK62" s="290"/>
    </row>
    <row r="63" spans="1:44" s="383" customFormat="1">
      <c r="A63" s="383" t="s">
        <v>109</v>
      </c>
      <c r="C63" s="384"/>
      <c r="D63" s="384"/>
      <c r="E63" s="384"/>
      <c r="F63" s="384">
        <v>42094.619140625</v>
      </c>
      <c r="G63" s="385">
        <v>102605.04540000002</v>
      </c>
      <c r="H63" s="385">
        <v>163360.96875</v>
      </c>
      <c r="I63" s="385">
        <v>225974.68357199998</v>
      </c>
      <c r="J63" s="385">
        <v>289591.77345600002</v>
      </c>
      <c r="K63" s="385">
        <v>358569.27243000007</v>
      </c>
      <c r="L63" s="385">
        <v>428005.66654200002</v>
      </c>
      <c r="M63" s="385">
        <v>499509.19281199999</v>
      </c>
      <c r="N63" s="385">
        <v>571413.594774</v>
      </c>
      <c r="O63" s="385">
        <v>642582.21966400009</v>
      </c>
      <c r="P63" s="385">
        <v>712804.27253000019</v>
      </c>
      <c r="Q63" s="385">
        <v>785931.55672200024</v>
      </c>
      <c r="R63" s="385">
        <v>861455.63087200013</v>
      </c>
      <c r="S63" s="385">
        <v>939930.84375000035</v>
      </c>
      <c r="T63" s="385">
        <v>1018634.9062500005</v>
      </c>
      <c r="U63" s="385">
        <v>1096613.15925</v>
      </c>
      <c r="V63" s="386"/>
      <c r="W63" s="386"/>
      <c r="X63" s="386"/>
      <c r="Y63" s="386"/>
      <c r="Z63" s="386"/>
      <c r="AA63" s="386"/>
      <c r="AB63" s="386"/>
      <c r="AC63" s="386"/>
      <c r="AD63" s="386"/>
      <c r="AE63" s="386"/>
      <c r="AF63" s="386"/>
      <c r="AG63" s="386"/>
      <c r="AH63" s="386"/>
      <c r="AI63" s="386"/>
      <c r="AJ63" s="386"/>
      <c r="AK63" s="386"/>
    </row>
    <row r="64" spans="1:44" s="387" customFormat="1">
      <c r="A64" s="387" t="s">
        <v>110</v>
      </c>
      <c r="C64" s="388"/>
      <c r="D64" s="388"/>
      <c r="E64" s="388"/>
      <c r="F64" s="388"/>
      <c r="G64" s="389">
        <f>G63/1000/G58</f>
        <v>1.8057256087552156</v>
      </c>
      <c r="H64" s="389">
        <f t="shared" ref="H64:O64" si="22">H63/1000/H58</f>
        <v>3.0137429876828414</v>
      </c>
      <c r="I64" s="389">
        <f t="shared" si="22"/>
        <v>4.0904182475424893</v>
      </c>
      <c r="J64" s="389">
        <f t="shared" si="22"/>
        <v>5.2040090107738886</v>
      </c>
      <c r="K64" s="389">
        <f t="shared" si="22"/>
        <v>6.4112129507497384</v>
      </c>
      <c r="L64" s="389">
        <f t="shared" si="22"/>
        <v>7.521293043616275</v>
      </c>
      <c r="M64" s="389">
        <f t="shared" si="22"/>
        <v>8.5592564524438703</v>
      </c>
      <c r="N64" s="389">
        <f t="shared" si="22"/>
        <v>9.6480819322719551</v>
      </c>
      <c r="O64" s="389">
        <f t="shared" si="22"/>
        <v>10.74483397643503</v>
      </c>
      <c r="P64" s="389">
        <f t="shared" ref="P64" si="23">P63/1000/P58</f>
        <v>11.838490504492782</v>
      </c>
      <c r="Q64" s="389">
        <f t="shared" ref="Q64" si="24">Q63/1000/Q58</f>
        <v>12.933552035269521</v>
      </c>
      <c r="R64" s="389">
        <f t="shared" ref="R64" si="25">R63/1000/R58</f>
        <v>14.047020713326976</v>
      </c>
      <c r="S64" s="389">
        <f t="shared" ref="S64" si="26">S63/1000/S58</f>
        <v>15.115492334412359</v>
      </c>
      <c r="T64" s="389">
        <f t="shared" ref="T64" si="27">T63/1000/T58</f>
        <v>16.189472667416755</v>
      </c>
      <c r="U64" s="389">
        <f t="shared" ref="U64" si="28">U63/1000/U58</f>
        <v>17.205862120628822</v>
      </c>
      <c r="V64" s="389"/>
      <c r="W64" s="389"/>
      <c r="X64" s="389"/>
      <c r="Y64" s="389"/>
      <c r="Z64" s="389"/>
      <c r="AA64" s="389"/>
      <c r="AB64" s="389"/>
      <c r="AC64" s="389"/>
      <c r="AD64" s="389"/>
      <c r="AE64" s="389"/>
      <c r="AF64" s="389"/>
      <c r="AG64" s="389"/>
      <c r="AH64" s="389"/>
      <c r="AI64" s="389"/>
      <c r="AJ64" s="389"/>
      <c r="AK64" s="389"/>
    </row>
    <row r="65" spans="1:38" s="387" customFormat="1">
      <c r="A65" s="387" t="s">
        <v>113</v>
      </c>
      <c r="D65" s="388"/>
      <c r="E65" s="388"/>
      <c r="F65" s="388"/>
      <c r="G65" s="389"/>
      <c r="H65" s="389">
        <f t="shared" ref="H65:U65" si="29">(H64-G64)/G64</f>
        <v>0.66899277114443634</v>
      </c>
      <c r="I65" s="389">
        <f t="shared" si="29"/>
        <v>0.35725516882495167</v>
      </c>
      <c r="J65" s="389">
        <f t="shared" si="29"/>
        <v>0.27224374033155196</v>
      </c>
      <c r="K65" s="389">
        <f t="shared" si="29"/>
        <v>0.23197575897285513</v>
      </c>
      <c r="L65" s="389">
        <f t="shared" si="29"/>
        <v>0.17314665748806893</v>
      </c>
      <c r="M65" s="389">
        <f t="shared" si="29"/>
        <v>0.13800331974946389</v>
      </c>
      <c r="N65" s="389">
        <f t="shared" si="29"/>
        <v>0.12721028816903826</v>
      </c>
      <c r="O65" s="389">
        <f t="shared" si="29"/>
        <v>0.11367565614202961</v>
      </c>
      <c r="P65" s="389">
        <f t="shared" si="29"/>
        <v>0.10178440452931128</v>
      </c>
      <c r="Q65" s="389">
        <f t="shared" si="29"/>
        <v>9.2500097910384479E-2</v>
      </c>
      <c r="R65" s="389">
        <f t="shared" si="29"/>
        <v>8.6091483222942106E-2</v>
      </c>
      <c r="S65" s="389">
        <f t="shared" si="29"/>
        <v>7.606393148346971E-2</v>
      </c>
      <c r="T65" s="389">
        <f t="shared" si="29"/>
        <v>7.1051627644264162E-2</v>
      </c>
      <c r="U65" s="389">
        <f t="shared" si="29"/>
        <v>6.2780886943752792E-2</v>
      </c>
      <c r="V65" s="389"/>
      <c r="W65" s="389"/>
      <c r="X65" s="389"/>
      <c r="Y65" s="389"/>
      <c r="Z65" s="389"/>
      <c r="AA65" s="389"/>
      <c r="AB65" s="389"/>
      <c r="AC65" s="389"/>
      <c r="AD65" s="389"/>
      <c r="AE65" s="389"/>
      <c r="AF65" s="389"/>
      <c r="AG65" s="389"/>
      <c r="AH65" s="389"/>
      <c r="AI65" s="389"/>
      <c r="AJ65" s="389"/>
      <c r="AK65" s="389"/>
    </row>
    <row r="66" spans="1:38" s="230" customFormat="1">
      <c r="A66" s="230" t="s">
        <v>129</v>
      </c>
      <c r="B66" s="334">
        <f>B52/B58</f>
        <v>0.2920773095064616</v>
      </c>
      <c r="C66" s="334">
        <f t="shared" ref="C66:AJ66" si="30">C52/C58</f>
        <v>0.28380830202510765</v>
      </c>
      <c r="D66" s="334">
        <f t="shared" si="30"/>
        <v>0.25758594985728051</v>
      </c>
      <c r="E66" s="334">
        <f t="shared" si="30"/>
        <v>0.26448845805146803</v>
      </c>
      <c r="F66" s="334">
        <f t="shared" si="30"/>
        <v>0.24627868852459012</v>
      </c>
      <c r="G66" s="291">
        <f t="shared" si="30"/>
        <v>0.2688259273175429</v>
      </c>
      <c r="H66" s="291">
        <f t="shared" si="30"/>
        <v>0.27920133029770922</v>
      </c>
      <c r="I66" s="291">
        <f t="shared" si="30"/>
        <v>0.2695727961995017</v>
      </c>
      <c r="J66" s="291">
        <f t="shared" si="30"/>
        <v>0.26841509802431257</v>
      </c>
      <c r="K66" s="291">
        <f t="shared" si="30"/>
        <v>0.2772070616914678</v>
      </c>
      <c r="L66" s="291">
        <f t="shared" si="30"/>
        <v>0.2839883795376083</v>
      </c>
      <c r="M66" s="291">
        <f t="shared" si="30"/>
        <v>0.28785757254011396</v>
      </c>
      <c r="N66" s="291">
        <f t="shared" si="30"/>
        <v>0.29201562588517505</v>
      </c>
      <c r="O66" s="291">
        <f t="shared" si="30"/>
        <v>0.29064050519132661</v>
      </c>
      <c r="P66" s="291">
        <f t="shared" si="30"/>
        <v>0.28867633411697902</v>
      </c>
      <c r="Q66" s="291">
        <f t="shared" si="30"/>
        <v>0.28603437800952464</v>
      </c>
      <c r="R66" s="291">
        <f t="shared" si="30"/>
        <v>0.28342388757385173</v>
      </c>
      <c r="S66" s="291">
        <f t="shared" si="30"/>
        <v>0.27951913381028859</v>
      </c>
      <c r="T66" s="291">
        <f t="shared" si="30"/>
        <v>0.27624808957867564</v>
      </c>
      <c r="U66" s="291">
        <f t="shared" si="30"/>
        <v>0.27271498298871588</v>
      </c>
      <c r="V66" s="291">
        <f t="shared" si="30"/>
        <v>0.27131022292742268</v>
      </c>
      <c r="W66" s="291">
        <f t="shared" si="30"/>
        <v>0.27002064570730877</v>
      </c>
      <c r="X66" s="291">
        <f t="shared" si="30"/>
        <v>0.2685395458216574</v>
      </c>
      <c r="Y66" s="291">
        <f t="shared" si="30"/>
        <v>0.26635430345880207</v>
      </c>
      <c r="Z66" s="291">
        <f t="shared" si="30"/>
        <v>0.26493905389155337</v>
      </c>
      <c r="AA66" s="291">
        <f t="shared" si="30"/>
        <v>0.2643614658258881</v>
      </c>
      <c r="AB66" s="291">
        <f t="shared" si="30"/>
        <v>0.26349173970420298</v>
      </c>
      <c r="AC66" s="291">
        <f t="shared" si="30"/>
        <v>0.26289213691088781</v>
      </c>
      <c r="AD66" s="291">
        <f t="shared" si="30"/>
        <v>0.26206740688198232</v>
      </c>
      <c r="AE66" s="291">
        <f t="shared" si="30"/>
        <v>0.26085810145023902</v>
      </c>
      <c r="AF66" s="291">
        <f t="shared" si="30"/>
        <v>0.25969645812710784</v>
      </c>
      <c r="AG66" s="291">
        <f t="shared" si="30"/>
        <v>0.25806428492431788</v>
      </c>
      <c r="AH66" s="291">
        <f t="shared" si="30"/>
        <v>0.25621277813024318</v>
      </c>
      <c r="AI66" s="291">
        <f t="shared" si="30"/>
        <v>0.25467279140613308</v>
      </c>
      <c r="AJ66" s="291">
        <f t="shared" si="30"/>
        <v>0.25344011249598059</v>
      </c>
      <c r="AK66" s="291"/>
    </row>
    <row r="67" spans="1:38">
      <c r="A67" s="6" t="s">
        <v>85</v>
      </c>
      <c r="B67"/>
      <c r="C67"/>
      <c r="D67"/>
      <c r="E67"/>
      <c r="F67"/>
      <c r="G67"/>
      <c r="H67"/>
      <c r="I67"/>
      <c r="J67"/>
      <c r="K67"/>
      <c r="L67"/>
      <c r="M67"/>
      <c r="N67"/>
      <c r="O67"/>
      <c r="P67"/>
      <c r="Q67"/>
      <c r="R67"/>
      <c r="S67"/>
      <c r="T67"/>
      <c r="U67"/>
      <c r="V67"/>
      <c r="W67"/>
      <c r="X67"/>
      <c r="Y67"/>
      <c r="Z67"/>
      <c r="AA67"/>
      <c r="AB67"/>
      <c r="AC67"/>
      <c r="AD67"/>
      <c r="AE67"/>
      <c r="AF67"/>
      <c r="AG67"/>
      <c r="AH67"/>
      <c r="AI67"/>
      <c r="AJ67"/>
      <c r="AK67"/>
      <c r="AL67"/>
    </row>
    <row r="68" spans="1:38">
      <c r="B68"/>
      <c r="C68"/>
      <c r="D68"/>
      <c r="E68"/>
      <c r="F68"/>
      <c r="G68"/>
      <c r="H68"/>
      <c r="I68"/>
      <c r="J68"/>
      <c r="K68"/>
      <c r="L68"/>
      <c r="M68"/>
      <c r="N68"/>
      <c r="O68"/>
      <c r="P68"/>
      <c r="Q68"/>
      <c r="R68"/>
      <c r="S68"/>
      <c r="T68"/>
      <c r="U68"/>
      <c r="V68"/>
      <c r="W68"/>
      <c r="X68"/>
      <c r="Y68"/>
      <c r="Z68"/>
      <c r="AA68"/>
      <c r="AB68"/>
      <c r="AC68"/>
      <c r="AD68"/>
      <c r="AE68"/>
      <c r="AF68"/>
      <c r="AG68"/>
      <c r="AH68"/>
      <c r="AI68"/>
      <c r="AJ68"/>
      <c r="AK68"/>
      <c r="AL68"/>
    </row>
    <row r="69" spans="1:38">
      <c r="A69" s="6" t="s">
        <v>86</v>
      </c>
      <c r="B69"/>
      <c r="C69"/>
      <c r="D69"/>
      <c r="E69"/>
      <c r="F69"/>
      <c r="G69"/>
      <c r="H69"/>
      <c r="I69"/>
      <c r="J69"/>
      <c r="K69"/>
      <c r="L69"/>
      <c r="M69"/>
      <c r="N69"/>
      <c r="O69"/>
      <c r="P69"/>
      <c r="Q69"/>
      <c r="R69"/>
      <c r="S69"/>
      <c r="T69"/>
      <c r="U69"/>
      <c r="V69"/>
      <c r="W69"/>
      <c r="X69"/>
      <c r="Y69"/>
      <c r="Z69"/>
      <c r="AA69"/>
      <c r="AB69"/>
      <c r="AC69"/>
      <c r="AD69"/>
      <c r="AE69"/>
      <c r="AF69"/>
      <c r="AG69"/>
      <c r="AH69"/>
      <c r="AI69"/>
      <c r="AJ69"/>
      <c r="AK69"/>
      <c r="AL69"/>
    </row>
    <row r="70" spans="1:38">
      <c r="A70" s="6" t="s">
        <v>87</v>
      </c>
      <c r="B70"/>
      <c r="C70"/>
      <c r="D70"/>
      <c r="E70"/>
      <c r="F70"/>
      <c r="G70"/>
      <c r="H70"/>
      <c r="I70"/>
      <c r="J70"/>
      <c r="K70"/>
      <c r="L70"/>
      <c r="M70"/>
      <c r="N70"/>
      <c r="O70"/>
      <c r="P70"/>
      <c r="Q70"/>
      <c r="R70"/>
      <c r="S70"/>
      <c r="T70"/>
      <c r="U70"/>
      <c r="V70"/>
      <c r="W70"/>
      <c r="X70"/>
      <c r="Y70"/>
      <c r="Z70"/>
      <c r="AA70"/>
      <c r="AB70"/>
      <c r="AC70"/>
      <c r="AD70"/>
      <c r="AE70"/>
      <c r="AF70"/>
      <c r="AG70"/>
      <c r="AH70"/>
      <c r="AI70"/>
      <c r="AJ70"/>
      <c r="AK70"/>
      <c r="AL70"/>
    </row>
    <row r="71" spans="1:38">
      <c r="A71" s="6" t="s">
        <v>88</v>
      </c>
      <c r="B71"/>
      <c r="C71"/>
      <c r="D71"/>
      <c r="E71"/>
      <c r="F71"/>
      <c r="G71"/>
      <c r="H71"/>
      <c r="I71"/>
      <c r="J71"/>
      <c r="K71"/>
      <c r="L71"/>
      <c r="M71"/>
      <c r="N71"/>
      <c r="O71"/>
      <c r="P71"/>
      <c r="Q71"/>
      <c r="R71"/>
      <c r="S71"/>
      <c r="T71"/>
      <c r="U71"/>
      <c r="V71"/>
      <c r="W71"/>
      <c r="X71"/>
      <c r="Y71"/>
      <c r="Z71"/>
      <c r="AA71"/>
      <c r="AB71"/>
      <c r="AC71"/>
      <c r="AD71"/>
      <c r="AE71"/>
      <c r="AF71"/>
      <c r="AG71"/>
      <c r="AH71"/>
      <c r="AI71"/>
      <c r="AJ71"/>
      <c r="AK71"/>
      <c r="AL71"/>
    </row>
    <row r="72" spans="1:38">
      <c r="A72" s="6" t="s">
        <v>89</v>
      </c>
      <c r="B72"/>
      <c r="C72"/>
      <c r="D72"/>
      <c r="E72"/>
      <c r="F72"/>
      <c r="G72"/>
      <c r="H72"/>
      <c r="I72"/>
      <c r="J72"/>
      <c r="K72"/>
      <c r="L72"/>
      <c r="M72"/>
      <c r="N72"/>
      <c r="O72"/>
      <c r="P72"/>
      <c r="Q72"/>
      <c r="R72"/>
      <c r="S72"/>
      <c r="T72"/>
      <c r="U72"/>
      <c r="V72"/>
      <c r="W72"/>
      <c r="X72"/>
      <c r="Y72"/>
      <c r="Z72"/>
      <c r="AA72"/>
      <c r="AB72"/>
      <c r="AC72"/>
      <c r="AD72"/>
      <c r="AE72"/>
      <c r="AF72"/>
      <c r="AG72"/>
      <c r="AH72"/>
      <c r="AI72"/>
      <c r="AJ72"/>
      <c r="AK72"/>
      <c r="AL72"/>
    </row>
    <row r="73" spans="1:38">
      <c r="A73" s="6" t="s">
        <v>90</v>
      </c>
      <c r="B73"/>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1:38">
      <c r="A74" s="6" t="s">
        <v>91</v>
      </c>
      <c r="B74"/>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1:38">
      <c r="A75" s="6" t="s">
        <v>92</v>
      </c>
      <c r="B7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1:38">
      <c r="A76" s="6" t="s">
        <v>93</v>
      </c>
      <c r="B76"/>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1:38">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1:38">
      <c r="A78" s="6" t="s">
        <v>94</v>
      </c>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1:38">
      <c r="A79" s="6" t="s">
        <v>590</v>
      </c>
      <c r="B79"/>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1:38">
      <c r="A80" s="6" t="s">
        <v>95</v>
      </c>
      <c r="B80"/>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1:38">
      <c r="A81" s="6" t="s">
        <v>96</v>
      </c>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1:38">
      <c r="A82" s="6" t="s">
        <v>97</v>
      </c>
      <c r="B82"/>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1:38">
      <c r="A83" s="6" t="s">
        <v>98</v>
      </c>
      <c r="B83"/>
      <c r="C83"/>
      <c r="D83"/>
      <c r="E83"/>
      <c r="F83"/>
      <c r="G83"/>
      <c r="H83"/>
      <c r="I83"/>
      <c r="J83"/>
      <c r="K83"/>
      <c r="L83"/>
      <c r="M83"/>
      <c r="N83"/>
      <c r="O83"/>
      <c r="P83"/>
      <c r="Q83"/>
      <c r="R83"/>
      <c r="S83"/>
      <c r="T83"/>
      <c r="U83"/>
      <c r="V83"/>
      <c r="W83"/>
      <c r="X83"/>
      <c r="Y83"/>
      <c r="Z83"/>
      <c r="AA83"/>
      <c r="AB83"/>
      <c r="AC83"/>
      <c r="AD83"/>
      <c r="AE83"/>
      <c r="AF83"/>
      <c r="AG83"/>
      <c r="AH83"/>
      <c r="AI83"/>
      <c r="AJ83"/>
      <c r="AK83"/>
      <c r="AL83"/>
    </row>
    <row r="84" spans="1:38">
      <c r="A84" s="6" t="s">
        <v>99</v>
      </c>
      <c r="B84"/>
      <c r="C84"/>
      <c r="D84"/>
      <c r="E84"/>
      <c r="F84"/>
      <c r="G84"/>
      <c r="H84"/>
      <c r="I84"/>
      <c r="J84"/>
      <c r="K84"/>
      <c r="L84"/>
      <c r="M84"/>
      <c r="N84"/>
      <c r="O84"/>
      <c r="P84"/>
      <c r="Q84"/>
      <c r="R84"/>
      <c r="S84"/>
      <c r="T84"/>
      <c r="U84"/>
      <c r="V84"/>
      <c r="W84"/>
      <c r="X84"/>
      <c r="Y84"/>
      <c r="Z84"/>
      <c r="AA84"/>
      <c r="AB84"/>
      <c r="AC84"/>
      <c r="AD84"/>
      <c r="AE84"/>
      <c r="AF84"/>
      <c r="AG84"/>
      <c r="AH84"/>
      <c r="AI84"/>
      <c r="AJ84"/>
      <c r="AK84"/>
      <c r="AL84"/>
    </row>
    <row r="85" spans="1:38">
      <c r="A85" s="6" t="s">
        <v>100</v>
      </c>
      <c r="B85"/>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1:38">
      <c r="A86" s="6" t="s">
        <v>95</v>
      </c>
      <c r="B86"/>
      <c r="C86"/>
      <c r="D86"/>
      <c r="E86"/>
      <c r="F86"/>
      <c r="G86"/>
      <c r="H86"/>
      <c r="I86"/>
      <c r="J86"/>
      <c r="K86"/>
      <c r="L86"/>
      <c r="M86"/>
      <c r="N86"/>
      <c r="O86"/>
      <c r="P86"/>
      <c r="Q86"/>
      <c r="R86"/>
      <c r="S86"/>
      <c r="T86"/>
      <c r="U86"/>
      <c r="V86"/>
      <c r="W86"/>
      <c r="X86"/>
      <c r="Y86"/>
      <c r="Z86"/>
      <c r="AA86"/>
      <c r="AB86"/>
      <c r="AC86"/>
      <c r="AD86"/>
      <c r="AE86"/>
      <c r="AF86"/>
      <c r="AG86"/>
      <c r="AH86"/>
      <c r="AI86"/>
      <c r="AJ86"/>
      <c r="AK86"/>
      <c r="AL86"/>
    </row>
    <row r="87" spans="1:38">
      <c r="A87" s="6" t="s">
        <v>96</v>
      </c>
      <c r="B87"/>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1:38">
      <c r="A88" s="6" t="s">
        <v>97</v>
      </c>
      <c r="B88"/>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1:38">
      <c r="A89" s="6" t="s">
        <v>98</v>
      </c>
      <c r="B89"/>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1:38">
      <c r="A90" s="6" t="s">
        <v>99</v>
      </c>
      <c r="B90"/>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1:38">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1:38">
      <c r="A92" s="6" t="s">
        <v>101</v>
      </c>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1:38">
      <c r="A93" s="6" t="s">
        <v>590</v>
      </c>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1:38">
      <c r="A94" s="6" t="s">
        <v>102</v>
      </c>
      <c r="B94"/>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1:38">
      <c r="A95" s="6" t="s">
        <v>103</v>
      </c>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1:38">
      <c r="A96" s="6" t="s">
        <v>104</v>
      </c>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1:38">
      <c r="A97" s="6" t="s">
        <v>100</v>
      </c>
      <c r="B97"/>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1:38">
      <c r="A98" s="6" t="s">
        <v>102</v>
      </c>
      <c r="B98"/>
      <c r="C98"/>
      <c r="D98"/>
      <c r="E98"/>
      <c r="F98"/>
      <c r="G98"/>
      <c r="H98"/>
      <c r="I98"/>
      <c r="J98"/>
      <c r="K98"/>
      <c r="L98"/>
      <c r="M98"/>
      <c r="N98"/>
      <c r="O98"/>
      <c r="P98"/>
      <c r="Q98"/>
      <c r="R98"/>
      <c r="S98"/>
      <c r="T98"/>
      <c r="U98"/>
      <c r="V98"/>
      <c r="W98"/>
      <c r="X98"/>
      <c r="Y98"/>
      <c r="Z98"/>
      <c r="AA98"/>
      <c r="AB98"/>
      <c r="AC98"/>
      <c r="AD98"/>
      <c r="AE98"/>
      <c r="AF98"/>
      <c r="AG98"/>
      <c r="AH98"/>
      <c r="AI98"/>
      <c r="AJ98"/>
      <c r="AK98"/>
      <c r="AL98"/>
    </row>
    <row r="99" spans="1:38">
      <c r="A99" s="6" t="s">
        <v>103</v>
      </c>
      <c r="B99"/>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1:38">
      <c r="A100" s="6" t="s">
        <v>104</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row>
    <row r="101" spans="1:38">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1:38">
      <c r="A102" s="6" t="s">
        <v>105</v>
      </c>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1:38">
      <c r="A103" s="6" t="s">
        <v>628</v>
      </c>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1:38">
      <c r="A104" s="6" t="s">
        <v>106</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1:38">
      <c r="A105" s="6" t="s">
        <v>627</v>
      </c>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9" spans="1:38">
      <c r="A109" s="440" t="s">
        <v>629</v>
      </c>
      <c r="B109" s="440"/>
      <c r="C109" s="440"/>
      <c r="D109" s="440"/>
      <c r="E109" s="440"/>
      <c r="F109" s="440"/>
      <c r="G109" s="440"/>
      <c r="H109" s="440"/>
      <c r="I109" s="440"/>
      <c r="J109" s="440"/>
      <c r="K109" s="440"/>
      <c r="L109" s="440"/>
      <c r="M109" s="440"/>
      <c r="N109" s="440"/>
      <c r="O109" s="440"/>
      <c r="P109" s="440"/>
      <c r="Q109" s="440"/>
      <c r="R109" s="440"/>
      <c r="S109" s="440"/>
      <c r="T109" s="440"/>
      <c r="U109" s="440"/>
      <c r="V109" s="440"/>
      <c r="W109" s="440"/>
      <c r="X109" s="440"/>
      <c r="Y109" s="440"/>
      <c r="Z109" s="440"/>
      <c r="AA109" s="440"/>
      <c r="AB109" s="440"/>
      <c r="AC109" s="440"/>
      <c r="AD109" s="440"/>
      <c r="AE109" s="440"/>
      <c r="AF109" s="440"/>
    </row>
    <row r="110" spans="1:38">
      <c r="A110" s="439" t="s">
        <v>630</v>
      </c>
      <c r="B110" s="439"/>
      <c r="C110" s="439"/>
      <c r="D110" s="439"/>
      <c r="E110" s="439"/>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39"/>
      <c r="AD110" s="439"/>
      <c r="AE110" s="439"/>
      <c r="AF110" s="439"/>
    </row>
    <row r="111" spans="1:38">
      <c r="A111" s="439" t="s">
        <v>631</v>
      </c>
      <c r="B111" s="439"/>
      <c r="C111" s="439"/>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c r="AC111" s="439"/>
      <c r="AD111" s="439"/>
      <c r="AE111" s="439"/>
      <c r="AF111" s="439"/>
    </row>
    <row r="112" spans="1:38">
      <c r="A112" s="439" t="s">
        <v>632</v>
      </c>
      <c r="B112" s="439"/>
      <c r="C112" s="439"/>
      <c r="D112" s="439"/>
      <c r="E112" s="439"/>
      <c r="F112" s="439"/>
      <c r="G112" s="439"/>
      <c r="H112" s="439"/>
      <c r="I112" s="439"/>
      <c r="J112" s="439"/>
      <c r="K112" s="439"/>
      <c r="L112" s="439"/>
      <c r="M112" s="439"/>
      <c r="N112" s="439"/>
      <c r="O112" s="439"/>
      <c r="P112" s="439"/>
      <c r="Q112" s="439"/>
      <c r="R112" s="439"/>
      <c r="S112" s="439"/>
      <c r="T112" s="439"/>
      <c r="U112" s="439"/>
      <c r="V112" s="439"/>
      <c r="W112" s="439"/>
      <c r="X112" s="439"/>
      <c r="Y112" s="439"/>
      <c r="Z112" s="439"/>
      <c r="AA112" s="439"/>
      <c r="AB112" s="439"/>
      <c r="AC112" s="439"/>
      <c r="AD112" s="439"/>
      <c r="AE112" s="439"/>
      <c r="AF112" s="439"/>
    </row>
    <row r="113" spans="1:32">
      <c r="A113" s="439" t="s">
        <v>633</v>
      </c>
      <c r="B113" s="439"/>
      <c r="C113" s="439"/>
      <c r="D113" s="439"/>
      <c r="E113" s="439"/>
      <c r="F113" s="439"/>
      <c r="G113" s="439"/>
      <c r="H113" s="439"/>
      <c r="I113" s="439"/>
      <c r="J113" s="439"/>
      <c r="K113" s="439"/>
      <c r="L113" s="439"/>
      <c r="M113" s="439"/>
      <c r="N113" s="439"/>
      <c r="O113" s="439"/>
      <c r="P113" s="439"/>
      <c r="Q113" s="439"/>
      <c r="R113" s="439"/>
      <c r="S113" s="439"/>
      <c r="T113" s="439"/>
      <c r="U113" s="439"/>
      <c r="V113" s="439"/>
      <c r="W113" s="439"/>
      <c r="X113" s="439"/>
      <c r="Y113" s="439"/>
      <c r="Z113" s="439"/>
      <c r="AA113" s="439"/>
      <c r="AB113" s="439"/>
      <c r="AC113" s="439"/>
      <c r="AD113" s="439"/>
      <c r="AE113" s="439"/>
      <c r="AF113" s="439"/>
    </row>
    <row r="114" spans="1:32">
      <c r="A114" s="439" t="s">
        <v>634</v>
      </c>
      <c r="B114" s="439"/>
      <c r="C114" s="439"/>
      <c r="D114" s="439"/>
      <c r="E114" s="439"/>
      <c r="F114" s="439"/>
      <c r="G114" s="439"/>
      <c r="H114" s="439"/>
      <c r="I114" s="439"/>
      <c r="J114" s="439"/>
      <c r="K114" s="439"/>
      <c r="L114" s="439"/>
      <c r="M114" s="439"/>
      <c r="N114" s="439"/>
      <c r="O114" s="439"/>
      <c r="P114" s="439"/>
      <c r="Q114" s="439"/>
      <c r="R114" s="439"/>
      <c r="S114" s="439"/>
      <c r="T114" s="439"/>
      <c r="U114" s="439"/>
      <c r="V114" s="439"/>
      <c r="W114" s="439"/>
      <c r="X114" s="439"/>
      <c r="Y114" s="439"/>
      <c r="Z114" s="439"/>
      <c r="AA114" s="439"/>
      <c r="AB114" s="439"/>
      <c r="AC114" s="439"/>
      <c r="AD114" s="439"/>
      <c r="AE114" s="439"/>
      <c r="AF114" s="439"/>
    </row>
    <row r="115" spans="1:32">
      <c r="A115" s="439" t="s">
        <v>635</v>
      </c>
      <c r="B115" s="439"/>
      <c r="C115" s="439"/>
      <c r="D115" s="439"/>
      <c r="E115" s="439"/>
      <c r="F115" s="439"/>
      <c r="G115" s="439"/>
      <c r="H115" s="439"/>
      <c r="I115" s="439"/>
      <c r="J115" s="439"/>
      <c r="K115" s="439"/>
      <c r="L115" s="439"/>
      <c r="M115" s="439"/>
      <c r="N115" s="439"/>
      <c r="O115" s="439"/>
      <c r="P115" s="439"/>
      <c r="Q115" s="439"/>
      <c r="R115" s="439"/>
      <c r="S115" s="439"/>
      <c r="T115" s="439"/>
      <c r="U115" s="439"/>
      <c r="V115" s="439"/>
      <c r="W115" s="439"/>
      <c r="X115" s="439"/>
      <c r="Y115" s="439"/>
      <c r="Z115" s="439"/>
      <c r="AA115" s="439"/>
      <c r="AB115" s="439"/>
      <c r="AC115" s="439"/>
      <c r="AD115" s="439"/>
      <c r="AE115" s="439"/>
      <c r="AF115" s="439"/>
    </row>
    <row r="116" spans="1:32">
      <c r="A116" s="439" t="s">
        <v>636</v>
      </c>
      <c r="B116" s="439"/>
      <c r="C116" s="439"/>
      <c r="D116" s="439"/>
      <c r="E116" s="439"/>
      <c r="F116" s="439"/>
      <c r="G116" s="439"/>
      <c r="H116" s="439"/>
      <c r="I116" s="439"/>
      <c r="J116" s="439"/>
      <c r="K116" s="439"/>
      <c r="L116" s="439"/>
      <c r="M116" s="439"/>
      <c r="N116" s="439"/>
      <c r="O116" s="439"/>
      <c r="P116" s="439"/>
      <c r="Q116" s="439"/>
      <c r="R116" s="439"/>
      <c r="S116" s="439"/>
      <c r="T116" s="439"/>
      <c r="U116" s="439"/>
      <c r="V116" s="439"/>
      <c r="W116" s="439"/>
      <c r="X116" s="439"/>
      <c r="Y116" s="439"/>
      <c r="Z116" s="439"/>
      <c r="AA116" s="439"/>
      <c r="AB116" s="439"/>
      <c r="AC116" s="439"/>
      <c r="AD116" s="439"/>
      <c r="AE116" s="439"/>
      <c r="AF116" s="439"/>
    </row>
    <row r="117" spans="1:32">
      <c r="A117" s="439" t="s">
        <v>637</v>
      </c>
      <c r="B117" s="439"/>
      <c r="C117" s="439"/>
      <c r="D117" s="439"/>
      <c r="E117" s="439"/>
      <c r="F117" s="439"/>
      <c r="G117" s="439"/>
      <c r="H117" s="439"/>
      <c r="I117" s="439"/>
      <c r="J117" s="439"/>
      <c r="K117" s="439"/>
      <c r="L117" s="439"/>
      <c r="M117" s="439"/>
      <c r="N117" s="439"/>
      <c r="O117" s="439"/>
      <c r="P117" s="439"/>
      <c r="Q117" s="439"/>
      <c r="R117" s="439"/>
      <c r="S117" s="439"/>
      <c r="T117" s="439"/>
      <c r="U117" s="439"/>
      <c r="V117" s="439"/>
      <c r="W117" s="439"/>
      <c r="X117" s="439"/>
      <c r="Y117" s="439"/>
      <c r="Z117" s="439"/>
      <c r="AA117" s="439"/>
      <c r="AB117" s="439"/>
      <c r="AC117" s="439"/>
      <c r="AD117" s="439"/>
      <c r="AE117" s="439"/>
      <c r="AF117" s="439"/>
    </row>
    <row r="118" spans="1:32">
      <c r="A118" s="439" t="s">
        <v>638</v>
      </c>
      <c r="B118" s="439"/>
      <c r="C118" s="439"/>
      <c r="D118" s="439"/>
      <c r="E118" s="439"/>
      <c r="F118" s="439"/>
      <c r="G118" s="439"/>
      <c r="H118" s="439"/>
      <c r="I118" s="439"/>
      <c r="J118" s="439"/>
      <c r="K118" s="439"/>
      <c r="L118" s="439"/>
      <c r="M118" s="439"/>
      <c r="N118" s="439"/>
      <c r="O118" s="439"/>
      <c r="P118" s="439"/>
      <c r="Q118" s="439"/>
      <c r="R118" s="439"/>
      <c r="S118" s="439"/>
      <c r="T118" s="439"/>
      <c r="U118" s="439"/>
      <c r="V118" s="439"/>
      <c r="W118" s="439"/>
      <c r="X118" s="439"/>
      <c r="Y118" s="439"/>
      <c r="Z118" s="439"/>
      <c r="AA118" s="439"/>
      <c r="AB118" s="439"/>
      <c r="AC118" s="439"/>
      <c r="AD118" s="439"/>
      <c r="AE118" s="439"/>
      <c r="AF118" s="439"/>
    </row>
    <row r="119" spans="1:32">
      <c r="A119" s="439" t="s">
        <v>639</v>
      </c>
      <c r="B119" s="439"/>
      <c r="C119" s="439"/>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39"/>
      <c r="AA119" s="439"/>
      <c r="AB119" s="439"/>
      <c r="AC119" s="439"/>
      <c r="AD119" s="439"/>
      <c r="AE119" s="439"/>
      <c r="AF119" s="439"/>
    </row>
    <row r="120" spans="1:32">
      <c r="A120" s="439" t="s">
        <v>640</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439"/>
    </row>
    <row r="121" spans="1:32">
      <c r="A121" s="439" t="s">
        <v>641</v>
      </c>
      <c r="B121" s="439"/>
      <c r="C121" s="439"/>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39"/>
      <c r="AA121" s="439"/>
      <c r="AB121" s="439"/>
      <c r="AC121" s="439"/>
      <c r="AD121" s="439"/>
      <c r="AE121" s="439"/>
      <c r="AF121" s="439"/>
    </row>
    <row r="122" spans="1:32">
      <c r="A122" s="439" t="s">
        <v>642</v>
      </c>
      <c r="B122" s="439"/>
      <c r="C122" s="439"/>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39"/>
      <c r="AD122" s="439"/>
      <c r="AE122" s="439"/>
      <c r="AF122" s="439"/>
    </row>
    <row r="123" spans="1:32">
      <c r="A123" s="439" t="s">
        <v>643</v>
      </c>
      <c r="B123" s="439"/>
      <c r="C123" s="439"/>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39"/>
      <c r="AA123" s="439"/>
      <c r="AB123" s="439"/>
      <c r="AC123" s="439"/>
      <c r="AD123" s="439"/>
      <c r="AE123" s="439"/>
      <c r="AF123" s="439"/>
    </row>
    <row r="124" spans="1:32">
      <c r="A124" s="439" t="s">
        <v>644</v>
      </c>
      <c r="B124" s="439"/>
      <c r="C124" s="439"/>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39"/>
      <c r="AA124" s="439"/>
      <c r="AB124" s="439"/>
      <c r="AC124" s="439"/>
      <c r="AD124" s="439"/>
      <c r="AE124" s="439"/>
      <c r="AF124" s="439"/>
    </row>
    <row r="125" spans="1:32">
      <c r="A125" s="439" t="s">
        <v>637</v>
      </c>
      <c r="B125" s="439"/>
      <c r="C125" s="439"/>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39"/>
      <c r="AA125" s="439"/>
      <c r="AB125" s="439"/>
      <c r="AC125" s="439"/>
      <c r="AD125" s="439"/>
      <c r="AE125" s="439"/>
      <c r="AF125" s="439"/>
    </row>
    <row r="126" spans="1:32">
      <c r="A126" s="439" t="s">
        <v>645</v>
      </c>
      <c r="B126" s="439"/>
      <c r="C126" s="439"/>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39"/>
      <c r="AA126" s="439"/>
      <c r="AB126" s="439"/>
      <c r="AC126" s="439"/>
      <c r="AD126" s="439"/>
      <c r="AE126" s="439"/>
      <c r="AF126" s="439"/>
    </row>
    <row r="127" spans="1:32">
      <c r="A127" s="439" t="s">
        <v>646</v>
      </c>
      <c r="B127" s="439"/>
      <c r="C127" s="439"/>
      <c r="D127" s="439"/>
      <c r="E127" s="439"/>
      <c r="F127" s="439"/>
      <c r="G127" s="439"/>
      <c r="H127" s="439"/>
      <c r="I127" s="439"/>
      <c r="J127" s="439"/>
      <c r="K127" s="439"/>
      <c r="L127" s="439"/>
      <c r="M127" s="439"/>
      <c r="N127" s="439"/>
      <c r="O127" s="439"/>
      <c r="P127" s="439"/>
      <c r="Q127" s="439"/>
      <c r="R127" s="439"/>
      <c r="S127" s="439"/>
      <c r="T127" s="439"/>
      <c r="U127" s="439"/>
      <c r="V127" s="439"/>
      <c r="W127" s="439"/>
      <c r="X127" s="439"/>
      <c r="Y127" s="439"/>
      <c r="Z127" s="439"/>
      <c r="AA127" s="439"/>
      <c r="AB127" s="439"/>
      <c r="AC127" s="439"/>
      <c r="AD127" s="439"/>
      <c r="AE127" s="439"/>
      <c r="AF127" s="439"/>
    </row>
    <row r="128" spans="1:32">
      <c r="A128" s="439" t="s">
        <v>647</v>
      </c>
      <c r="B128" s="439"/>
      <c r="C128" s="439"/>
      <c r="D128" s="439"/>
      <c r="E128" s="439"/>
      <c r="F128" s="439"/>
      <c r="G128" s="439"/>
      <c r="H128" s="439"/>
      <c r="I128" s="439"/>
      <c r="J128" s="439"/>
      <c r="K128" s="439"/>
      <c r="L128" s="439"/>
      <c r="M128" s="439"/>
      <c r="N128" s="439"/>
      <c r="O128" s="439"/>
      <c r="P128" s="439"/>
      <c r="Q128" s="439"/>
      <c r="R128" s="439"/>
      <c r="S128" s="439"/>
      <c r="T128" s="439"/>
      <c r="U128" s="439"/>
      <c r="V128" s="439"/>
      <c r="W128" s="439"/>
      <c r="X128" s="439"/>
      <c r="Y128" s="439"/>
      <c r="Z128" s="439"/>
      <c r="AA128" s="439"/>
      <c r="AB128" s="439"/>
      <c r="AC128" s="439"/>
      <c r="AD128" s="439"/>
      <c r="AE128" s="439"/>
      <c r="AF128" s="439"/>
    </row>
    <row r="129" spans="1:32">
      <c r="A129" s="439" t="s">
        <v>617</v>
      </c>
      <c r="B129" s="439"/>
      <c r="C129" s="439"/>
      <c r="D129" s="439"/>
      <c r="E129" s="439"/>
      <c r="F129" s="439"/>
      <c r="G129" s="439"/>
      <c r="H129" s="439"/>
      <c r="I129" s="439"/>
      <c r="J129" s="439"/>
      <c r="K129" s="439"/>
      <c r="L129" s="439"/>
      <c r="M129" s="439"/>
      <c r="N129" s="439"/>
      <c r="O129" s="439"/>
      <c r="P129" s="439"/>
      <c r="Q129" s="439"/>
      <c r="R129" s="439"/>
      <c r="S129" s="439"/>
      <c r="T129" s="439"/>
      <c r="U129" s="439"/>
      <c r="V129" s="439"/>
      <c r="W129" s="439"/>
      <c r="X129" s="439"/>
      <c r="Y129" s="439"/>
      <c r="Z129" s="439"/>
      <c r="AA129" s="439"/>
      <c r="AB129" s="439"/>
      <c r="AC129" s="439"/>
      <c r="AD129" s="439"/>
      <c r="AE129" s="439"/>
      <c r="AF129" s="439"/>
    </row>
    <row r="130" spans="1:32">
      <c r="A130" s="439" t="s">
        <v>618</v>
      </c>
      <c r="B130" s="439"/>
      <c r="C130" s="439"/>
      <c r="D130" s="439"/>
      <c r="E130" s="439"/>
      <c r="F130" s="439"/>
      <c r="G130" s="439"/>
      <c r="H130" s="439"/>
      <c r="I130" s="439"/>
      <c r="J130" s="439"/>
      <c r="K130" s="439"/>
      <c r="L130" s="439"/>
      <c r="M130" s="439"/>
      <c r="N130" s="439"/>
      <c r="O130" s="439"/>
      <c r="P130" s="439"/>
      <c r="Q130" s="439"/>
      <c r="R130" s="439"/>
      <c r="S130" s="439"/>
      <c r="T130" s="439"/>
      <c r="U130" s="439"/>
      <c r="V130" s="439"/>
      <c r="W130" s="439"/>
      <c r="X130" s="439"/>
      <c r="Y130" s="439"/>
      <c r="Z130" s="439"/>
      <c r="AA130" s="439"/>
      <c r="AB130" s="439"/>
      <c r="AC130" s="439"/>
      <c r="AD130" s="439"/>
      <c r="AE130" s="439"/>
      <c r="AF130" s="439"/>
    </row>
    <row r="131" spans="1:32">
      <c r="A131" s="439" t="s">
        <v>619</v>
      </c>
      <c r="B131" s="439"/>
      <c r="C131" s="439"/>
      <c r="D131" s="439"/>
      <c r="E131" s="439"/>
      <c r="F131" s="439"/>
      <c r="G131" s="439"/>
      <c r="H131" s="439"/>
      <c r="I131" s="439"/>
      <c r="J131" s="439"/>
      <c r="K131" s="439"/>
      <c r="L131" s="439"/>
      <c r="M131" s="439"/>
      <c r="N131" s="439"/>
      <c r="O131" s="439"/>
      <c r="P131" s="439"/>
      <c r="Q131" s="439"/>
      <c r="R131" s="439"/>
      <c r="S131" s="439"/>
      <c r="T131" s="439"/>
      <c r="U131" s="439"/>
      <c r="V131" s="439"/>
      <c r="W131" s="439"/>
      <c r="X131" s="439"/>
      <c r="Y131" s="439"/>
      <c r="Z131" s="439"/>
      <c r="AA131" s="439"/>
      <c r="AB131" s="439"/>
      <c r="AC131" s="439"/>
      <c r="AD131" s="439"/>
      <c r="AE131" s="439"/>
      <c r="AF131" s="439"/>
    </row>
    <row r="132" spans="1:32">
      <c r="A132" s="439" t="s">
        <v>648</v>
      </c>
      <c r="B132" s="439"/>
      <c r="C132" s="439"/>
      <c r="D132" s="439"/>
      <c r="E132" s="439"/>
      <c r="F132" s="439"/>
      <c r="G132" s="439"/>
      <c r="H132" s="439"/>
      <c r="I132" s="439"/>
      <c r="J132" s="439"/>
      <c r="K132" s="439"/>
      <c r="L132" s="439"/>
      <c r="M132" s="439"/>
      <c r="N132" s="439"/>
      <c r="O132" s="439"/>
      <c r="P132" s="439"/>
      <c r="Q132" s="439"/>
      <c r="R132" s="439"/>
      <c r="S132" s="439"/>
      <c r="T132" s="439"/>
      <c r="U132" s="439"/>
      <c r="V132" s="439"/>
      <c r="W132" s="439"/>
      <c r="X132" s="439"/>
      <c r="Y132" s="439"/>
      <c r="Z132" s="439"/>
      <c r="AA132" s="439"/>
      <c r="AB132" s="439"/>
      <c r="AC132" s="439"/>
      <c r="AD132" s="439"/>
      <c r="AE132" s="439"/>
      <c r="AF132" s="439"/>
    </row>
    <row r="133" spans="1:32">
      <c r="A133" s="439" t="s">
        <v>649</v>
      </c>
      <c r="B133" s="439"/>
      <c r="C133" s="439"/>
      <c r="D133" s="439"/>
      <c r="E133" s="439"/>
      <c r="F133" s="439"/>
      <c r="G133" s="439"/>
      <c r="H133" s="439"/>
      <c r="I133" s="439"/>
      <c r="J133" s="439"/>
      <c r="K133" s="439"/>
      <c r="L133" s="439"/>
      <c r="M133" s="439"/>
      <c r="N133" s="439"/>
      <c r="O133" s="439"/>
      <c r="P133" s="439"/>
      <c r="Q133" s="439"/>
      <c r="R133" s="439"/>
      <c r="S133" s="439"/>
      <c r="T133" s="439"/>
      <c r="U133" s="439"/>
      <c r="V133" s="439"/>
      <c r="W133" s="439"/>
      <c r="X133" s="439"/>
      <c r="Y133" s="439"/>
      <c r="Z133" s="439"/>
      <c r="AA133" s="439"/>
      <c r="AB133" s="439"/>
      <c r="AC133" s="439"/>
      <c r="AD133" s="439"/>
      <c r="AE133" s="439"/>
      <c r="AF133" s="439"/>
    </row>
    <row r="134" spans="1:32">
      <c r="A134" s="439" t="s">
        <v>650</v>
      </c>
      <c r="B134" s="439"/>
      <c r="C134" s="439"/>
      <c r="D134" s="439"/>
      <c r="E134" s="439"/>
      <c r="F134" s="439"/>
      <c r="G134" s="439"/>
      <c r="H134" s="439"/>
      <c r="I134" s="439"/>
      <c r="J134" s="439"/>
      <c r="K134" s="439"/>
      <c r="L134" s="439"/>
      <c r="M134" s="439"/>
      <c r="N134" s="439"/>
      <c r="O134" s="439"/>
      <c r="P134" s="439"/>
      <c r="Q134" s="439"/>
      <c r="R134" s="439"/>
      <c r="S134" s="439"/>
      <c r="T134" s="439"/>
      <c r="U134" s="439"/>
      <c r="V134" s="439"/>
      <c r="W134" s="439"/>
      <c r="X134" s="439"/>
      <c r="Y134" s="439"/>
      <c r="Z134" s="439"/>
      <c r="AA134" s="439"/>
      <c r="AB134" s="439"/>
      <c r="AC134" s="439"/>
      <c r="AD134" s="439"/>
      <c r="AE134" s="439"/>
      <c r="AF134" s="439"/>
    </row>
    <row r="135" spans="1:32">
      <c r="A135" s="439" t="s">
        <v>651</v>
      </c>
      <c r="B135" s="439"/>
      <c r="C135" s="439"/>
      <c r="D135" s="439"/>
      <c r="E135" s="439"/>
      <c r="F135" s="439"/>
      <c r="G135" s="439"/>
      <c r="H135" s="439"/>
      <c r="I135" s="439"/>
      <c r="J135" s="439"/>
      <c r="K135" s="439"/>
      <c r="L135" s="439"/>
      <c r="M135" s="439"/>
      <c r="N135" s="439"/>
      <c r="O135" s="439"/>
      <c r="P135" s="439"/>
      <c r="Q135" s="439"/>
      <c r="R135" s="439"/>
      <c r="S135" s="439"/>
      <c r="T135" s="439"/>
      <c r="U135" s="439"/>
      <c r="V135" s="439"/>
      <c r="W135" s="439"/>
      <c r="X135" s="439"/>
      <c r="Y135" s="439"/>
      <c r="Z135" s="439"/>
      <c r="AA135" s="439"/>
      <c r="AB135" s="439"/>
      <c r="AC135" s="439"/>
      <c r="AD135" s="439"/>
      <c r="AE135" s="439"/>
      <c r="AF135" s="439"/>
    </row>
    <row r="136" spans="1:32">
      <c r="A136" s="439" t="s">
        <v>652</v>
      </c>
      <c r="B136" s="439"/>
      <c r="C136" s="439"/>
      <c r="D136" s="439"/>
      <c r="E136" s="439"/>
      <c r="F136" s="439"/>
      <c r="G136" s="439"/>
      <c r="H136" s="439"/>
      <c r="I136" s="439"/>
      <c r="J136" s="439"/>
      <c r="K136" s="439"/>
      <c r="L136" s="439"/>
      <c r="M136" s="439"/>
      <c r="N136" s="439"/>
      <c r="O136" s="439"/>
      <c r="P136" s="439"/>
      <c r="Q136" s="439"/>
      <c r="R136" s="439"/>
      <c r="S136" s="439"/>
      <c r="T136" s="439"/>
      <c r="U136" s="439"/>
      <c r="V136" s="439"/>
      <c r="W136" s="439"/>
      <c r="X136" s="439"/>
      <c r="Y136" s="439"/>
      <c r="Z136" s="439"/>
      <c r="AA136" s="439"/>
      <c r="AB136" s="439"/>
      <c r="AC136" s="439"/>
      <c r="AD136" s="439"/>
      <c r="AE136" s="439"/>
      <c r="AF136" s="439"/>
    </row>
    <row r="137" spans="1:32">
      <c r="A137" s="439" t="s">
        <v>653</v>
      </c>
      <c r="B137" s="439"/>
      <c r="C137" s="439"/>
      <c r="D137" s="439"/>
      <c r="E137" s="439"/>
      <c r="F137" s="439"/>
      <c r="G137" s="439"/>
      <c r="H137" s="439"/>
      <c r="I137" s="439"/>
      <c r="J137" s="439"/>
      <c r="K137" s="439"/>
      <c r="L137" s="439"/>
      <c r="M137" s="439"/>
      <c r="N137" s="439"/>
      <c r="O137" s="439"/>
      <c r="P137" s="439"/>
      <c r="Q137" s="439"/>
      <c r="R137" s="439"/>
      <c r="S137" s="439"/>
      <c r="T137" s="439"/>
      <c r="U137" s="439"/>
      <c r="V137" s="439"/>
      <c r="W137" s="439"/>
      <c r="X137" s="439"/>
      <c r="Y137" s="439"/>
      <c r="Z137" s="439"/>
      <c r="AA137" s="439"/>
      <c r="AB137" s="439"/>
      <c r="AC137" s="439"/>
      <c r="AD137" s="439"/>
      <c r="AE137" s="439"/>
      <c r="AF137" s="439"/>
    </row>
  </sheetData>
  <mergeCells count="29">
    <mergeCell ref="A109:AF109"/>
    <mergeCell ref="A110:AF110"/>
    <mergeCell ref="A111:AF111"/>
    <mergeCell ref="A112:AF112"/>
    <mergeCell ref="A113:AF113"/>
    <mergeCell ref="A114:AF114"/>
    <mergeCell ref="A115:AF115"/>
    <mergeCell ref="A116:AF116"/>
    <mergeCell ref="A117:AF117"/>
    <mergeCell ref="A118:AF118"/>
    <mergeCell ref="A119:AF119"/>
    <mergeCell ref="A120:AF120"/>
    <mergeCell ref="A132:AF132"/>
    <mergeCell ref="A121:AF121"/>
    <mergeCell ref="A122:AF122"/>
    <mergeCell ref="A123:AF123"/>
    <mergeCell ref="A124:AF124"/>
    <mergeCell ref="A125:AF125"/>
    <mergeCell ref="A126:AF126"/>
    <mergeCell ref="A127:AF127"/>
    <mergeCell ref="A128:AF128"/>
    <mergeCell ref="A129:AF129"/>
    <mergeCell ref="A130:AF130"/>
    <mergeCell ref="A131:AF131"/>
    <mergeCell ref="A133:AF133"/>
    <mergeCell ref="A134:AF134"/>
    <mergeCell ref="A135:AF135"/>
    <mergeCell ref="A136:AF136"/>
    <mergeCell ref="A137:AF137"/>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dimension ref="A1:AR122"/>
  <sheetViews>
    <sheetView topLeftCell="A56" zoomScale="125" zoomScaleNormal="125" zoomScalePageLayoutView="125" workbookViewId="0">
      <selection activeCell="G76" sqref="G76"/>
    </sheetView>
  </sheetViews>
  <sheetFormatPr baseColWidth="10" defaultColWidth="12.5" defaultRowHeight="16" x14ac:dyDescent="0"/>
  <cols>
    <col min="1" max="1" width="47.33203125" style="5" customWidth="1"/>
    <col min="2" max="2" width="23" style="216" bestFit="1" customWidth="1"/>
    <col min="3" max="6" width="12.5" style="216"/>
    <col min="7" max="37" width="12.5" style="264"/>
    <col min="38" max="16384" width="12.5" style="5"/>
  </cols>
  <sheetData>
    <row r="1" spans="1:37">
      <c r="A1" s="233" t="s">
        <v>4</v>
      </c>
    </row>
    <row r="2" spans="1:37">
      <c r="A2" s="237" t="s">
        <v>702</v>
      </c>
    </row>
    <row r="3" spans="1:37">
      <c r="A3" s="237" t="s">
        <v>654</v>
      </c>
    </row>
    <row r="4" spans="1:37">
      <c r="A4" s="237" t="s">
        <v>655</v>
      </c>
    </row>
    <row r="6" spans="1:37">
      <c r="A6" s="6" t="s">
        <v>5</v>
      </c>
    </row>
    <row r="7" spans="1:37">
      <c r="A7" s="6" t="s">
        <v>6</v>
      </c>
    </row>
    <row r="8" spans="1:37">
      <c r="A8" s="78" t="s">
        <v>281</v>
      </c>
    </row>
    <row r="10" spans="1:37">
      <c r="AK10" s="265" t="s">
        <v>712</v>
      </c>
    </row>
    <row r="11" spans="1:37">
      <c r="B11" s="377" t="s">
        <v>7</v>
      </c>
      <c r="C11" s="377" t="s">
        <v>8</v>
      </c>
      <c r="D11" s="377" t="s">
        <v>9</v>
      </c>
      <c r="E11" s="377" t="s">
        <v>10</v>
      </c>
      <c r="F11" s="377" t="s">
        <v>11</v>
      </c>
      <c r="G11" s="265" t="s">
        <v>12</v>
      </c>
      <c r="H11" s="265" t="s">
        <v>13</v>
      </c>
      <c r="I11" s="265" t="s">
        <v>14</v>
      </c>
      <c r="J11" s="265" t="s">
        <v>15</v>
      </c>
      <c r="K11" s="265" t="s">
        <v>16</v>
      </c>
      <c r="L11" s="265" t="s">
        <v>17</v>
      </c>
      <c r="M11" s="265" t="s">
        <v>18</v>
      </c>
      <c r="N11" s="265" t="s">
        <v>19</v>
      </c>
      <c r="O11" s="265" t="s">
        <v>20</v>
      </c>
      <c r="P11" s="265" t="s">
        <v>21</v>
      </c>
      <c r="Q11" s="265" t="s">
        <v>22</v>
      </c>
      <c r="R11" s="265" t="s">
        <v>23</v>
      </c>
      <c r="S11" s="265" t="s">
        <v>24</v>
      </c>
      <c r="T11" s="265" t="s">
        <v>25</v>
      </c>
      <c r="U11" s="265" t="s">
        <v>26</v>
      </c>
      <c r="V11" s="265" t="s">
        <v>27</v>
      </c>
      <c r="W11" s="265" t="s">
        <v>28</v>
      </c>
      <c r="X11" s="265" t="s">
        <v>29</v>
      </c>
      <c r="Y11" s="265" t="s">
        <v>30</v>
      </c>
      <c r="Z11" s="265" t="s">
        <v>31</v>
      </c>
      <c r="AA11" s="265" t="s">
        <v>579</v>
      </c>
      <c r="AB11" s="265" t="s">
        <v>580</v>
      </c>
      <c r="AC11" s="265" t="s">
        <v>581</v>
      </c>
      <c r="AD11" s="265" t="s">
        <v>582</v>
      </c>
      <c r="AE11" s="265" t="s">
        <v>583</v>
      </c>
      <c r="AF11" s="265" t="s">
        <v>584</v>
      </c>
      <c r="AG11" s="265" t="s">
        <v>585</v>
      </c>
      <c r="AH11" s="265" t="s">
        <v>586</v>
      </c>
      <c r="AI11" s="265" t="s">
        <v>587</v>
      </c>
      <c r="AJ11" s="265" t="s">
        <v>588</v>
      </c>
      <c r="AK11" s="265">
        <v>2040</v>
      </c>
    </row>
    <row r="12" spans="1:37">
      <c r="B12" s="378"/>
      <c r="C12" s="378"/>
      <c r="D12" s="378"/>
      <c r="E12" s="378"/>
      <c r="F12" s="378"/>
    </row>
    <row r="13" spans="1:37">
      <c r="B13" s="378"/>
      <c r="C13" s="378"/>
      <c r="D13" s="378"/>
      <c r="E13" s="378"/>
      <c r="F13" s="378"/>
    </row>
    <row r="14" spans="1:37">
      <c r="A14" s="6" t="s">
        <v>32</v>
      </c>
      <c r="B14" s="378"/>
      <c r="C14" s="378"/>
      <c r="D14" s="378"/>
      <c r="E14" s="378"/>
      <c r="F14" s="378"/>
    </row>
    <row r="15" spans="1:37">
      <c r="A15" s="6" t="s">
        <v>33</v>
      </c>
      <c r="B15" s="378"/>
      <c r="C15" s="378"/>
      <c r="D15" s="378"/>
      <c r="E15" s="378"/>
      <c r="F15" s="378"/>
    </row>
    <row r="16" spans="1:37">
      <c r="A16" s="6" t="s">
        <v>34</v>
      </c>
      <c r="B16"/>
      <c r="C16"/>
      <c r="D16"/>
      <c r="E16"/>
      <c r="F16"/>
      <c r="G16"/>
      <c r="H16"/>
      <c r="I16"/>
      <c r="J16"/>
      <c r="K16"/>
      <c r="L16"/>
      <c r="M16"/>
      <c r="N16"/>
      <c r="O16"/>
      <c r="P16"/>
      <c r="Q16"/>
      <c r="R16"/>
      <c r="S16"/>
      <c r="T16"/>
      <c r="U16"/>
      <c r="V16"/>
      <c r="W16"/>
      <c r="X16"/>
      <c r="Y16"/>
      <c r="Z16"/>
      <c r="AA16"/>
      <c r="AB16"/>
      <c r="AC16"/>
      <c r="AD16"/>
      <c r="AE16"/>
      <c r="AF16"/>
      <c r="AG16"/>
      <c r="AH16"/>
      <c r="AI16"/>
      <c r="AJ16"/>
      <c r="AK16"/>
    </row>
    <row r="17" spans="1:37">
      <c r="A17" s="6" t="s">
        <v>35</v>
      </c>
      <c r="B17"/>
      <c r="C17"/>
      <c r="D17"/>
      <c r="E17"/>
      <c r="F17"/>
      <c r="G17"/>
      <c r="H17"/>
      <c r="I17"/>
      <c r="J17"/>
      <c r="K17"/>
      <c r="L17"/>
      <c r="M17"/>
      <c r="N17"/>
      <c r="O17"/>
      <c r="P17"/>
      <c r="Q17"/>
      <c r="R17"/>
      <c r="S17"/>
      <c r="T17"/>
      <c r="U17"/>
      <c r="V17"/>
      <c r="W17"/>
      <c r="X17"/>
      <c r="Y17"/>
      <c r="Z17"/>
      <c r="AA17"/>
      <c r="AB17"/>
      <c r="AC17"/>
      <c r="AD17"/>
      <c r="AE17"/>
      <c r="AF17"/>
      <c r="AG17"/>
      <c r="AH17"/>
      <c r="AI17"/>
      <c r="AJ17"/>
      <c r="AK17"/>
    </row>
    <row r="18" spans="1:37">
      <c r="A18" s="6" t="s">
        <v>36</v>
      </c>
      <c r="B18"/>
      <c r="C18"/>
      <c r="D18"/>
      <c r="E18"/>
      <c r="F18"/>
      <c r="G18"/>
      <c r="H18"/>
      <c r="I18"/>
      <c r="J18"/>
      <c r="K18"/>
      <c r="L18"/>
      <c r="M18"/>
      <c r="N18"/>
      <c r="O18"/>
      <c r="P18"/>
      <c r="Q18"/>
      <c r="R18"/>
      <c r="S18"/>
      <c r="T18"/>
      <c r="U18"/>
      <c r="V18"/>
      <c r="W18"/>
      <c r="X18"/>
      <c r="Y18"/>
      <c r="Z18"/>
      <c r="AA18"/>
      <c r="AB18"/>
      <c r="AC18"/>
      <c r="AD18"/>
      <c r="AE18"/>
      <c r="AF18"/>
      <c r="AG18"/>
      <c r="AH18"/>
      <c r="AI18"/>
      <c r="AJ18"/>
      <c r="AK18"/>
    </row>
    <row r="19" spans="1:37">
      <c r="A19" s="6" t="s">
        <v>656</v>
      </c>
      <c r="B19"/>
      <c r="C19"/>
      <c r="D19"/>
      <c r="E19"/>
      <c r="F19"/>
      <c r="G19"/>
      <c r="H19"/>
      <c r="I19"/>
      <c r="J19"/>
      <c r="K19"/>
      <c r="L19"/>
      <c r="M19"/>
      <c r="N19"/>
      <c r="O19"/>
      <c r="P19"/>
      <c r="Q19"/>
      <c r="R19"/>
      <c r="S19"/>
      <c r="T19"/>
      <c r="U19"/>
      <c r="V19"/>
      <c r="W19"/>
      <c r="X19"/>
      <c r="Y19"/>
      <c r="Z19"/>
      <c r="AA19"/>
      <c r="AB19"/>
      <c r="AC19"/>
      <c r="AD19"/>
      <c r="AE19"/>
      <c r="AF19"/>
      <c r="AG19"/>
      <c r="AH19"/>
      <c r="AI19"/>
      <c r="AJ19"/>
      <c r="AK19"/>
    </row>
    <row r="20" spans="1:37">
      <c r="A20" s="6" t="s">
        <v>37</v>
      </c>
      <c r="B20"/>
      <c r="C20"/>
      <c r="D20"/>
      <c r="E20"/>
      <c r="F20"/>
      <c r="G20"/>
      <c r="H20"/>
      <c r="I20"/>
      <c r="J20"/>
      <c r="K20"/>
      <c r="L20"/>
      <c r="M20"/>
      <c r="N20"/>
      <c r="O20"/>
      <c r="P20"/>
      <c r="Q20"/>
      <c r="R20"/>
      <c r="S20"/>
      <c r="T20"/>
      <c r="U20"/>
      <c r="V20"/>
      <c r="W20"/>
      <c r="X20"/>
      <c r="Y20"/>
      <c r="Z20"/>
      <c r="AA20"/>
      <c r="AB20"/>
      <c r="AC20"/>
      <c r="AD20"/>
      <c r="AE20"/>
      <c r="AF20"/>
      <c r="AG20"/>
      <c r="AH20"/>
      <c r="AI20"/>
      <c r="AJ20"/>
      <c r="AK20"/>
    </row>
    <row r="21" spans="1:37">
      <c r="A21" s="6" t="s">
        <v>38</v>
      </c>
      <c r="B21"/>
      <c r="C21"/>
      <c r="D21"/>
      <c r="E21"/>
      <c r="F21"/>
      <c r="G21"/>
      <c r="H21"/>
      <c r="I21"/>
      <c r="J21"/>
      <c r="K21"/>
      <c r="L21"/>
      <c r="M21"/>
      <c r="N21"/>
      <c r="O21"/>
      <c r="P21"/>
      <c r="Q21"/>
      <c r="R21"/>
      <c r="S21"/>
      <c r="T21"/>
      <c r="U21"/>
      <c r="V21"/>
      <c r="W21"/>
      <c r="X21"/>
      <c r="Y21"/>
      <c r="Z21"/>
      <c r="AA21"/>
      <c r="AB21"/>
      <c r="AC21"/>
      <c r="AD21"/>
      <c r="AE21"/>
      <c r="AF21"/>
      <c r="AG21"/>
      <c r="AH21"/>
      <c r="AI21"/>
      <c r="AJ21"/>
      <c r="AK21"/>
    </row>
    <row r="22" spans="1:37">
      <c r="A22" s="6" t="s">
        <v>39</v>
      </c>
      <c r="B22"/>
      <c r="C22"/>
      <c r="D22"/>
      <c r="E22"/>
      <c r="F22"/>
      <c r="G22"/>
      <c r="H22"/>
      <c r="I22"/>
      <c r="J22"/>
      <c r="K22"/>
      <c r="L22"/>
      <c r="M22"/>
      <c r="N22"/>
      <c r="O22"/>
      <c r="P22"/>
      <c r="Q22"/>
      <c r="R22"/>
      <c r="S22"/>
      <c r="T22"/>
      <c r="U22"/>
      <c r="V22"/>
      <c r="W22"/>
      <c r="X22"/>
      <c r="Y22"/>
      <c r="Z22"/>
      <c r="AA22"/>
      <c r="AB22"/>
      <c r="AC22"/>
      <c r="AD22"/>
      <c r="AE22"/>
      <c r="AF22"/>
      <c r="AG22"/>
      <c r="AH22"/>
      <c r="AI22"/>
      <c r="AJ22"/>
      <c r="AK22"/>
    </row>
    <row r="23" spans="1:37">
      <c r="A23" s="6" t="s">
        <v>40</v>
      </c>
      <c r="B23"/>
      <c r="C23"/>
      <c r="D23"/>
      <c r="E23"/>
      <c r="F23"/>
      <c r="G23"/>
      <c r="H23"/>
      <c r="I23"/>
      <c r="J23"/>
      <c r="K23"/>
      <c r="L23"/>
      <c r="M23"/>
      <c r="N23"/>
      <c r="O23"/>
      <c r="P23"/>
      <c r="Q23"/>
      <c r="R23"/>
      <c r="S23"/>
      <c r="T23"/>
      <c r="U23"/>
      <c r="V23"/>
      <c r="W23"/>
      <c r="X23"/>
      <c r="Y23"/>
      <c r="Z23"/>
      <c r="AA23"/>
      <c r="AB23"/>
      <c r="AC23"/>
      <c r="AD23"/>
      <c r="AE23"/>
      <c r="AF23"/>
      <c r="AG23"/>
      <c r="AH23"/>
      <c r="AI23"/>
      <c r="AJ23"/>
      <c r="AK23"/>
    </row>
    <row r="24" spans="1:37">
      <c r="A24" s="6" t="s">
        <v>42</v>
      </c>
      <c r="B24"/>
      <c r="C24"/>
      <c r="D24"/>
      <c r="E24"/>
      <c r="F24"/>
      <c r="G24"/>
      <c r="H24"/>
      <c r="I24"/>
      <c r="J24"/>
      <c r="K24"/>
      <c r="L24"/>
      <c r="M24"/>
      <c r="N24"/>
      <c r="O24"/>
      <c r="P24"/>
      <c r="Q24"/>
      <c r="R24"/>
      <c r="S24"/>
      <c r="T24"/>
      <c r="U24"/>
      <c r="V24"/>
      <c r="W24"/>
      <c r="X24"/>
      <c r="Y24"/>
      <c r="Z24"/>
      <c r="AA24"/>
      <c r="AB24"/>
      <c r="AC24"/>
      <c r="AD24"/>
      <c r="AE24"/>
      <c r="AF24"/>
      <c r="AG24"/>
      <c r="AH24"/>
      <c r="AI24"/>
      <c r="AJ24"/>
      <c r="AK24"/>
    </row>
    <row r="25" spans="1:37">
      <c r="B25"/>
      <c r="C25"/>
      <c r="D25"/>
      <c r="E25"/>
      <c r="F25"/>
      <c r="G25"/>
      <c r="H25"/>
      <c r="I25"/>
      <c r="J25"/>
      <c r="K25"/>
      <c r="L25"/>
      <c r="M25"/>
      <c r="N25"/>
      <c r="O25"/>
      <c r="P25"/>
      <c r="Q25"/>
      <c r="R25"/>
      <c r="S25"/>
      <c r="T25"/>
      <c r="U25"/>
      <c r="V25"/>
      <c r="W25"/>
      <c r="X25"/>
      <c r="Y25"/>
      <c r="Z25"/>
      <c r="AA25"/>
      <c r="AB25"/>
      <c r="AC25"/>
      <c r="AD25"/>
      <c r="AE25"/>
      <c r="AF25"/>
      <c r="AG25"/>
      <c r="AH25"/>
      <c r="AI25"/>
      <c r="AJ25"/>
      <c r="AK25"/>
    </row>
    <row r="26" spans="1:37">
      <c r="A26" s="6" t="s">
        <v>43</v>
      </c>
      <c r="B26"/>
      <c r="C26"/>
      <c r="D26"/>
      <c r="E26"/>
      <c r="F26"/>
      <c r="G26"/>
      <c r="H26"/>
      <c r="I26"/>
      <c r="J26"/>
      <c r="K26"/>
      <c r="L26"/>
      <c r="M26"/>
      <c r="N26"/>
      <c r="O26"/>
      <c r="P26"/>
      <c r="Q26"/>
      <c r="R26"/>
      <c r="S26"/>
      <c r="T26"/>
      <c r="U26"/>
      <c r="V26"/>
      <c r="W26"/>
      <c r="X26"/>
      <c r="Y26"/>
      <c r="Z26"/>
      <c r="AA26"/>
      <c r="AB26"/>
      <c r="AC26"/>
      <c r="AD26"/>
      <c r="AE26"/>
      <c r="AF26"/>
      <c r="AG26"/>
      <c r="AH26"/>
      <c r="AI26"/>
      <c r="AJ26"/>
      <c r="AK26"/>
    </row>
    <row r="27" spans="1:37">
      <c r="A27" s="6" t="s">
        <v>34</v>
      </c>
      <c r="B27"/>
      <c r="C27"/>
      <c r="D27"/>
      <c r="E27"/>
      <c r="F27"/>
      <c r="G27"/>
      <c r="H27"/>
      <c r="I27"/>
      <c r="J27"/>
      <c r="K27"/>
      <c r="L27"/>
      <c r="M27"/>
      <c r="N27"/>
      <c r="O27"/>
      <c r="P27"/>
      <c r="Q27"/>
      <c r="R27"/>
      <c r="S27"/>
      <c r="T27"/>
      <c r="U27"/>
      <c r="V27"/>
      <c r="W27"/>
      <c r="X27"/>
      <c r="Y27"/>
      <c r="Z27"/>
      <c r="AA27"/>
      <c r="AB27"/>
      <c r="AC27"/>
      <c r="AD27"/>
      <c r="AE27"/>
      <c r="AF27"/>
      <c r="AG27"/>
      <c r="AH27"/>
      <c r="AI27"/>
      <c r="AJ27"/>
      <c r="AK27"/>
    </row>
    <row r="28" spans="1:37">
      <c r="A28" s="6" t="s">
        <v>35</v>
      </c>
      <c r="B28"/>
      <c r="C28"/>
      <c r="D28"/>
      <c r="E28"/>
      <c r="F28"/>
      <c r="G28"/>
      <c r="H28"/>
      <c r="I28"/>
      <c r="J28"/>
      <c r="K28"/>
      <c r="L28"/>
      <c r="M28"/>
      <c r="N28"/>
      <c r="O28"/>
      <c r="P28"/>
      <c r="Q28"/>
      <c r="R28"/>
      <c r="S28"/>
      <c r="T28"/>
      <c r="U28"/>
      <c r="V28"/>
      <c r="W28"/>
      <c r="X28"/>
      <c r="Y28"/>
      <c r="Z28"/>
      <c r="AA28"/>
      <c r="AB28"/>
      <c r="AC28"/>
      <c r="AD28"/>
      <c r="AE28"/>
      <c r="AF28"/>
      <c r="AG28"/>
      <c r="AH28"/>
      <c r="AI28"/>
      <c r="AJ28"/>
      <c r="AK28"/>
    </row>
    <row r="29" spans="1:37">
      <c r="A29" s="6" t="s">
        <v>657</v>
      </c>
      <c r="B29"/>
      <c r="C29"/>
      <c r="D29"/>
      <c r="E29"/>
      <c r="F29"/>
      <c r="G29"/>
      <c r="H29"/>
      <c r="I29"/>
      <c r="J29"/>
      <c r="K29"/>
      <c r="L29"/>
      <c r="M29"/>
      <c r="N29"/>
      <c r="O29"/>
      <c r="P29"/>
      <c r="Q29"/>
      <c r="R29"/>
      <c r="S29"/>
      <c r="T29"/>
      <c r="U29"/>
      <c r="V29"/>
      <c r="W29"/>
      <c r="X29"/>
      <c r="Y29"/>
      <c r="Z29"/>
      <c r="AA29"/>
      <c r="AB29"/>
      <c r="AC29"/>
      <c r="AD29"/>
      <c r="AE29"/>
      <c r="AF29"/>
      <c r="AG29"/>
      <c r="AH29"/>
      <c r="AI29"/>
      <c r="AJ29"/>
      <c r="AK29"/>
    </row>
    <row r="30" spans="1:37">
      <c r="A30" s="6" t="s">
        <v>658</v>
      </c>
      <c r="B30"/>
      <c r="C30"/>
      <c r="D30"/>
      <c r="E30"/>
      <c r="F30"/>
      <c r="G30"/>
      <c r="H30"/>
      <c r="I30"/>
      <c r="J30"/>
      <c r="K30"/>
      <c r="L30"/>
      <c r="M30"/>
      <c r="N30"/>
      <c r="O30"/>
      <c r="P30"/>
      <c r="Q30"/>
      <c r="R30"/>
      <c r="S30"/>
      <c r="T30"/>
      <c r="U30"/>
      <c r="V30"/>
      <c r="W30"/>
      <c r="X30"/>
      <c r="Y30"/>
      <c r="Z30"/>
      <c r="AA30"/>
      <c r="AB30"/>
      <c r="AC30"/>
      <c r="AD30"/>
      <c r="AE30"/>
      <c r="AF30"/>
      <c r="AG30"/>
      <c r="AH30"/>
      <c r="AI30"/>
      <c r="AJ30"/>
      <c r="AK30"/>
    </row>
    <row r="31" spans="1:37">
      <c r="A31" s="6" t="s">
        <v>44</v>
      </c>
      <c r="B31"/>
      <c r="C31"/>
      <c r="D31"/>
      <c r="E31"/>
      <c r="F31"/>
      <c r="G31"/>
      <c r="H31"/>
      <c r="I31"/>
      <c r="J31"/>
      <c r="K31"/>
      <c r="L31"/>
      <c r="M31"/>
      <c r="N31"/>
      <c r="O31"/>
      <c r="P31"/>
      <c r="Q31"/>
      <c r="R31"/>
      <c r="S31"/>
      <c r="T31"/>
      <c r="U31"/>
      <c r="V31"/>
      <c r="W31"/>
      <c r="X31"/>
      <c r="Y31"/>
      <c r="Z31"/>
      <c r="AA31"/>
      <c r="AB31"/>
      <c r="AC31"/>
      <c r="AD31"/>
      <c r="AE31"/>
      <c r="AF31"/>
      <c r="AG31"/>
      <c r="AH31"/>
      <c r="AI31"/>
      <c r="AJ31"/>
      <c r="AK31"/>
    </row>
    <row r="32" spans="1:37">
      <c r="A32" s="6" t="s">
        <v>45</v>
      </c>
      <c r="B32"/>
      <c r="C32"/>
      <c r="D32"/>
      <c r="E32"/>
      <c r="F32"/>
      <c r="G32"/>
      <c r="H32"/>
      <c r="I32"/>
      <c r="J32"/>
      <c r="K32"/>
      <c r="L32"/>
      <c r="M32"/>
      <c r="N32"/>
      <c r="O32"/>
      <c r="P32"/>
      <c r="Q32"/>
      <c r="R32"/>
      <c r="S32"/>
      <c r="T32"/>
      <c r="U32"/>
      <c r="V32"/>
      <c r="W32"/>
      <c r="X32"/>
      <c r="Y32"/>
      <c r="Z32"/>
      <c r="AA32"/>
      <c r="AB32"/>
      <c r="AC32"/>
      <c r="AD32"/>
      <c r="AE32"/>
      <c r="AF32"/>
      <c r="AG32"/>
      <c r="AH32"/>
      <c r="AI32"/>
      <c r="AJ32"/>
      <c r="AK32"/>
    </row>
    <row r="33" spans="1:39" s="18" customFormat="1">
      <c r="A33" s="17" t="s">
        <v>37</v>
      </c>
      <c r="B33"/>
      <c r="C33"/>
      <c r="D33"/>
      <c r="E33"/>
      <c r="F33"/>
      <c r="G33" s="407">
        <v>1E-4</v>
      </c>
      <c r="H33" s="407">
        <v>1E-4</v>
      </c>
      <c r="I33" s="407">
        <v>1E-4</v>
      </c>
      <c r="J33" s="407">
        <v>1E-4</v>
      </c>
      <c r="K33" s="407">
        <v>1E-4</v>
      </c>
      <c r="L33" s="407">
        <v>1E-4</v>
      </c>
      <c r="M33" s="407">
        <v>1E-4</v>
      </c>
      <c r="N33" s="407">
        <v>1E-4</v>
      </c>
      <c r="O33" s="407">
        <v>1E-4</v>
      </c>
      <c r="P33" s="407">
        <v>1E-4</v>
      </c>
      <c r="Q33" s="407">
        <v>1E-4</v>
      </c>
      <c r="R33" s="407">
        <v>1E-4</v>
      </c>
      <c r="S33" s="407">
        <v>1E-4</v>
      </c>
      <c r="T33" s="407">
        <v>1E-4</v>
      </c>
      <c r="U33" s="407">
        <v>1E-4</v>
      </c>
      <c r="V33" s="407">
        <v>1E-4</v>
      </c>
      <c r="W33" s="407">
        <v>1E-4</v>
      </c>
      <c r="X33" s="407">
        <v>1E-4</v>
      </c>
      <c r="Y33" s="407">
        <v>1E-4</v>
      </c>
      <c r="Z33" s="407">
        <v>1E-4</v>
      </c>
      <c r="AA33" s="407">
        <v>1E-4</v>
      </c>
      <c r="AB33" s="407">
        <v>1E-4</v>
      </c>
      <c r="AC33" s="407">
        <v>1E-4</v>
      </c>
      <c r="AD33" s="407">
        <v>1E-4</v>
      </c>
      <c r="AE33" s="407">
        <v>1E-4</v>
      </c>
      <c r="AF33" s="407">
        <v>1E-4</v>
      </c>
      <c r="AG33" s="407">
        <v>1E-4</v>
      </c>
      <c r="AH33" s="407">
        <v>1E-4</v>
      </c>
      <c r="AI33" s="407">
        <v>1E-4</v>
      </c>
      <c r="AJ33" s="407">
        <v>1E-4</v>
      </c>
      <c r="AK33"/>
    </row>
    <row r="34" spans="1:39" s="18" customFormat="1">
      <c r="A34" s="17" t="s">
        <v>659</v>
      </c>
      <c r="B34"/>
      <c r="C34"/>
      <c r="D34"/>
      <c r="E34"/>
      <c r="F34"/>
      <c r="G34" s="407">
        <v>1E-4</v>
      </c>
      <c r="H34" s="407">
        <v>1E-4</v>
      </c>
      <c r="I34" s="407">
        <v>1E-4</v>
      </c>
      <c r="J34" s="407">
        <v>1E-4</v>
      </c>
      <c r="K34" s="407">
        <v>1E-4</v>
      </c>
      <c r="L34" s="407">
        <v>1E-4</v>
      </c>
      <c r="M34" s="407">
        <v>1E-4</v>
      </c>
      <c r="N34" s="407">
        <v>1E-4</v>
      </c>
      <c r="O34" s="407">
        <v>1E-4</v>
      </c>
      <c r="P34" s="407">
        <v>1E-4</v>
      </c>
      <c r="Q34" s="407">
        <v>1E-4</v>
      </c>
      <c r="R34" s="407">
        <v>1E-4</v>
      </c>
      <c r="S34" s="407">
        <v>1E-4</v>
      </c>
      <c r="T34" s="407">
        <v>1E-4</v>
      </c>
      <c r="U34" s="407">
        <v>1E-4</v>
      </c>
      <c r="V34" s="407">
        <v>1E-4</v>
      </c>
      <c r="W34" s="407">
        <v>1E-4</v>
      </c>
      <c r="X34" s="407">
        <v>1E-4</v>
      </c>
      <c r="Y34" s="407">
        <v>1E-4</v>
      </c>
      <c r="Z34" s="407">
        <v>1E-4</v>
      </c>
      <c r="AA34" s="407">
        <v>1E-4</v>
      </c>
      <c r="AB34" s="407">
        <v>1E-4</v>
      </c>
      <c r="AC34" s="407">
        <v>1E-4</v>
      </c>
      <c r="AD34" s="407">
        <v>1E-4</v>
      </c>
      <c r="AE34" s="407">
        <v>1E-4</v>
      </c>
      <c r="AF34" s="407">
        <v>1E-4</v>
      </c>
      <c r="AG34" s="407">
        <v>1E-4</v>
      </c>
      <c r="AH34" s="407">
        <v>1E-4</v>
      </c>
      <c r="AI34" s="407">
        <v>1E-4</v>
      </c>
      <c r="AJ34" s="407">
        <v>1E-4</v>
      </c>
      <c r="AK34"/>
    </row>
    <row r="35" spans="1:39">
      <c r="A35" s="6" t="s">
        <v>39</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ht="15" customHeight="1">
      <c r="A36" s="6" t="s">
        <v>40</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39">
      <c r="A37" s="6" t="s">
        <v>42</v>
      </c>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39">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1:39">
      <c r="A39" s="6" t="s">
        <v>660</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0" spans="1:39">
      <c r="A40" s="6" t="s">
        <v>33</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row>
    <row r="41" spans="1:39">
      <c r="A41" s="6" t="s">
        <v>46</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39">
      <c r="A42" s="6" t="s">
        <v>47</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row>
    <row r="43" spans="1:39">
      <c r="A43" s="6" t="s">
        <v>661</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row>
    <row r="44" spans="1:39">
      <c r="A44" s="6" t="s">
        <v>48</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row>
    <row r="45" spans="1:39">
      <c r="A45" s="6" t="s">
        <v>659</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row>
    <row r="46" spans="1:39">
      <c r="A46" s="6" t="s">
        <v>39</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row>
    <row r="47" spans="1:39">
      <c r="A47" s="6" t="s">
        <v>42</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row>
    <row r="48" spans="1:39">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row>
    <row r="49" spans="1:39">
      <c r="A49" s="6" t="s">
        <v>43</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row>
    <row r="50" spans="1:39">
      <c r="A50" s="6" t="s">
        <v>46</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row>
    <row r="51" spans="1:39">
      <c r="A51" s="6" t="s">
        <v>47</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row>
    <row r="52" spans="1:39">
      <c r="A52" s="6" t="s">
        <v>661</v>
      </c>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c r="A53" s="6" t="s">
        <v>48</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row>
    <row r="54" spans="1:39" s="18" customFormat="1">
      <c r="A54" s="17" t="s">
        <v>659</v>
      </c>
      <c r="B54"/>
      <c r="C54"/>
      <c r="D54"/>
      <c r="E54"/>
      <c r="F54"/>
      <c r="G54" s="407">
        <v>1E-4</v>
      </c>
      <c r="H54" s="407">
        <v>1E-4</v>
      </c>
      <c r="I54" s="407">
        <v>1E-4</v>
      </c>
      <c r="J54" s="407">
        <v>1E-4</v>
      </c>
      <c r="K54" s="407">
        <v>1E-4</v>
      </c>
      <c r="L54" s="407">
        <v>1E-4</v>
      </c>
      <c r="M54" s="407">
        <v>1E-4</v>
      </c>
      <c r="N54" s="407">
        <v>1E-4</v>
      </c>
      <c r="O54" s="407">
        <v>1E-4</v>
      </c>
      <c r="P54" s="407">
        <v>1E-4</v>
      </c>
      <c r="Q54" s="407">
        <v>1E-4</v>
      </c>
      <c r="R54" s="407">
        <v>1E-4</v>
      </c>
      <c r="S54" s="407">
        <v>1E-4</v>
      </c>
      <c r="T54" s="407">
        <v>1E-4</v>
      </c>
      <c r="U54" s="407">
        <v>1E-4</v>
      </c>
      <c r="V54" s="407">
        <v>1E-4</v>
      </c>
      <c r="W54" s="407">
        <v>1E-4</v>
      </c>
      <c r="X54" s="407">
        <v>1E-4</v>
      </c>
      <c r="Y54" s="407">
        <v>1E-4</v>
      </c>
      <c r="Z54" s="407">
        <v>1E-4</v>
      </c>
      <c r="AA54" s="407">
        <v>1E-4</v>
      </c>
      <c r="AB54" s="407">
        <v>1E-4</v>
      </c>
      <c r="AC54" s="407">
        <v>1E-4</v>
      </c>
      <c r="AD54" s="407">
        <v>1E-4</v>
      </c>
      <c r="AE54" s="407">
        <v>1E-4</v>
      </c>
      <c r="AF54" s="407">
        <v>1E-4</v>
      </c>
      <c r="AG54" s="407">
        <v>1E-4</v>
      </c>
      <c r="AH54" s="407">
        <v>1E-4</v>
      </c>
      <c r="AI54" s="407">
        <v>1E-4</v>
      </c>
      <c r="AJ54" s="407">
        <v>1E-4</v>
      </c>
      <c r="AK54" s="411">
        <v>9.9000000000000005E-2</v>
      </c>
    </row>
    <row r="55" spans="1:39">
      <c r="A55" s="6" t="s">
        <v>39</v>
      </c>
      <c r="B55"/>
      <c r="C55"/>
      <c r="D55"/>
      <c r="E55"/>
      <c r="F55"/>
      <c r="G55"/>
      <c r="H55"/>
      <c r="I55"/>
      <c r="J55"/>
      <c r="K55"/>
      <c r="L55"/>
      <c r="M55"/>
      <c r="N55"/>
      <c r="O55"/>
      <c r="P55"/>
      <c r="Q55"/>
      <c r="R55"/>
      <c r="S55"/>
      <c r="T55"/>
      <c r="U55"/>
      <c r="V55"/>
      <c r="W55"/>
      <c r="X55"/>
      <c r="Y55"/>
      <c r="Z55"/>
      <c r="AA55"/>
      <c r="AB55"/>
      <c r="AC55"/>
      <c r="AD55"/>
      <c r="AE55"/>
      <c r="AF55"/>
      <c r="AG55"/>
      <c r="AH55"/>
      <c r="AI55"/>
      <c r="AJ55"/>
      <c r="AK55"/>
    </row>
    <row r="56" spans="1:39">
      <c r="A56" s="6" t="s">
        <v>42</v>
      </c>
      <c r="B56"/>
      <c r="C56"/>
      <c r="D56"/>
      <c r="E56"/>
      <c r="F56"/>
      <c r="G56"/>
      <c r="H56"/>
      <c r="I56"/>
      <c r="J56"/>
      <c r="K56"/>
      <c r="L56"/>
      <c r="M56"/>
      <c r="N56"/>
      <c r="O56"/>
      <c r="P56"/>
      <c r="Q56"/>
      <c r="R56"/>
      <c r="S56"/>
      <c r="T56"/>
      <c r="U56"/>
      <c r="V56"/>
      <c r="W56"/>
      <c r="X56"/>
      <c r="Y56"/>
      <c r="Z56"/>
      <c r="AA56"/>
      <c r="AB56"/>
      <c r="AC56"/>
      <c r="AD56"/>
      <c r="AE56"/>
      <c r="AF56"/>
      <c r="AG56"/>
      <c r="AH56"/>
      <c r="AI56"/>
      <c r="AJ56"/>
      <c r="AK56"/>
    </row>
    <row r="57" spans="1:39" s="216" customFormat="1">
      <c r="A57" s="216" t="s">
        <v>350</v>
      </c>
      <c r="B57"/>
      <c r="C57"/>
      <c r="D57"/>
      <c r="E57"/>
      <c r="F57"/>
      <c r="G57"/>
      <c r="H57"/>
      <c r="I57"/>
      <c r="J57"/>
      <c r="K57"/>
      <c r="L57"/>
      <c r="M57"/>
      <c r="N57"/>
      <c r="O57"/>
      <c r="P57"/>
      <c r="Q57"/>
      <c r="R57"/>
      <c r="S57"/>
      <c r="T57"/>
      <c r="U57"/>
      <c r="V57"/>
      <c r="W57"/>
      <c r="X57"/>
      <c r="Y57"/>
      <c r="Z57"/>
      <c r="AA57"/>
      <c r="AB57"/>
      <c r="AC57"/>
      <c r="AD57"/>
      <c r="AE57"/>
      <c r="AF57"/>
      <c r="AG57"/>
      <c r="AH57"/>
      <c r="AI57"/>
      <c r="AJ57"/>
      <c r="AK57"/>
    </row>
    <row r="58" spans="1:39" s="216" customFormat="1">
      <c r="A58" s="215" t="s">
        <v>349</v>
      </c>
      <c r="B58"/>
      <c r="C58"/>
      <c r="D58"/>
      <c r="E58"/>
      <c r="F58"/>
      <c r="G58"/>
      <c r="H58"/>
      <c r="I58"/>
      <c r="J58"/>
      <c r="K58"/>
      <c r="L58"/>
      <c r="M58"/>
      <c r="N58"/>
      <c r="O58"/>
      <c r="P58"/>
      <c r="Q58"/>
      <c r="R58"/>
      <c r="S58"/>
      <c r="T58"/>
      <c r="U58"/>
      <c r="V58"/>
      <c r="W58"/>
      <c r="X58"/>
      <c r="Y58"/>
      <c r="Z58"/>
      <c r="AA58"/>
      <c r="AB58"/>
      <c r="AC58"/>
      <c r="AD58"/>
      <c r="AE58"/>
      <c r="AF58"/>
      <c r="AG58"/>
      <c r="AH58"/>
      <c r="AI58"/>
      <c r="AJ58"/>
      <c r="AK58"/>
    </row>
    <row r="59" spans="1:39">
      <c r="A59" s="6" t="s">
        <v>745</v>
      </c>
      <c r="B59"/>
      <c r="C59"/>
      <c r="D59"/>
      <c r="E59"/>
      <c r="F59"/>
      <c r="G59"/>
      <c r="H59"/>
      <c r="I59"/>
      <c r="J59"/>
      <c r="K59"/>
      <c r="L59"/>
      <c r="M59"/>
      <c r="N59"/>
      <c r="O59"/>
      <c r="P59"/>
      <c r="Q59"/>
      <c r="R59"/>
      <c r="S59"/>
      <c r="T59"/>
      <c r="U59"/>
      <c r="V59"/>
      <c r="W59"/>
      <c r="X59"/>
      <c r="Y59"/>
      <c r="Z59"/>
      <c r="AA59"/>
      <c r="AB59"/>
      <c r="AC59"/>
      <c r="AD59"/>
      <c r="AE59"/>
      <c r="AF59"/>
      <c r="AG59"/>
      <c r="AH59"/>
      <c r="AI59"/>
      <c r="AJ59"/>
      <c r="AK59"/>
      <c r="AL59" s="18" t="s">
        <v>738</v>
      </c>
      <c r="AM59" s="18" t="s">
        <v>752</v>
      </c>
    </row>
    <row r="60" spans="1:39">
      <c r="A60" s="409" t="s">
        <v>731</v>
      </c>
      <c r="G60" s="407">
        <v>44.842190000000002</v>
      </c>
      <c r="H60" s="407">
        <v>36.483971000000004</v>
      </c>
      <c r="I60" s="407">
        <v>46.312049000000002</v>
      </c>
      <c r="J60" s="407">
        <v>47.425668000000002</v>
      </c>
      <c r="K60" s="407">
        <v>48.408583</v>
      </c>
      <c r="L60" s="407">
        <v>49.257862000000003</v>
      </c>
      <c r="M60" s="407">
        <v>49.834113000000002</v>
      </c>
      <c r="N60" s="407">
        <v>49.834088000000008</v>
      </c>
      <c r="O60" s="407">
        <v>49.834101000000004</v>
      </c>
      <c r="P60" s="407">
        <v>49.834088000000008</v>
      </c>
      <c r="Q60" s="407">
        <v>49.834100000000007</v>
      </c>
      <c r="R60" s="407">
        <v>49.834065000000002</v>
      </c>
      <c r="S60" s="407">
        <v>50.109192</v>
      </c>
      <c r="T60" s="407">
        <v>50.109172000000001</v>
      </c>
      <c r="U60" s="407">
        <v>50.109192999999998</v>
      </c>
      <c r="V60" s="407">
        <v>50.213749</v>
      </c>
      <c r="W60" s="407">
        <v>50.276525999999997</v>
      </c>
      <c r="X60" s="407">
        <v>50.631925000000003</v>
      </c>
      <c r="Y60" s="407">
        <v>50.979087999999997</v>
      </c>
      <c r="Z60" s="407">
        <v>51.366464999999991</v>
      </c>
      <c r="AA60" s="407">
        <v>51.366472000000002</v>
      </c>
      <c r="AB60" s="407">
        <v>51.591163000000002</v>
      </c>
      <c r="AC60" s="407">
        <v>51.591174000000002</v>
      </c>
      <c r="AD60" s="407">
        <v>51.591174000000002</v>
      </c>
      <c r="AE60" s="407">
        <v>51.804420999999998</v>
      </c>
      <c r="AF60" s="407">
        <v>51.952124000000005</v>
      </c>
      <c r="AG60" s="407">
        <v>51.952144000000004</v>
      </c>
      <c r="AH60" s="407">
        <v>52.086152999999996</v>
      </c>
      <c r="AI60" s="407">
        <v>52.086151999999998</v>
      </c>
      <c r="AJ60" s="407">
        <v>52.086157000000007</v>
      </c>
      <c r="AK60" s="411">
        <v>4.0000000000000001E-3</v>
      </c>
      <c r="AL60" s="416" t="s">
        <v>725</v>
      </c>
      <c r="AM60" s="29">
        <v>9.9999999999999995E-7</v>
      </c>
    </row>
    <row r="61" spans="1:39">
      <c r="A61" s="409" t="s">
        <v>732</v>
      </c>
      <c r="G61" s="407">
        <v>4.0118830000000001</v>
      </c>
      <c r="H61" s="407">
        <v>3.7581989999999998</v>
      </c>
      <c r="I61" s="407">
        <v>4.1090540000000004</v>
      </c>
      <c r="J61" s="407">
        <v>4.10907</v>
      </c>
      <c r="K61" s="407">
        <v>4.1077979999999998</v>
      </c>
      <c r="L61" s="407">
        <v>4.100117</v>
      </c>
      <c r="M61" s="407">
        <v>4.5077809999999996</v>
      </c>
      <c r="N61" s="407">
        <v>4.9009479999999996</v>
      </c>
      <c r="O61" s="407">
        <v>4.9156639999999996</v>
      </c>
      <c r="P61" s="407">
        <v>4.9143330000000001</v>
      </c>
      <c r="Q61" s="407">
        <v>4.9132239999999996</v>
      </c>
      <c r="R61" s="407">
        <v>4.9197499999999996</v>
      </c>
      <c r="S61" s="407">
        <v>4.9287999999999998</v>
      </c>
      <c r="T61" s="407">
        <v>4.9247540000000001</v>
      </c>
      <c r="U61" s="407">
        <v>4.9286719999999997</v>
      </c>
      <c r="V61" s="407">
        <v>4.927543</v>
      </c>
      <c r="W61" s="407">
        <v>5.3101979999999998</v>
      </c>
      <c r="X61" s="407">
        <v>5.5501300000000002</v>
      </c>
      <c r="Y61" s="407">
        <v>5.5720200000000002</v>
      </c>
      <c r="Z61" s="407">
        <v>5.8294079999999999</v>
      </c>
      <c r="AA61" s="407">
        <v>6.0471729999999999</v>
      </c>
      <c r="AB61" s="407">
        <v>6.0445359999999999</v>
      </c>
      <c r="AC61" s="407">
        <v>6.0421290000000001</v>
      </c>
      <c r="AD61" s="407">
        <v>6.0397999999999996</v>
      </c>
      <c r="AE61" s="407">
        <v>6.0375639999999997</v>
      </c>
      <c r="AF61" s="407">
        <v>6.0354029999999996</v>
      </c>
      <c r="AG61" s="407">
        <v>6.0333230000000002</v>
      </c>
      <c r="AH61" s="407">
        <v>6.0313509999999999</v>
      </c>
      <c r="AI61" s="407">
        <v>6.0293979999999996</v>
      </c>
      <c r="AJ61" s="407">
        <v>6.0275829999999999</v>
      </c>
      <c r="AK61" s="407" t="s">
        <v>41</v>
      </c>
      <c r="AL61" s="416" t="s">
        <v>726</v>
      </c>
      <c r="AM61" s="29">
        <v>9.7385222828620763E-2</v>
      </c>
    </row>
    <row r="62" spans="1:39">
      <c r="A62" s="409" t="s">
        <v>733</v>
      </c>
      <c r="G62" s="407">
        <v>1.339353</v>
      </c>
      <c r="H62" s="407">
        <v>1.3868399999999999</v>
      </c>
      <c r="I62" s="407">
        <v>1.1280109999999999</v>
      </c>
      <c r="J62" s="407">
        <v>1.213775</v>
      </c>
      <c r="K62" s="407">
        <v>1.1110189999999998</v>
      </c>
      <c r="L62" s="407">
        <v>1.299696</v>
      </c>
      <c r="M62" s="407">
        <v>1.308611</v>
      </c>
      <c r="N62" s="407">
        <v>1.308832</v>
      </c>
      <c r="O62" s="407">
        <v>1.300244</v>
      </c>
      <c r="P62" s="407">
        <v>1.2998630000000002</v>
      </c>
      <c r="Q62" s="407">
        <v>1.2996369999999999</v>
      </c>
      <c r="R62" s="407">
        <v>1.3080210000000001</v>
      </c>
      <c r="S62" s="407">
        <v>1.2992279999999998</v>
      </c>
      <c r="T62" s="407">
        <v>1.299032</v>
      </c>
      <c r="U62" s="407">
        <v>1.3074349999999999</v>
      </c>
      <c r="V62" s="407">
        <v>1.284637</v>
      </c>
      <c r="W62" s="407">
        <v>1.298103</v>
      </c>
      <c r="X62" s="407">
        <v>1.297704</v>
      </c>
      <c r="Y62" s="407">
        <v>1.2972440000000001</v>
      </c>
      <c r="Z62" s="407">
        <v>1.296748</v>
      </c>
      <c r="AA62" s="407">
        <v>1.296254</v>
      </c>
      <c r="AB62" s="407">
        <v>1.304459</v>
      </c>
      <c r="AC62" s="407">
        <v>1.3161710000000002</v>
      </c>
      <c r="AD62" s="407">
        <v>1.3335859999999999</v>
      </c>
      <c r="AE62" s="407">
        <v>1.333243</v>
      </c>
      <c r="AF62" s="407">
        <v>1.3329070000000001</v>
      </c>
      <c r="AG62" s="407">
        <v>1.3581589999999999</v>
      </c>
      <c r="AH62" s="407">
        <v>1.3578999999999999</v>
      </c>
      <c r="AI62" s="407">
        <v>1.3576220000000001</v>
      </c>
      <c r="AJ62" s="407">
        <v>1.3573469999999999</v>
      </c>
      <c r="AK62" s="411">
        <v>4.0000000000000001E-3</v>
      </c>
      <c r="AL62" s="416" t="s">
        <v>727</v>
      </c>
      <c r="AM62" s="29">
        <v>0</v>
      </c>
    </row>
    <row r="63" spans="1:39">
      <c r="A63" s="409" t="s">
        <v>734</v>
      </c>
      <c r="G63" s="407">
        <v>14.945162</v>
      </c>
      <c r="H63" s="407">
        <v>14.431946</v>
      </c>
      <c r="I63" s="407">
        <v>15.985713000000001</v>
      </c>
      <c r="J63" s="407">
        <v>16.447120999999999</v>
      </c>
      <c r="K63" s="407">
        <v>17.050978000000001</v>
      </c>
      <c r="L63" s="407">
        <v>18.040935000000001</v>
      </c>
      <c r="M63" s="407">
        <v>19.565261</v>
      </c>
      <c r="N63" s="407">
        <v>20.441119</v>
      </c>
      <c r="O63" s="407">
        <v>21.262525000000004</v>
      </c>
      <c r="P63" s="407">
        <v>22.308201</v>
      </c>
      <c r="Q63" s="407">
        <v>23.922165</v>
      </c>
      <c r="R63" s="407">
        <v>25.017121999999997</v>
      </c>
      <c r="S63" s="407">
        <v>28.156784999999999</v>
      </c>
      <c r="T63" s="407">
        <v>29.380445999999999</v>
      </c>
      <c r="U63" s="407">
        <v>33.175676000000003</v>
      </c>
      <c r="V63" s="407">
        <v>34.292058000000004</v>
      </c>
      <c r="W63" s="407">
        <v>35.052129999999998</v>
      </c>
      <c r="X63" s="407">
        <v>35.761009999999999</v>
      </c>
      <c r="Y63" s="407">
        <v>40.052028999999997</v>
      </c>
      <c r="Z63" s="407">
        <v>40.702837000000002</v>
      </c>
      <c r="AA63" s="407">
        <v>41.248019000000006</v>
      </c>
      <c r="AB63" s="407">
        <v>41.657182000000006</v>
      </c>
      <c r="AC63" s="407">
        <v>42.205671000000002</v>
      </c>
      <c r="AD63" s="407">
        <v>42.836480000000002</v>
      </c>
      <c r="AE63" s="407">
        <v>43.374407999999995</v>
      </c>
      <c r="AF63" s="407">
        <v>44.123406000000003</v>
      </c>
      <c r="AG63" s="407">
        <v>44.932203999999999</v>
      </c>
      <c r="AH63" s="407">
        <v>45.863558999999995</v>
      </c>
      <c r="AI63" s="407">
        <v>46.833663999999999</v>
      </c>
      <c r="AJ63" s="407">
        <v>47.706866999999995</v>
      </c>
      <c r="AK63" s="411">
        <v>1.7999999999999999E-2</v>
      </c>
      <c r="AL63" s="416" t="s">
        <v>143</v>
      </c>
      <c r="AM63" s="29">
        <v>9.9999999999999995E-7</v>
      </c>
    </row>
    <row r="64" spans="1:39">
      <c r="A64" s="409" t="s">
        <v>735</v>
      </c>
      <c r="G64" s="407">
        <v>1.0267039999999998</v>
      </c>
      <c r="H64" s="407">
        <v>2.8537889999999999</v>
      </c>
      <c r="I64" s="407">
        <v>4.2529700000000004</v>
      </c>
      <c r="J64" s="407">
        <v>6.6156470000000001</v>
      </c>
      <c r="K64" s="407">
        <v>7.8609019999999994</v>
      </c>
      <c r="L64" s="407">
        <v>8.632753000000001</v>
      </c>
      <c r="M64" s="407">
        <v>8.6597589999999993</v>
      </c>
      <c r="N64" s="407">
        <v>8.7042290000000015</v>
      </c>
      <c r="O64" s="407">
        <v>8.7542929999999988</v>
      </c>
      <c r="P64" s="407">
        <v>8.8394560000000002</v>
      </c>
      <c r="Q64" s="407">
        <v>8.9440819999999999</v>
      </c>
      <c r="R64" s="407">
        <v>9.0665030000000009</v>
      </c>
      <c r="S64" s="407">
        <v>9.2123340000000002</v>
      </c>
      <c r="T64" s="407">
        <v>9.3902070000000002</v>
      </c>
      <c r="U64" s="407">
        <v>9.6184659999999997</v>
      </c>
      <c r="V64" s="407">
        <v>9.8824939999999994</v>
      </c>
      <c r="W64" s="407">
        <v>10.192751000000001</v>
      </c>
      <c r="X64" s="407">
        <v>10.572926000000001</v>
      </c>
      <c r="Y64" s="407">
        <v>11.015145</v>
      </c>
      <c r="Z64" s="407">
        <v>11.577275</v>
      </c>
      <c r="AA64" s="407">
        <v>12.280673999999999</v>
      </c>
      <c r="AB64" s="407">
        <v>12.961821</v>
      </c>
      <c r="AC64" s="407">
        <v>13.529388999999998</v>
      </c>
      <c r="AD64" s="407">
        <v>14.326228</v>
      </c>
      <c r="AE64" s="407">
        <v>15.365499</v>
      </c>
      <c r="AF64" s="407">
        <v>16.162962</v>
      </c>
      <c r="AG64" s="407">
        <v>16.775990999999998</v>
      </c>
      <c r="AH64" s="407">
        <v>17.386566999999999</v>
      </c>
      <c r="AI64" s="407">
        <v>18.015301000000001</v>
      </c>
      <c r="AJ64" s="407">
        <v>18.662105999999998</v>
      </c>
      <c r="AK64" s="411">
        <v>7.0000000000000007E-2</v>
      </c>
      <c r="AL64" s="416" t="s">
        <v>728</v>
      </c>
      <c r="AM64" s="29">
        <v>0.11011889642231036</v>
      </c>
    </row>
    <row r="65" spans="1:44">
      <c r="A65" s="409" t="s">
        <v>736</v>
      </c>
      <c r="G65" s="407">
        <v>38.983921000000002</v>
      </c>
      <c r="H65" s="407">
        <v>43.605923000000004</v>
      </c>
      <c r="I65" s="407">
        <v>46.780897999999993</v>
      </c>
      <c r="J65" s="407">
        <v>47.040753000000002</v>
      </c>
      <c r="K65" s="407">
        <v>59.372954</v>
      </c>
      <c r="L65" s="407">
        <v>67.38064</v>
      </c>
      <c r="M65" s="407">
        <v>67.380969999999991</v>
      </c>
      <c r="N65" s="407">
        <v>67.37115399999999</v>
      </c>
      <c r="O65" s="407">
        <v>67.38362699999999</v>
      </c>
      <c r="P65" s="407">
        <v>67.38749</v>
      </c>
      <c r="Q65" s="407">
        <v>67.393857999999994</v>
      </c>
      <c r="R65" s="407">
        <v>67.421112999999991</v>
      </c>
      <c r="S65" s="407">
        <v>67.413719</v>
      </c>
      <c r="T65" s="407">
        <v>67.409741999999994</v>
      </c>
      <c r="U65" s="407">
        <v>67.406160999999997</v>
      </c>
      <c r="V65" s="407">
        <v>67.415046000000004</v>
      </c>
      <c r="W65" s="407">
        <v>67.43121099999999</v>
      </c>
      <c r="X65" s="407">
        <v>67.428821999999997</v>
      </c>
      <c r="Y65" s="407">
        <v>67.500607000000002</v>
      </c>
      <c r="Z65" s="407">
        <v>67.593868000000001</v>
      </c>
      <c r="AA65" s="407">
        <v>67.692881</v>
      </c>
      <c r="AB65" s="407">
        <v>67.802678</v>
      </c>
      <c r="AC65" s="407">
        <v>67.932296000000008</v>
      </c>
      <c r="AD65" s="407">
        <v>68.157133000000002</v>
      </c>
      <c r="AE65" s="407">
        <v>68.263564000000002</v>
      </c>
      <c r="AF65" s="407">
        <v>68.268462999999997</v>
      </c>
      <c r="AG65" s="407">
        <v>68.581467000000004</v>
      </c>
      <c r="AH65" s="407">
        <v>68.813840999999996</v>
      </c>
      <c r="AI65" s="407">
        <v>69.208895999999996</v>
      </c>
      <c r="AJ65" s="407">
        <v>69.860670999999996</v>
      </c>
      <c r="AK65" s="411">
        <v>7.2999999999999995E-2</v>
      </c>
      <c r="AL65" s="416" t="s">
        <v>729</v>
      </c>
      <c r="AM65" s="29">
        <v>4.9402565357790751E-2</v>
      </c>
    </row>
    <row r="66" spans="1:44">
      <c r="A66" s="410" t="s">
        <v>737</v>
      </c>
      <c r="G66" s="408">
        <v>105.14921200000001</v>
      </c>
      <c r="H66" s="408">
        <v>102.52066500000001</v>
      </c>
      <c r="I66" s="408">
        <v>118.56869200000001</v>
      </c>
      <c r="J66" s="408">
        <v>122.85203200000001</v>
      </c>
      <c r="K66" s="408">
        <v>137.912237</v>
      </c>
      <c r="L66" s="408">
        <v>148.712006</v>
      </c>
      <c r="M66" s="408">
        <v>151.256494</v>
      </c>
      <c r="N66" s="408">
        <v>152.560371</v>
      </c>
      <c r="O66" s="408">
        <v>153.450457</v>
      </c>
      <c r="P66" s="408">
        <v>154.583426</v>
      </c>
      <c r="Q66" s="408">
        <v>156.307063</v>
      </c>
      <c r="R66" s="408">
        <v>157.56657100000001</v>
      </c>
      <c r="S66" s="408">
        <v>161.12006099999996</v>
      </c>
      <c r="T66" s="408">
        <v>162.51335699999998</v>
      </c>
      <c r="U66" s="408">
        <v>166.54560699999999</v>
      </c>
      <c r="V66" s="408">
        <v>168.015525</v>
      </c>
      <c r="W66" s="408">
        <v>169.56092100000001</v>
      </c>
      <c r="X66" s="408">
        <v>171.242514</v>
      </c>
      <c r="Y66" s="408">
        <v>176.41612999999995</v>
      </c>
      <c r="Z66" s="408">
        <v>178.366603</v>
      </c>
      <c r="AA66" s="408">
        <v>179.93147900000002</v>
      </c>
      <c r="AB66" s="408">
        <v>181.361839</v>
      </c>
      <c r="AC66" s="408">
        <v>182.616829</v>
      </c>
      <c r="AD66" s="408">
        <v>184.28439900000001</v>
      </c>
      <c r="AE66" s="408">
        <v>186.17869400000001</v>
      </c>
      <c r="AF66" s="408">
        <v>187.87526300000002</v>
      </c>
      <c r="AG66" s="408">
        <v>189.63328299999998</v>
      </c>
      <c r="AH66" s="408">
        <v>191.53937300000001</v>
      </c>
      <c r="AI66" s="408">
        <v>193.53103399999998</v>
      </c>
      <c r="AJ66" s="408">
        <v>195.70073199999999</v>
      </c>
      <c r="AK66" s="412">
        <v>2.1999999999999999E-2</v>
      </c>
      <c r="AL66" s="416" t="s">
        <v>730</v>
      </c>
      <c r="AM66" s="29">
        <v>5.5091186593979588E-2</v>
      </c>
    </row>
    <row r="67" spans="1:44">
      <c r="A67" s="418"/>
      <c r="B67"/>
      <c r="C67"/>
      <c r="D67"/>
      <c r="E67"/>
      <c r="F67"/>
      <c r="G67"/>
      <c r="H67"/>
      <c r="I67"/>
      <c r="J67"/>
      <c r="K67"/>
      <c r="L67"/>
      <c r="M67"/>
      <c r="N67"/>
      <c r="O67"/>
      <c r="P67"/>
      <c r="Q67"/>
      <c r="R67"/>
      <c r="S67"/>
      <c r="T67"/>
      <c r="U67"/>
      <c r="V67"/>
      <c r="W67"/>
      <c r="X67"/>
      <c r="Y67"/>
      <c r="Z67"/>
      <c r="AA67"/>
      <c r="AB67"/>
      <c r="AC67"/>
      <c r="AD67"/>
      <c r="AE67"/>
      <c r="AF67"/>
      <c r="AG67"/>
      <c r="AH67"/>
      <c r="AI67"/>
      <c r="AJ67"/>
      <c r="AK67"/>
      <c r="AL67" s="417" t="s">
        <v>58</v>
      </c>
      <c r="AM67" s="29">
        <v>7.2501705651810064E-2</v>
      </c>
    </row>
    <row r="68" spans="1:44">
      <c r="A68" s="6" t="s">
        <v>54</v>
      </c>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row>
    <row r="69" spans="1:44">
      <c r="A69" s="6"/>
      <c r="B69" s="379"/>
      <c r="C69" s="379"/>
      <c r="D69" s="379"/>
      <c r="E69" s="379"/>
      <c r="F69" s="379"/>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3"/>
    </row>
    <row r="70" spans="1:44" s="90" customFormat="1">
      <c r="B70" s="380" t="s">
        <v>7</v>
      </c>
      <c r="C70" s="380" t="s">
        <v>8</v>
      </c>
      <c r="D70" s="380" t="s">
        <v>9</v>
      </c>
      <c r="E70" s="380" t="s">
        <v>10</v>
      </c>
      <c r="F70" s="380" t="s">
        <v>11</v>
      </c>
      <c r="G70" s="284" t="s">
        <v>12</v>
      </c>
      <c r="H70" s="284" t="s">
        <v>13</v>
      </c>
      <c r="I70" s="284" t="s">
        <v>14</v>
      </c>
      <c r="J70" s="284" t="s">
        <v>15</v>
      </c>
      <c r="K70" s="284" t="s">
        <v>16</v>
      </c>
      <c r="L70" s="284" t="s">
        <v>17</v>
      </c>
      <c r="M70" s="284" t="s">
        <v>18</v>
      </c>
      <c r="N70" s="284" t="s">
        <v>19</v>
      </c>
      <c r="O70" s="284" t="s">
        <v>20</v>
      </c>
      <c r="P70" s="284" t="s">
        <v>21</v>
      </c>
      <c r="Q70" s="284" t="s">
        <v>22</v>
      </c>
      <c r="R70" s="284" t="s">
        <v>23</v>
      </c>
      <c r="S70" s="284" t="s">
        <v>24</v>
      </c>
      <c r="T70" s="284" t="s">
        <v>25</v>
      </c>
      <c r="U70" s="284" t="s">
        <v>26</v>
      </c>
      <c r="V70" s="284" t="s">
        <v>27</v>
      </c>
      <c r="W70" s="284" t="s">
        <v>28</v>
      </c>
      <c r="X70" s="284" t="s">
        <v>29</v>
      </c>
      <c r="Y70" s="284" t="s">
        <v>30</v>
      </c>
      <c r="Z70" s="284" t="s">
        <v>31</v>
      </c>
      <c r="AA70" s="284" t="s">
        <v>579</v>
      </c>
      <c r="AB70" s="284" t="s">
        <v>580</v>
      </c>
      <c r="AC70" s="284" t="s">
        <v>581</v>
      </c>
      <c r="AD70" s="284" t="s">
        <v>582</v>
      </c>
      <c r="AE70" s="284" t="s">
        <v>583</v>
      </c>
      <c r="AF70" s="284" t="s">
        <v>584</v>
      </c>
      <c r="AG70" s="284" t="s">
        <v>585</v>
      </c>
      <c r="AH70" s="284" t="s">
        <v>586</v>
      </c>
      <c r="AI70" s="284" t="s">
        <v>587</v>
      </c>
      <c r="AJ70" s="284" t="s">
        <v>588</v>
      </c>
      <c r="AK70" s="284" t="s">
        <v>591</v>
      </c>
      <c r="AM70" s="90" t="s">
        <v>746</v>
      </c>
      <c r="AN70" s="90">
        <v>2006</v>
      </c>
      <c r="AO70" s="90">
        <v>2007</v>
      </c>
      <c r="AP70" s="90">
        <v>2008</v>
      </c>
      <c r="AQ70" s="90">
        <v>2009</v>
      </c>
      <c r="AR70" s="90">
        <v>2010</v>
      </c>
    </row>
    <row r="71" spans="1:44">
      <c r="B71" s="378"/>
      <c r="C71" s="378"/>
      <c r="D71" s="378"/>
      <c r="E71" s="378"/>
      <c r="F71" s="378"/>
    </row>
    <row r="72" spans="1:44" s="18" customFormat="1">
      <c r="A72" s="17" t="s">
        <v>55</v>
      </c>
      <c r="B72" s="381"/>
      <c r="C72" s="381"/>
      <c r="D72" s="381"/>
      <c r="E72" s="381"/>
      <c r="F72" s="381"/>
      <c r="G72" s="285"/>
      <c r="H72" s="285"/>
      <c r="I72" s="285"/>
      <c r="J72" s="285"/>
      <c r="K72" s="285"/>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285"/>
      <c r="AK72" s="285"/>
      <c r="AM72" s="18" t="s">
        <v>725</v>
      </c>
      <c r="AN72" s="18">
        <v>0</v>
      </c>
      <c r="AO72" s="18">
        <v>0</v>
      </c>
      <c r="AP72" s="18">
        <v>0</v>
      </c>
      <c r="AQ72" s="18">
        <v>0</v>
      </c>
      <c r="AR72" s="18">
        <v>0</v>
      </c>
    </row>
    <row r="73" spans="1:44" s="18" customFormat="1">
      <c r="A73" s="17" t="s">
        <v>49</v>
      </c>
      <c r="B73" s="399">
        <f>AN73</f>
        <v>1.5509999999999999</v>
      </c>
      <c r="C73" s="399">
        <f t="shared" ref="C73:F73" si="0">AO73</f>
        <v>3.2370000000000001</v>
      </c>
      <c r="D73" s="399">
        <f t="shared" si="0"/>
        <v>4.66</v>
      </c>
      <c r="E73" s="399">
        <f t="shared" si="0"/>
        <v>4.1929999999999996</v>
      </c>
      <c r="F73" s="399">
        <f t="shared" si="0"/>
        <v>3.6589999999999998</v>
      </c>
      <c r="G73" s="392">
        <f t="shared" ref="G73:AJ73" si="1">G60*$AM61</f>
        <v>4.3669666652733499</v>
      </c>
      <c r="H73" s="392">
        <f t="shared" si="1"/>
        <v>3.5529996455079385</v>
      </c>
      <c r="I73" s="392">
        <f t="shared" si="1"/>
        <v>4.5101092115150037</v>
      </c>
      <c r="J73" s="392">
        <f t="shared" si="1"/>
        <v>4.6185592459761891</v>
      </c>
      <c r="K73" s="392">
        <f t="shared" si="1"/>
        <v>4.714280642272783</v>
      </c>
      <c r="L73" s="392">
        <f t="shared" si="1"/>
        <v>4.7969878669314516</v>
      </c>
      <c r="M73" s="392">
        <f t="shared" si="1"/>
        <v>4.8531061989716671</v>
      </c>
      <c r="N73" s="392">
        <f t="shared" si="1"/>
        <v>4.853103764341097</v>
      </c>
      <c r="O73" s="392">
        <f t="shared" si="1"/>
        <v>4.8531050303489929</v>
      </c>
      <c r="P73" s="392">
        <f t="shared" si="1"/>
        <v>4.853103764341097</v>
      </c>
      <c r="Q73" s="392">
        <f t="shared" si="1"/>
        <v>4.8531049329637703</v>
      </c>
      <c r="R73" s="392">
        <f t="shared" si="1"/>
        <v>4.8531015244809712</v>
      </c>
      <c r="S73" s="392">
        <f t="shared" si="1"/>
        <v>4.8798948286821409</v>
      </c>
      <c r="T73" s="392">
        <f t="shared" si="1"/>
        <v>4.8798928809776845</v>
      </c>
      <c r="U73" s="392">
        <f t="shared" si="1"/>
        <v>4.8798949260673634</v>
      </c>
      <c r="V73" s="392">
        <f t="shared" si="1"/>
        <v>4.8900771354254333</v>
      </c>
      <c r="W73" s="392">
        <f t="shared" si="1"/>
        <v>4.8961906875589447</v>
      </c>
      <c r="X73" s="392">
        <f t="shared" si="1"/>
        <v>4.9308012983670144</v>
      </c>
      <c r="Y73" s="392">
        <f t="shared" si="1"/>
        <v>4.9646098444798668</v>
      </c>
      <c r="Z73" s="392">
        <f t="shared" si="1"/>
        <v>5.0023346399435482</v>
      </c>
      <c r="AA73" s="392">
        <f t="shared" si="1"/>
        <v>5.0023353216401096</v>
      </c>
      <c r="AB73" s="392">
        <f t="shared" si="1"/>
        <v>5.024216904742695</v>
      </c>
      <c r="AC73" s="392">
        <f t="shared" si="1"/>
        <v>5.0242179759801457</v>
      </c>
      <c r="AD73" s="392">
        <f t="shared" si="1"/>
        <v>5.0242179759801457</v>
      </c>
      <c r="AE73" s="392">
        <f t="shared" si="1"/>
        <v>5.0449850825926807</v>
      </c>
      <c r="AF73" s="392">
        <f t="shared" si="1"/>
        <v>5.059369172160137</v>
      </c>
      <c r="AG73" s="392">
        <f t="shared" si="1"/>
        <v>5.0593711198645934</v>
      </c>
      <c r="AH73" s="392">
        <f t="shared" si="1"/>
        <v>5.072421616190633</v>
      </c>
      <c r="AI73" s="392">
        <f t="shared" si="1"/>
        <v>5.0724215188054105</v>
      </c>
      <c r="AJ73" s="392">
        <f t="shared" si="1"/>
        <v>5.0724220057315259</v>
      </c>
      <c r="AK73" s="393"/>
      <c r="AM73" s="18" t="s">
        <v>726</v>
      </c>
      <c r="AN73" s="18">
        <v>1.5509999999999999</v>
      </c>
      <c r="AO73" s="18">
        <v>3.2370000000000001</v>
      </c>
      <c r="AP73" s="18">
        <v>4.66</v>
      </c>
      <c r="AQ73" s="18">
        <v>4.1929999999999996</v>
      </c>
      <c r="AR73" s="18">
        <v>3.6589999999999998</v>
      </c>
    </row>
    <row r="74" spans="1:44" s="18" customFormat="1">
      <c r="A74" s="17" t="s">
        <v>50</v>
      </c>
      <c r="B74" s="399">
        <f>AN72</f>
        <v>0</v>
      </c>
      <c r="C74" s="399">
        <f t="shared" ref="C74:F74" si="2">AO72</f>
        <v>0</v>
      </c>
      <c r="D74" s="399">
        <f t="shared" si="2"/>
        <v>0</v>
      </c>
      <c r="E74" s="399">
        <f t="shared" si="2"/>
        <v>0</v>
      </c>
      <c r="F74" s="399">
        <f t="shared" si="2"/>
        <v>0</v>
      </c>
      <c r="G74" s="392">
        <f t="shared" ref="G74:AJ74" si="3">G61*$AM60</f>
        <v>4.0118829999999998E-6</v>
      </c>
      <c r="H74" s="392">
        <f t="shared" si="3"/>
        <v>3.7581989999999996E-6</v>
      </c>
      <c r="I74" s="392">
        <f t="shared" si="3"/>
        <v>4.1090540000000002E-6</v>
      </c>
      <c r="J74" s="392">
        <f t="shared" si="3"/>
        <v>4.1090699999999998E-6</v>
      </c>
      <c r="K74" s="392">
        <f t="shared" si="3"/>
        <v>4.1077979999999994E-6</v>
      </c>
      <c r="L74" s="392">
        <f t="shared" si="3"/>
        <v>4.1001169999999998E-6</v>
      </c>
      <c r="M74" s="392">
        <f t="shared" si="3"/>
        <v>4.5077809999999991E-6</v>
      </c>
      <c r="N74" s="392">
        <f t="shared" si="3"/>
        <v>4.9009479999999996E-6</v>
      </c>
      <c r="O74" s="392">
        <f t="shared" si="3"/>
        <v>4.9156639999999992E-6</v>
      </c>
      <c r="P74" s="392">
        <f t="shared" si="3"/>
        <v>4.914333E-6</v>
      </c>
      <c r="Q74" s="392">
        <f t="shared" si="3"/>
        <v>4.9132239999999996E-6</v>
      </c>
      <c r="R74" s="392">
        <f t="shared" si="3"/>
        <v>4.9197499999999998E-6</v>
      </c>
      <c r="S74" s="392">
        <f t="shared" si="3"/>
        <v>4.9287999999999993E-6</v>
      </c>
      <c r="T74" s="392">
        <f t="shared" si="3"/>
        <v>4.9247539999999998E-6</v>
      </c>
      <c r="U74" s="392">
        <f t="shared" si="3"/>
        <v>4.9286719999999991E-6</v>
      </c>
      <c r="V74" s="392">
        <f t="shared" si="3"/>
        <v>4.927543E-6</v>
      </c>
      <c r="W74" s="392">
        <f t="shared" si="3"/>
        <v>5.3101979999999991E-6</v>
      </c>
      <c r="X74" s="392">
        <f t="shared" si="3"/>
        <v>5.55013E-6</v>
      </c>
      <c r="Y74" s="392">
        <f t="shared" si="3"/>
        <v>5.5720199999999999E-6</v>
      </c>
      <c r="Z74" s="392">
        <f t="shared" si="3"/>
        <v>5.8294079999999998E-6</v>
      </c>
      <c r="AA74" s="392">
        <f t="shared" si="3"/>
        <v>6.0471729999999998E-6</v>
      </c>
      <c r="AB74" s="392">
        <f t="shared" si="3"/>
        <v>6.0445359999999996E-6</v>
      </c>
      <c r="AC74" s="392">
        <f t="shared" si="3"/>
        <v>6.0421289999999995E-6</v>
      </c>
      <c r="AD74" s="392">
        <f t="shared" si="3"/>
        <v>6.0397999999999993E-6</v>
      </c>
      <c r="AE74" s="392">
        <f t="shared" si="3"/>
        <v>6.0375639999999994E-6</v>
      </c>
      <c r="AF74" s="392">
        <f t="shared" si="3"/>
        <v>6.0354029999999997E-6</v>
      </c>
      <c r="AG74" s="392">
        <f t="shared" si="3"/>
        <v>6.0333229999999999E-6</v>
      </c>
      <c r="AH74" s="392">
        <f t="shared" si="3"/>
        <v>6.0313509999999997E-6</v>
      </c>
      <c r="AI74" s="392">
        <f t="shared" si="3"/>
        <v>6.0293979999999989E-6</v>
      </c>
      <c r="AJ74" s="392">
        <f t="shared" si="3"/>
        <v>6.0275829999999999E-6</v>
      </c>
      <c r="AK74" s="393"/>
      <c r="AM74" s="18" t="s">
        <v>727</v>
      </c>
      <c r="AN74" s="18">
        <v>0</v>
      </c>
      <c r="AO74" s="18">
        <v>0</v>
      </c>
      <c r="AP74" s="18">
        <v>0</v>
      </c>
      <c r="AQ74" s="18">
        <v>0</v>
      </c>
      <c r="AR74" s="18">
        <v>0</v>
      </c>
    </row>
    <row r="75" spans="1:44" s="18" customFormat="1">
      <c r="A75" s="17" t="s">
        <v>51</v>
      </c>
      <c r="B75" s="399">
        <f>AN77</f>
        <v>7.0000000000000001E-3</v>
      </c>
      <c r="C75" s="399">
        <f t="shared" ref="C75:F75" si="4">AO77</f>
        <v>3.3000000000000002E-2</v>
      </c>
      <c r="D75" s="399">
        <f t="shared" si="4"/>
        <v>3.5999999999999997E-2</v>
      </c>
      <c r="E75" s="399">
        <f t="shared" si="4"/>
        <v>3.4000000000000002E-2</v>
      </c>
      <c r="F75" s="399">
        <f t="shared" si="4"/>
        <v>3.7999999999999999E-2</v>
      </c>
      <c r="G75" s="392">
        <f t="shared" ref="G75:AJ75" si="5">G62*$AM65</f>
        <v>6.6167474119653111E-2</v>
      </c>
      <c r="H75" s="392">
        <f t="shared" si="5"/>
        <v>6.8513453740798522E-2</v>
      </c>
      <c r="I75" s="392">
        <f t="shared" si="5"/>
        <v>5.5726637151806896E-2</v>
      </c>
      <c r="J75" s="392">
        <f t="shared" si="5"/>
        <v>5.9963598767152473E-2</v>
      </c>
      <c r="K75" s="392">
        <f t="shared" si="5"/>
        <v>5.4887188761247312E-2</v>
      </c>
      <c r="L75" s="392">
        <f t="shared" si="5"/>
        <v>6.4208316585259204E-2</v>
      </c>
      <c r="M75" s="392">
        <f t="shared" si="5"/>
        <v>6.4648740455423917E-2</v>
      </c>
      <c r="N75" s="392">
        <f t="shared" si="5"/>
        <v>6.4659658422367983E-2</v>
      </c>
      <c r="O75" s="392">
        <f t="shared" si="5"/>
        <v>6.4235389191075271E-2</v>
      </c>
      <c r="P75" s="392">
        <f t="shared" si="5"/>
        <v>6.4216566813673964E-2</v>
      </c>
      <c r="Q75" s="392">
        <f t="shared" si="5"/>
        <v>6.4205401833903095E-2</v>
      </c>
      <c r="R75" s="392">
        <f t="shared" si="5"/>
        <v>6.4619592941862827E-2</v>
      </c>
      <c r="S75" s="392">
        <f t="shared" si="5"/>
        <v>6.418519618467175E-2</v>
      </c>
      <c r="T75" s="392">
        <f t="shared" si="5"/>
        <v>6.4175513281861635E-2</v>
      </c>
      <c r="U75" s="392">
        <f t="shared" si="5"/>
        <v>6.4590643038563142E-2</v>
      </c>
      <c r="V75" s="392">
        <f t="shared" si="5"/>
        <v>6.3464363353536238E-2</v>
      </c>
      <c r="W75" s="392">
        <f t="shared" si="5"/>
        <v>6.4129618298644248E-2</v>
      </c>
      <c r="X75" s="392">
        <f t="shared" si="5"/>
        <v>6.4109906675066483E-2</v>
      </c>
      <c r="Y75" s="392">
        <f t="shared" si="5"/>
        <v>6.4087181495001908E-2</v>
      </c>
      <c r="Z75" s="392">
        <f t="shared" si="5"/>
        <v>6.4062677822584443E-2</v>
      </c>
      <c r="AA75" s="392">
        <f t="shared" si="5"/>
        <v>6.4038272955297695E-2</v>
      </c>
      <c r="AB75" s="392">
        <f t="shared" si="5"/>
        <v>6.4443621004058371E-2</v>
      </c>
      <c r="AC75" s="392">
        <f t="shared" si="5"/>
        <v>6.5022223849528826E-2</v>
      </c>
      <c r="AD75" s="392">
        <f t="shared" si="5"/>
        <v>6.5882569525234733E-2</v>
      </c>
      <c r="AE75" s="392">
        <f t="shared" si="5"/>
        <v>6.5865624445317017E-2</v>
      </c>
      <c r="AF75" s="392">
        <f t="shared" si="5"/>
        <v>6.5849025183356794E-2</v>
      </c>
      <c r="AG75" s="392">
        <f t="shared" si="5"/>
        <v>6.7096538763771724E-2</v>
      </c>
      <c r="AH75" s="392">
        <f t="shared" si="5"/>
        <v>6.7083743499344053E-2</v>
      </c>
      <c r="AI75" s="392">
        <f t="shared" si="5"/>
        <v>6.7070009586174595E-2</v>
      </c>
      <c r="AJ75" s="392">
        <f t="shared" si="5"/>
        <v>6.7056423880701196E-2</v>
      </c>
      <c r="AK75" s="393"/>
      <c r="AM75" s="18" t="s">
        <v>143</v>
      </c>
      <c r="AN75" s="18">
        <v>0</v>
      </c>
      <c r="AO75" s="18">
        <v>0</v>
      </c>
      <c r="AP75" s="18">
        <v>0</v>
      </c>
      <c r="AQ75" s="18">
        <v>0</v>
      </c>
      <c r="AR75" s="18">
        <v>0</v>
      </c>
    </row>
    <row r="76" spans="1:44" s="18" customFormat="1">
      <c r="A76" s="17" t="s">
        <v>56</v>
      </c>
      <c r="B76" s="400">
        <f>AN76</f>
        <v>1.6890000000000001</v>
      </c>
      <c r="C76" s="400">
        <f t="shared" ref="C76:F76" si="6">AO76</f>
        <v>1.581</v>
      </c>
      <c r="D76" s="400">
        <f t="shared" si="6"/>
        <v>1.466</v>
      </c>
      <c r="E76" s="400">
        <f t="shared" si="6"/>
        <v>1.5289999999999999</v>
      </c>
      <c r="F76" s="400">
        <f t="shared" si="6"/>
        <v>1.5669999999999999</v>
      </c>
      <c r="G76" s="400">
        <f>G63*$AM64</f>
        <v>1.6457447462926487</v>
      </c>
      <c r="H76" s="400">
        <f t="shared" ref="H76:AJ76" si="7">H63*$AM64</f>
        <v>1.5892299667463763</v>
      </c>
      <c r="I76" s="400">
        <f t="shared" si="7"/>
        <v>1.7603290740837803</v>
      </c>
      <c r="J76" s="400">
        <f t="shared" si="7"/>
        <v>1.8111388138442055</v>
      </c>
      <c r="K76" s="400">
        <f t="shared" si="7"/>
        <v>1.8776348802810927</v>
      </c>
      <c r="L76" s="400">
        <f t="shared" si="7"/>
        <v>1.9866478526266338</v>
      </c>
      <c r="M76" s="400">
        <f t="shared" si="7"/>
        <v>2.1545049495344686</v>
      </c>
      <c r="N76" s="400">
        <f t="shared" si="7"/>
        <v>2.2509534659171204</v>
      </c>
      <c r="O76" s="400">
        <f t="shared" si="7"/>
        <v>2.3414057881517851</v>
      </c>
      <c r="P76" s="400">
        <f t="shared" si="7"/>
        <v>2.4565544752870805</v>
      </c>
      <c r="Q76" s="400">
        <f t="shared" si="7"/>
        <v>2.634282409832418</v>
      </c>
      <c r="R76" s="400">
        <f t="shared" si="7"/>
        <v>2.7548578663023013</v>
      </c>
      <c r="S76" s="400">
        <f t="shared" si="7"/>
        <v>3.1005940910002621</v>
      </c>
      <c r="T76" s="400">
        <f t="shared" si="7"/>
        <v>3.2353422899152826</v>
      </c>
      <c r="U76" s="400">
        <f t="shared" si="7"/>
        <v>3.6532688291841282</v>
      </c>
      <c r="V76" s="400">
        <f t="shared" si="7"/>
        <v>3.7762035830098597</v>
      </c>
      <c r="W76" s="400">
        <f t="shared" si="7"/>
        <v>3.8599018728513577</v>
      </c>
      <c r="X76" s="400">
        <f t="shared" si="7"/>
        <v>3.9379629561472047</v>
      </c>
      <c r="Y76" s="400">
        <f t="shared" si="7"/>
        <v>4.4104852329543709</v>
      </c>
      <c r="Z76" s="400">
        <f t="shared" si="7"/>
        <v>4.4821514916971816</v>
      </c>
      <c r="AA76" s="400">
        <f t="shared" si="7"/>
        <v>4.5421863318864908</v>
      </c>
      <c r="AB76" s="400">
        <f t="shared" si="7"/>
        <v>4.5872429099033321</v>
      </c>
      <c r="AC76" s="400">
        <f t="shared" si="7"/>
        <v>4.6476419132831088</v>
      </c>
      <c r="AD76" s="400">
        <f t="shared" si="7"/>
        <v>4.7171059042163694</v>
      </c>
      <c r="AE76" s="400">
        <f t="shared" si="7"/>
        <v>4.7763419419310296</v>
      </c>
      <c r="AF76" s="400">
        <f t="shared" si="7"/>
        <v>4.8588207751135482</v>
      </c>
      <c r="AG76" s="400">
        <f t="shared" si="7"/>
        <v>4.9478847183021193</v>
      </c>
      <c r="AH76" s="400">
        <f t="shared" si="7"/>
        <v>5.05044450307952</v>
      </c>
      <c r="AI76" s="400">
        <f t="shared" si="7"/>
        <v>5.1572713950932858</v>
      </c>
      <c r="AJ76" s="400">
        <f t="shared" si="7"/>
        <v>5.2534275458059358</v>
      </c>
      <c r="AK76" s="393"/>
      <c r="AM76" s="18" t="s">
        <v>743</v>
      </c>
      <c r="AN76" s="18">
        <v>1.6890000000000001</v>
      </c>
      <c r="AO76" s="18">
        <v>1.581</v>
      </c>
      <c r="AP76" s="18">
        <v>1.466</v>
      </c>
      <c r="AQ76" s="18">
        <v>1.5289999999999999</v>
      </c>
      <c r="AR76" s="18">
        <v>1.5669999999999999</v>
      </c>
    </row>
    <row r="77" spans="1:44" s="18" customFormat="1">
      <c r="A77" s="17" t="s">
        <v>52</v>
      </c>
      <c r="B77" s="399">
        <f>AN74</f>
        <v>0</v>
      </c>
      <c r="C77" s="399">
        <f t="shared" ref="C77:F77" si="8">AO74</f>
        <v>0</v>
      </c>
      <c r="D77" s="399">
        <f t="shared" si="8"/>
        <v>0</v>
      </c>
      <c r="E77" s="399">
        <f t="shared" si="8"/>
        <v>0</v>
      </c>
      <c r="F77" s="399">
        <f t="shared" si="8"/>
        <v>0</v>
      </c>
      <c r="G77" s="392">
        <f t="shared" ref="G77:AJ77" si="9">G64*$AM62</f>
        <v>0</v>
      </c>
      <c r="H77" s="392">
        <f t="shared" si="9"/>
        <v>0</v>
      </c>
      <c r="I77" s="392">
        <f t="shared" si="9"/>
        <v>0</v>
      </c>
      <c r="J77" s="392">
        <f t="shared" si="9"/>
        <v>0</v>
      </c>
      <c r="K77" s="392">
        <f t="shared" si="9"/>
        <v>0</v>
      </c>
      <c r="L77" s="392">
        <f t="shared" si="9"/>
        <v>0</v>
      </c>
      <c r="M77" s="392">
        <f t="shared" si="9"/>
        <v>0</v>
      </c>
      <c r="N77" s="392">
        <f t="shared" si="9"/>
        <v>0</v>
      </c>
      <c r="O77" s="392">
        <f t="shared" si="9"/>
        <v>0</v>
      </c>
      <c r="P77" s="392">
        <f t="shared" si="9"/>
        <v>0</v>
      </c>
      <c r="Q77" s="392">
        <f t="shared" si="9"/>
        <v>0</v>
      </c>
      <c r="R77" s="392">
        <f t="shared" si="9"/>
        <v>0</v>
      </c>
      <c r="S77" s="392">
        <f t="shared" si="9"/>
        <v>0</v>
      </c>
      <c r="T77" s="392">
        <f t="shared" si="9"/>
        <v>0</v>
      </c>
      <c r="U77" s="392">
        <f t="shared" si="9"/>
        <v>0</v>
      </c>
      <c r="V77" s="392">
        <f t="shared" si="9"/>
        <v>0</v>
      </c>
      <c r="W77" s="392">
        <f t="shared" si="9"/>
        <v>0</v>
      </c>
      <c r="X77" s="392">
        <f t="shared" si="9"/>
        <v>0</v>
      </c>
      <c r="Y77" s="392">
        <f t="shared" si="9"/>
        <v>0</v>
      </c>
      <c r="Z77" s="392">
        <f t="shared" si="9"/>
        <v>0</v>
      </c>
      <c r="AA77" s="392">
        <f t="shared" si="9"/>
        <v>0</v>
      </c>
      <c r="AB77" s="392">
        <f t="shared" si="9"/>
        <v>0</v>
      </c>
      <c r="AC77" s="392">
        <f t="shared" si="9"/>
        <v>0</v>
      </c>
      <c r="AD77" s="392">
        <f t="shared" si="9"/>
        <v>0</v>
      </c>
      <c r="AE77" s="392">
        <f t="shared" si="9"/>
        <v>0</v>
      </c>
      <c r="AF77" s="392">
        <f t="shared" si="9"/>
        <v>0</v>
      </c>
      <c r="AG77" s="392">
        <f t="shared" si="9"/>
        <v>0</v>
      </c>
      <c r="AH77" s="392">
        <f t="shared" si="9"/>
        <v>0</v>
      </c>
      <c r="AI77" s="392">
        <f t="shared" si="9"/>
        <v>0</v>
      </c>
      <c r="AJ77" s="392">
        <f t="shared" si="9"/>
        <v>0</v>
      </c>
      <c r="AK77" s="393"/>
      <c r="AM77" s="18" t="s">
        <v>747</v>
      </c>
      <c r="AN77" s="18">
        <v>7.0000000000000001E-3</v>
      </c>
      <c r="AO77" s="18">
        <v>3.3000000000000002E-2</v>
      </c>
      <c r="AP77" s="18">
        <v>3.5999999999999997E-2</v>
      </c>
      <c r="AQ77" s="18">
        <v>3.4000000000000002E-2</v>
      </c>
      <c r="AR77" s="18">
        <v>3.7999999999999999E-2</v>
      </c>
    </row>
    <row r="78" spans="1:44" s="18" customFormat="1">
      <c r="A78" s="17" t="s">
        <v>53</v>
      </c>
      <c r="B78" s="399">
        <f>AN75</f>
        <v>0</v>
      </c>
      <c r="C78" s="399">
        <f t="shared" ref="C78:F78" si="10">AO75</f>
        <v>0</v>
      </c>
      <c r="D78" s="399">
        <f t="shared" si="10"/>
        <v>0</v>
      </c>
      <c r="E78" s="399">
        <f t="shared" si="10"/>
        <v>0</v>
      </c>
      <c r="F78" s="399">
        <f t="shared" si="10"/>
        <v>0</v>
      </c>
      <c r="G78" s="392">
        <f t="shared" ref="G78:AJ78" si="11">G65*$AM63</f>
        <v>3.8983921000000002E-5</v>
      </c>
      <c r="H78" s="392">
        <f t="shared" si="11"/>
        <v>4.3605923000000005E-5</v>
      </c>
      <c r="I78" s="392">
        <f t="shared" si="11"/>
        <v>4.6780897999999992E-5</v>
      </c>
      <c r="J78" s="392">
        <f t="shared" si="11"/>
        <v>4.7040753000000003E-5</v>
      </c>
      <c r="K78" s="392">
        <f t="shared" si="11"/>
        <v>5.9372953999999996E-5</v>
      </c>
      <c r="L78" s="392">
        <f t="shared" si="11"/>
        <v>6.7380639999999999E-5</v>
      </c>
      <c r="M78" s="392">
        <f t="shared" si="11"/>
        <v>6.7380969999999982E-5</v>
      </c>
      <c r="N78" s="392">
        <f t="shared" si="11"/>
        <v>6.7371153999999984E-5</v>
      </c>
      <c r="O78" s="392">
        <f t="shared" si="11"/>
        <v>6.738362699999999E-5</v>
      </c>
      <c r="P78" s="392">
        <f t="shared" si="11"/>
        <v>6.7387489999999991E-5</v>
      </c>
      <c r="Q78" s="392">
        <f t="shared" si="11"/>
        <v>6.7393857999999997E-5</v>
      </c>
      <c r="R78" s="392">
        <f t="shared" si="11"/>
        <v>6.7421112999999986E-5</v>
      </c>
      <c r="S78" s="392">
        <f t="shared" si="11"/>
        <v>6.7413719E-5</v>
      </c>
      <c r="T78" s="392">
        <f t="shared" si="11"/>
        <v>6.7409741999999994E-5</v>
      </c>
      <c r="U78" s="392">
        <f t="shared" si="11"/>
        <v>6.7406160999999992E-5</v>
      </c>
      <c r="V78" s="392">
        <f t="shared" si="11"/>
        <v>6.7415045999999997E-5</v>
      </c>
      <c r="W78" s="392">
        <f t="shared" si="11"/>
        <v>6.7431210999999982E-5</v>
      </c>
      <c r="X78" s="392">
        <f t="shared" si="11"/>
        <v>6.7428821999999987E-5</v>
      </c>
      <c r="Y78" s="392">
        <f t="shared" si="11"/>
        <v>6.7500607000000001E-5</v>
      </c>
      <c r="Z78" s="392">
        <f t="shared" si="11"/>
        <v>6.7593868000000003E-5</v>
      </c>
      <c r="AA78" s="392">
        <f t="shared" si="11"/>
        <v>6.7692880999999992E-5</v>
      </c>
      <c r="AB78" s="392">
        <f t="shared" si="11"/>
        <v>6.7802678E-5</v>
      </c>
      <c r="AC78" s="392">
        <f t="shared" si="11"/>
        <v>6.7932296000000009E-5</v>
      </c>
      <c r="AD78" s="392">
        <f t="shared" si="11"/>
        <v>6.8157133000000002E-5</v>
      </c>
      <c r="AE78" s="392">
        <f t="shared" si="11"/>
        <v>6.8263564000000003E-5</v>
      </c>
      <c r="AF78" s="392">
        <f t="shared" si="11"/>
        <v>6.8268462999999997E-5</v>
      </c>
      <c r="AG78" s="392">
        <f t="shared" si="11"/>
        <v>6.8581467000000004E-5</v>
      </c>
      <c r="AH78" s="392">
        <f t="shared" si="11"/>
        <v>6.8813840999999994E-5</v>
      </c>
      <c r="AI78" s="392">
        <f t="shared" si="11"/>
        <v>6.920889599999999E-5</v>
      </c>
      <c r="AJ78" s="392">
        <f t="shared" si="11"/>
        <v>6.9860670999999987E-5</v>
      </c>
      <c r="AK78" s="393"/>
      <c r="AM78" s="18" t="s">
        <v>748</v>
      </c>
      <c r="AN78" s="18">
        <v>2.5999999999999999E-2</v>
      </c>
      <c r="AO78" s="18">
        <v>0.01</v>
      </c>
      <c r="AP78" s="18">
        <v>1.0999999999999999E-2</v>
      </c>
      <c r="AQ78" s="18">
        <v>2.3E-2</v>
      </c>
      <c r="AR78" s="18">
        <v>1.9E-2</v>
      </c>
    </row>
    <row r="79" spans="1:44" s="18" customFormat="1">
      <c r="A79" s="17" t="s">
        <v>54</v>
      </c>
      <c r="B79" s="401">
        <f>AN79</f>
        <v>3.2730000000000001</v>
      </c>
      <c r="C79" s="401">
        <f t="shared" ref="C79:F79" si="12">AO79</f>
        <v>4.8600000000000003</v>
      </c>
      <c r="D79" s="401">
        <f t="shared" si="12"/>
        <v>6.173</v>
      </c>
      <c r="E79" s="401">
        <f t="shared" si="12"/>
        <v>5.7779999999999996</v>
      </c>
      <c r="F79" s="401">
        <f t="shared" si="12"/>
        <v>5.2830000000000004</v>
      </c>
      <c r="G79" s="394">
        <f>SUM(G73:G78)</f>
        <v>6.0789218814896513</v>
      </c>
      <c r="H79" s="394">
        <f t="shared" ref="H79:AJ79" si="13">SUM(H73:H78)</f>
        <v>5.2107904301171128</v>
      </c>
      <c r="I79" s="394">
        <f t="shared" si="13"/>
        <v>6.3262158127025909</v>
      </c>
      <c r="J79" s="394">
        <f t="shared" si="13"/>
        <v>6.4897128084105473</v>
      </c>
      <c r="K79" s="394">
        <f t="shared" si="13"/>
        <v>6.6468661920671241</v>
      </c>
      <c r="L79" s="394">
        <f t="shared" si="13"/>
        <v>6.8479155169003443</v>
      </c>
      <c r="M79" s="394">
        <f t="shared" si="13"/>
        <v>7.0723317777125594</v>
      </c>
      <c r="N79" s="394">
        <f t="shared" si="13"/>
        <v>7.1687891607825858</v>
      </c>
      <c r="O79" s="394">
        <f t="shared" si="13"/>
        <v>7.2588185069828537</v>
      </c>
      <c r="P79" s="394">
        <f t="shared" si="13"/>
        <v>7.3739471082648516</v>
      </c>
      <c r="Q79" s="394">
        <f t="shared" si="13"/>
        <v>7.5516650517120922</v>
      </c>
      <c r="R79" s="394">
        <f t="shared" si="13"/>
        <v>7.672651324588136</v>
      </c>
      <c r="S79" s="394">
        <f t="shared" si="13"/>
        <v>8.0447464583860739</v>
      </c>
      <c r="T79" s="394">
        <f t="shared" si="13"/>
        <v>8.1794830186708296</v>
      </c>
      <c r="U79" s="394">
        <f t="shared" si="13"/>
        <v>8.5978267331230551</v>
      </c>
      <c r="V79" s="394">
        <f t="shared" si="13"/>
        <v>8.7298174243778313</v>
      </c>
      <c r="W79" s="394">
        <f t="shared" si="13"/>
        <v>8.8202949201179486</v>
      </c>
      <c r="X79" s="394">
        <f t="shared" si="13"/>
        <v>8.9329471401412857</v>
      </c>
      <c r="Y79" s="394">
        <f t="shared" si="13"/>
        <v>9.4392553315562413</v>
      </c>
      <c r="Z79" s="394">
        <f t="shared" si="13"/>
        <v>9.548622232739314</v>
      </c>
      <c r="AA79" s="394">
        <f t="shared" si="13"/>
        <v>9.6086336665358978</v>
      </c>
      <c r="AB79" s="394">
        <f t="shared" si="13"/>
        <v>9.6759772828640855</v>
      </c>
      <c r="AC79" s="394">
        <f t="shared" si="13"/>
        <v>9.7369560875377825</v>
      </c>
      <c r="AD79" s="394">
        <f t="shared" si="13"/>
        <v>9.8072806466547497</v>
      </c>
      <c r="AE79" s="394">
        <f t="shared" si="13"/>
        <v>9.8872669500970272</v>
      </c>
      <c r="AF79" s="394">
        <f t="shared" si="13"/>
        <v>9.9841132763230416</v>
      </c>
      <c r="AG79" s="394">
        <f t="shared" si="13"/>
        <v>10.074426991720484</v>
      </c>
      <c r="AH79" s="394">
        <f t="shared" si="13"/>
        <v>10.190024707961499</v>
      </c>
      <c r="AI79" s="394">
        <f t="shared" si="13"/>
        <v>10.296838161778872</v>
      </c>
      <c r="AJ79" s="394">
        <f t="shared" si="13"/>
        <v>10.392981863672162</v>
      </c>
      <c r="AK79" s="395"/>
      <c r="AM79" s="18" t="s">
        <v>58</v>
      </c>
      <c r="AN79" s="18">
        <v>3.2730000000000001</v>
      </c>
      <c r="AO79" s="18">
        <v>4.8600000000000003</v>
      </c>
      <c r="AP79" s="18">
        <v>6.173</v>
      </c>
      <c r="AQ79" s="18">
        <v>5.7779999999999996</v>
      </c>
      <c r="AR79" s="18">
        <v>5.2830000000000004</v>
      </c>
    </row>
    <row r="80" spans="1:44" s="220" customFormat="1">
      <c r="A80" s="219" t="s">
        <v>57</v>
      </c>
      <c r="B80" s="382">
        <f>B79*1000</f>
        <v>3273</v>
      </c>
      <c r="C80" s="382">
        <f t="shared" ref="C80:AJ80" si="14">C79*1000</f>
        <v>4860</v>
      </c>
      <c r="D80" s="382">
        <f t="shared" si="14"/>
        <v>6173</v>
      </c>
      <c r="E80" s="382">
        <f t="shared" si="14"/>
        <v>5778</v>
      </c>
      <c r="F80" s="382">
        <f t="shared" si="14"/>
        <v>5283</v>
      </c>
      <c r="G80" s="241">
        <f t="shared" si="14"/>
        <v>6078.9218814896512</v>
      </c>
      <c r="H80" s="241">
        <f t="shared" si="14"/>
        <v>5210.7904301171129</v>
      </c>
      <c r="I80" s="241">
        <f t="shared" si="14"/>
        <v>6326.2158127025905</v>
      </c>
      <c r="J80" s="241">
        <f t="shared" si="14"/>
        <v>6489.712808410547</v>
      </c>
      <c r="K80" s="241">
        <f t="shared" si="14"/>
        <v>6646.8661920671238</v>
      </c>
      <c r="L80" s="241">
        <f t="shared" si="14"/>
        <v>6847.9155169003443</v>
      </c>
      <c r="M80" s="241">
        <f t="shared" si="14"/>
        <v>7072.3317777125594</v>
      </c>
      <c r="N80" s="241">
        <f t="shared" si="14"/>
        <v>7168.7891607825859</v>
      </c>
      <c r="O80" s="241">
        <f t="shared" si="14"/>
        <v>7258.8185069828533</v>
      </c>
      <c r="P80" s="241">
        <f t="shared" si="14"/>
        <v>7373.9471082648515</v>
      </c>
      <c r="Q80" s="241">
        <f t="shared" si="14"/>
        <v>7551.6650517120925</v>
      </c>
      <c r="R80" s="241">
        <f t="shared" si="14"/>
        <v>7672.651324588136</v>
      </c>
      <c r="S80" s="241">
        <f t="shared" si="14"/>
        <v>8044.7464583860738</v>
      </c>
      <c r="T80" s="241">
        <f t="shared" si="14"/>
        <v>8179.4830186708296</v>
      </c>
      <c r="U80" s="241">
        <f t="shared" si="14"/>
        <v>8597.8267331230545</v>
      </c>
      <c r="V80" s="241">
        <f t="shared" si="14"/>
        <v>8729.8174243778321</v>
      </c>
      <c r="W80" s="241">
        <f t="shared" si="14"/>
        <v>8820.294920117949</v>
      </c>
      <c r="X80" s="241">
        <f t="shared" si="14"/>
        <v>8932.9471401412848</v>
      </c>
      <c r="Y80" s="241">
        <f t="shared" si="14"/>
        <v>9439.2553315562418</v>
      </c>
      <c r="Z80" s="241">
        <f t="shared" si="14"/>
        <v>9548.6222327393134</v>
      </c>
      <c r="AA80" s="241">
        <f t="shared" si="14"/>
        <v>9608.6336665358976</v>
      </c>
      <c r="AB80" s="241">
        <f t="shared" si="14"/>
        <v>9675.9772828640853</v>
      </c>
      <c r="AC80" s="241">
        <f t="shared" si="14"/>
        <v>9736.9560875377829</v>
      </c>
      <c r="AD80" s="241">
        <f t="shared" si="14"/>
        <v>9807.2806466547499</v>
      </c>
      <c r="AE80" s="241">
        <f t="shared" si="14"/>
        <v>9887.2669500970278</v>
      </c>
      <c r="AF80" s="241">
        <f t="shared" si="14"/>
        <v>9984.1132763230416</v>
      </c>
      <c r="AG80" s="241">
        <f t="shared" si="14"/>
        <v>10074.426991720484</v>
      </c>
      <c r="AH80" s="241">
        <f t="shared" si="14"/>
        <v>10190.024707961498</v>
      </c>
      <c r="AI80" s="241">
        <f t="shared" si="14"/>
        <v>10296.838161778873</v>
      </c>
      <c r="AJ80" s="241">
        <f t="shared" si="14"/>
        <v>10392.981863672161</v>
      </c>
      <c r="AK80" s="286"/>
    </row>
    <row r="81" spans="1:37" s="221" customFormat="1">
      <c r="A81" s="222" t="s">
        <v>339</v>
      </c>
      <c r="B81" s="225">
        <f t="shared" ref="B81:Q82" si="15">B74/SUM(B$74:B$78)</f>
        <v>0</v>
      </c>
      <c r="C81" s="225">
        <f>C74/SUM(C$74:C$78)</f>
        <v>0</v>
      </c>
      <c r="D81" s="225">
        <f t="shared" si="15"/>
        <v>0</v>
      </c>
      <c r="E81" s="225">
        <f t="shared" si="15"/>
        <v>0</v>
      </c>
      <c r="F81" s="225">
        <f t="shared" si="15"/>
        <v>0</v>
      </c>
      <c r="G81" s="225">
        <f t="shared" si="15"/>
        <v>2.3434509045551499E-6</v>
      </c>
      <c r="H81" s="225">
        <f t="shared" si="15"/>
        <v>2.2669923339488206E-6</v>
      </c>
      <c r="I81" s="225">
        <f t="shared" si="15"/>
        <v>2.2625621190479735E-6</v>
      </c>
      <c r="J81" s="225">
        <f t="shared" si="15"/>
        <v>2.1960089660701753E-6</v>
      </c>
      <c r="K81" s="225">
        <f t="shared" si="15"/>
        <v>2.125545231587362E-6</v>
      </c>
      <c r="L81" s="225">
        <f t="shared" si="15"/>
        <v>1.999152432345523E-6</v>
      </c>
      <c r="M81" s="225">
        <f t="shared" si="15"/>
        <v>2.0312405566979584E-6</v>
      </c>
      <c r="N81" s="225">
        <f t="shared" si="15"/>
        <v>2.1164135713475079E-6</v>
      </c>
      <c r="O81" s="225">
        <f t="shared" si="15"/>
        <v>2.0433289532376608E-6</v>
      </c>
      <c r="P81" s="225">
        <f t="shared" si="15"/>
        <v>1.9494797294109996E-6</v>
      </c>
      <c r="Q81" s="225">
        <f t="shared" si="15"/>
        <v>1.8206835437406934E-6</v>
      </c>
      <c r="R81" s="225">
        <f t="shared" ref="R81:AJ82" si="16">R74/SUM(R$74:R$78)</f>
        <v>1.7448707590882104E-6</v>
      </c>
      <c r="S81" s="225">
        <f t="shared" si="16"/>
        <v>1.5573557868370213E-6</v>
      </c>
      <c r="T81" s="225">
        <f t="shared" si="16"/>
        <v>1.4925350708688513E-6</v>
      </c>
      <c r="U81" s="225">
        <f t="shared" si="16"/>
        <v>1.3256488434367273E-6</v>
      </c>
      <c r="V81" s="225">
        <f t="shared" si="16"/>
        <v>1.283301116530564E-6</v>
      </c>
      <c r="W81" s="225">
        <f t="shared" si="16"/>
        <v>1.3532255223855491E-6</v>
      </c>
      <c r="X81" s="225">
        <f t="shared" si="16"/>
        <v>1.386788542803193E-6</v>
      </c>
      <c r="Y81" s="225">
        <f t="shared" si="16"/>
        <v>1.2452427831641753E-6</v>
      </c>
      <c r="Z81" s="225">
        <f t="shared" si="16"/>
        <v>1.282234764302531E-6</v>
      </c>
      <c r="AA81" s="225">
        <f t="shared" si="16"/>
        <v>1.312805325929623E-6</v>
      </c>
      <c r="AB81" s="225">
        <f t="shared" si="16"/>
        <v>1.2994082903386954E-6</v>
      </c>
      <c r="AC81" s="225">
        <f t="shared" si="16"/>
        <v>1.2820846091961126E-6</v>
      </c>
      <c r="AD81" s="225">
        <f t="shared" si="16"/>
        <v>1.262747410154286E-6</v>
      </c>
      <c r="AE81" s="225">
        <f t="shared" si="16"/>
        <v>1.2468427417488786E-6</v>
      </c>
      <c r="AF81" s="225">
        <f t="shared" si="16"/>
        <v>1.2255262146307767E-6</v>
      </c>
      <c r="AG81" s="225">
        <f t="shared" si="16"/>
        <v>1.203042030669797E-6</v>
      </c>
      <c r="AH81" s="225">
        <f t="shared" si="16"/>
        <v>1.1785499758077073E-6</v>
      </c>
      <c r="AI81" s="225">
        <f t="shared" si="16"/>
        <v>1.1540806202945535E-6</v>
      </c>
      <c r="AJ81" s="225">
        <f t="shared" si="16"/>
        <v>1.1328851024961537E-6</v>
      </c>
      <c r="AK81" s="287"/>
    </row>
    <row r="82" spans="1:37" s="221" customFormat="1">
      <c r="A82" s="222" t="s">
        <v>340</v>
      </c>
      <c r="B82" s="225">
        <f t="shared" si="15"/>
        <v>4.1273584905660377E-3</v>
      </c>
      <c r="C82" s="225">
        <f t="shared" ref="C82:AA82" si="17">C75/SUM(C$74:C$78)</f>
        <v>2.0446096654275096E-2</v>
      </c>
      <c r="D82" s="225">
        <f t="shared" si="17"/>
        <v>2.3968042609853527E-2</v>
      </c>
      <c r="E82" s="225">
        <f t="shared" si="17"/>
        <v>2.17530390275112E-2</v>
      </c>
      <c r="F82" s="225">
        <f t="shared" si="17"/>
        <v>2.3676012461059191E-2</v>
      </c>
      <c r="G82" s="225">
        <f t="shared" si="17"/>
        <v>3.8650236579140157E-2</v>
      </c>
      <c r="H82" s="225">
        <f t="shared" si="17"/>
        <v>4.1328166603936463E-2</v>
      </c>
      <c r="I82" s="225">
        <f t="shared" si="17"/>
        <v>3.0684672978649033E-2</v>
      </c>
      <c r="J82" s="225">
        <f t="shared" si="17"/>
        <v>3.2046326913511169E-2</v>
      </c>
      <c r="K82" s="225">
        <f t="shared" si="17"/>
        <v>2.8400910255739126E-2</v>
      </c>
      <c r="L82" s="225">
        <f t="shared" si="17"/>
        <v>3.1306963259397795E-2</v>
      </c>
      <c r="M82" s="225">
        <f t="shared" si="17"/>
        <v>2.9131216346245999E-2</v>
      </c>
      <c r="N82" s="225">
        <f t="shared" si="17"/>
        <v>2.7922471041070786E-2</v>
      </c>
      <c r="O82" s="225">
        <f t="shared" si="17"/>
        <v>2.6701180258987108E-2</v>
      </c>
      <c r="P82" s="226">
        <f t="shared" si="17"/>
        <v>2.5474239392329436E-2</v>
      </c>
      <c r="Q82" s="225">
        <f t="shared" si="17"/>
        <v>2.3792466726175299E-2</v>
      </c>
      <c r="R82" s="225">
        <f t="shared" si="17"/>
        <v>2.2918408087492119E-2</v>
      </c>
      <c r="S82" s="225">
        <f t="shared" si="17"/>
        <v>2.0280633563436956E-2</v>
      </c>
      <c r="T82" s="225">
        <f t="shared" si="17"/>
        <v>1.9449540883501645E-2</v>
      </c>
      <c r="U82" s="225">
        <f t="shared" si="17"/>
        <v>1.737273473278517E-2</v>
      </c>
      <c r="V82" s="225">
        <f t="shared" si="17"/>
        <v>1.6528295816291092E-2</v>
      </c>
      <c r="W82" s="225">
        <f t="shared" si="17"/>
        <v>1.6342485952984945E-2</v>
      </c>
      <c r="X82" s="225">
        <f t="shared" si="17"/>
        <v>1.6018883171594927E-2</v>
      </c>
      <c r="Y82" s="225">
        <f t="shared" si="17"/>
        <v>1.4322292498947207E-2</v>
      </c>
      <c r="Z82" s="225">
        <f t="shared" si="17"/>
        <v>1.4091206619682573E-2</v>
      </c>
      <c r="AA82" s="225">
        <f t="shared" si="17"/>
        <v>1.3902328542452772E-2</v>
      </c>
      <c r="AB82" s="225">
        <f t="shared" si="16"/>
        <v>1.3853598587570385E-2</v>
      </c>
      <c r="AC82" s="225">
        <f t="shared" si="16"/>
        <v>1.3797122248330898E-2</v>
      </c>
      <c r="AD82" s="225">
        <f t="shared" si="16"/>
        <v>1.3774138885774341E-2</v>
      </c>
      <c r="AE82" s="225">
        <f t="shared" si="16"/>
        <v>1.3602187201725902E-2</v>
      </c>
      <c r="AF82" s="225">
        <f t="shared" si="16"/>
        <v>1.3371055183901711E-2</v>
      </c>
      <c r="AG82" s="225">
        <f t="shared" si="16"/>
        <v>1.3379021187044466E-2</v>
      </c>
      <c r="AH82" s="225">
        <f t="shared" si="16"/>
        <v>1.3108430313248621E-2</v>
      </c>
      <c r="AI82" s="225">
        <f t="shared" si="16"/>
        <v>1.2837798776324606E-2</v>
      </c>
      <c r="AJ82" s="225">
        <f t="shared" si="16"/>
        <v>1.2603264632127622E-2</v>
      </c>
      <c r="AK82" s="287"/>
    </row>
    <row r="83" spans="1:37" s="221" customFormat="1">
      <c r="A83" s="222" t="s">
        <v>336</v>
      </c>
      <c r="B83" s="225">
        <f>B76/SUM(B$74:B$78)</f>
        <v>0.995872641509434</v>
      </c>
      <c r="C83" s="225">
        <f t="shared" ref="C83:AJ83" si="18">C76/SUM(C$74:C$78)</f>
        <v>0.97955390334572501</v>
      </c>
      <c r="D83" s="225">
        <f t="shared" si="18"/>
        <v>0.97603195739014648</v>
      </c>
      <c r="E83" s="225">
        <f t="shared" si="18"/>
        <v>0.97824696097248875</v>
      </c>
      <c r="F83" s="225">
        <f t="shared" si="18"/>
        <v>0.97632398753894079</v>
      </c>
      <c r="G83" s="225">
        <f t="shared" si="18"/>
        <v>0.96132464839238663</v>
      </c>
      <c r="H83" s="225">
        <f t="shared" si="18"/>
        <v>0.95864326276915468</v>
      </c>
      <c r="I83" s="225">
        <f t="shared" si="18"/>
        <v>0.96928730556491949</v>
      </c>
      <c r="J83" s="225">
        <f t="shared" si="18"/>
        <v>0.96792633710293996</v>
      </c>
      <c r="K83" s="225">
        <f t="shared" si="18"/>
        <v>0.97156624216760024</v>
      </c>
      <c r="L83" s="225">
        <f t="shared" si="18"/>
        <v>0.96865818385000846</v>
      </c>
      <c r="M83" s="225">
        <f t="shared" si="18"/>
        <v>0.97083639003334499</v>
      </c>
      <c r="N83" s="225">
        <f t="shared" si="18"/>
        <v>0.97204631914860229</v>
      </c>
      <c r="O83" s="225">
        <f t="shared" si="18"/>
        <v>0.97326876658144001</v>
      </c>
      <c r="P83" s="226">
        <f t="shared" si="18"/>
        <v>0.97449707900666016</v>
      </c>
      <c r="Q83" s="225">
        <f t="shared" si="18"/>
        <v>0.97618073858376109</v>
      </c>
      <c r="R83" s="225">
        <f t="shared" si="18"/>
        <v>0.97705593502820764</v>
      </c>
      <c r="S83" s="225">
        <f t="shared" si="18"/>
        <v>0.97969650832899136</v>
      </c>
      <c r="T83" s="225">
        <f t="shared" si="18"/>
        <v>0.98052853684949504</v>
      </c>
      <c r="U83" s="225">
        <f t="shared" si="18"/>
        <v>0.98260780960294936</v>
      </c>
      <c r="V83" s="225">
        <f t="shared" si="18"/>
        <v>0.98345286369358309</v>
      </c>
      <c r="W83" s="225">
        <f t="shared" si="18"/>
        <v>0.9836389769734083</v>
      </c>
      <c r="X83" s="225">
        <f t="shared" si="18"/>
        <v>0.9839628818727375</v>
      </c>
      <c r="Y83" s="225">
        <f t="shared" si="18"/>
        <v>0.98566137712868895</v>
      </c>
      <c r="Z83" s="225">
        <f t="shared" si="18"/>
        <v>0.98589264321944414</v>
      </c>
      <c r="AA83" s="225">
        <f t="shared" si="18"/>
        <v>0.98608166292998789</v>
      </c>
      <c r="AB83" s="225">
        <f t="shared" si="18"/>
        <v>0.98613052630107445</v>
      </c>
      <c r="AC83" s="225">
        <f t="shared" si="18"/>
        <v>0.98618718105407022</v>
      </c>
      <c r="AD83" s="225">
        <f t="shared" si="18"/>
        <v>0.98621034868252477</v>
      </c>
      <c r="AE83" s="225">
        <f t="shared" si="18"/>
        <v>0.9863824685597451</v>
      </c>
      <c r="AF83" s="225">
        <f t="shared" si="18"/>
        <v>0.98661385695276405</v>
      </c>
      <c r="AG83" s="225">
        <f t="shared" si="18"/>
        <v>0.98660610065568144</v>
      </c>
      <c r="AH83" s="225">
        <f t="shared" si="18"/>
        <v>0.98687694463852904</v>
      </c>
      <c r="AI83" s="225">
        <f t="shared" si="18"/>
        <v>0.98714779994231883</v>
      </c>
      <c r="AJ83" s="225">
        <f t="shared" si="18"/>
        <v>0.98738247215948338</v>
      </c>
      <c r="AK83" s="287"/>
    </row>
    <row r="84" spans="1:37" s="221" customFormat="1">
      <c r="A84" s="222" t="s">
        <v>338</v>
      </c>
      <c r="B84" s="225">
        <f>B77/SUM(B$74:B$78)</f>
        <v>0</v>
      </c>
      <c r="C84" s="225">
        <f t="shared" ref="C84:AJ84" si="19">C77/SUM(C$74:C$78)</f>
        <v>0</v>
      </c>
      <c r="D84" s="225">
        <f t="shared" si="19"/>
        <v>0</v>
      </c>
      <c r="E84" s="225">
        <f t="shared" si="19"/>
        <v>0</v>
      </c>
      <c r="F84" s="225">
        <f t="shared" si="19"/>
        <v>0</v>
      </c>
      <c r="G84" s="225">
        <f t="shared" si="19"/>
        <v>0</v>
      </c>
      <c r="H84" s="225">
        <f t="shared" si="19"/>
        <v>0</v>
      </c>
      <c r="I84" s="225">
        <f t="shared" si="19"/>
        <v>0</v>
      </c>
      <c r="J84" s="225">
        <f t="shared" si="19"/>
        <v>0</v>
      </c>
      <c r="K84" s="225">
        <f t="shared" si="19"/>
        <v>0</v>
      </c>
      <c r="L84" s="225">
        <f t="shared" si="19"/>
        <v>0</v>
      </c>
      <c r="M84" s="225">
        <f t="shared" si="19"/>
        <v>0</v>
      </c>
      <c r="N84" s="225">
        <f t="shared" si="19"/>
        <v>0</v>
      </c>
      <c r="O84" s="225">
        <f t="shared" si="19"/>
        <v>0</v>
      </c>
      <c r="P84" s="226">
        <f t="shared" si="19"/>
        <v>0</v>
      </c>
      <c r="Q84" s="225">
        <f t="shared" si="19"/>
        <v>0</v>
      </c>
      <c r="R84" s="225">
        <f t="shared" si="19"/>
        <v>0</v>
      </c>
      <c r="S84" s="225">
        <f t="shared" si="19"/>
        <v>0</v>
      </c>
      <c r="T84" s="225">
        <f t="shared" si="19"/>
        <v>0</v>
      </c>
      <c r="U84" s="225">
        <f t="shared" si="19"/>
        <v>0</v>
      </c>
      <c r="V84" s="225">
        <f t="shared" si="19"/>
        <v>0</v>
      </c>
      <c r="W84" s="225">
        <f t="shared" si="19"/>
        <v>0</v>
      </c>
      <c r="X84" s="225">
        <f t="shared" si="19"/>
        <v>0</v>
      </c>
      <c r="Y84" s="225">
        <f t="shared" si="19"/>
        <v>0</v>
      </c>
      <c r="Z84" s="225">
        <f t="shared" si="19"/>
        <v>0</v>
      </c>
      <c r="AA84" s="225">
        <f t="shared" si="19"/>
        <v>0</v>
      </c>
      <c r="AB84" s="225">
        <f t="shared" si="19"/>
        <v>0</v>
      </c>
      <c r="AC84" s="225">
        <f t="shared" si="19"/>
        <v>0</v>
      </c>
      <c r="AD84" s="225">
        <f t="shared" si="19"/>
        <v>0</v>
      </c>
      <c r="AE84" s="225">
        <f t="shared" si="19"/>
        <v>0</v>
      </c>
      <c r="AF84" s="225">
        <f t="shared" si="19"/>
        <v>0</v>
      </c>
      <c r="AG84" s="225">
        <f t="shared" si="19"/>
        <v>0</v>
      </c>
      <c r="AH84" s="225">
        <f t="shared" si="19"/>
        <v>0</v>
      </c>
      <c r="AI84" s="225">
        <f t="shared" si="19"/>
        <v>0</v>
      </c>
      <c r="AJ84" s="225">
        <f t="shared" si="19"/>
        <v>0</v>
      </c>
      <c r="AK84" s="287"/>
    </row>
    <row r="85" spans="1:37" s="221" customFormat="1">
      <c r="A85" s="222" t="s">
        <v>337</v>
      </c>
      <c r="B85" s="225">
        <f>B78/SUM(B$74:B$78)</f>
        <v>0</v>
      </c>
      <c r="C85" s="225">
        <f t="shared" ref="C85:AJ85" si="20">C78/SUM(C$74:C$78)</f>
        <v>0</v>
      </c>
      <c r="D85" s="225">
        <f t="shared" si="20"/>
        <v>0</v>
      </c>
      <c r="E85" s="225">
        <f t="shared" si="20"/>
        <v>0</v>
      </c>
      <c r="F85" s="225">
        <f t="shared" si="20"/>
        <v>0</v>
      </c>
      <c r="G85" s="225">
        <f t="shared" si="20"/>
        <v>2.2771577568577277E-5</v>
      </c>
      <c r="H85" s="225">
        <f t="shared" si="20"/>
        <v>2.6303634574902122E-5</v>
      </c>
      <c r="I85" s="225">
        <f t="shared" si="20"/>
        <v>2.57588943123763E-5</v>
      </c>
      <c r="J85" s="225">
        <f t="shared" si="20"/>
        <v>2.5139974582738311E-5</v>
      </c>
      <c r="K85" s="225">
        <f t="shared" si="20"/>
        <v>3.0722031428993294E-5</v>
      </c>
      <c r="L85" s="225">
        <f t="shared" si="20"/>
        <v>3.2853738161373943E-5</v>
      </c>
      <c r="M85" s="225">
        <f t="shared" si="20"/>
        <v>3.0362379852448119E-5</v>
      </c>
      <c r="N85" s="225">
        <f t="shared" si="20"/>
        <v>2.909339675567725E-5</v>
      </c>
      <c r="O85" s="225">
        <f t="shared" si="20"/>
        <v>2.8009830619681687E-5</v>
      </c>
      <c r="P85" s="226">
        <f t="shared" si="20"/>
        <v>2.6732121280932004E-5</v>
      </c>
      <c r="Q85" s="225">
        <f t="shared" si="20"/>
        <v>2.4974006519913825E-5</v>
      </c>
      <c r="R85" s="225">
        <f t="shared" si="20"/>
        <v>2.3912013541111233E-5</v>
      </c>
      <c r="S85" s="225">
        <f t="shared" si="20"/>
        <v>2.1300751784786333E-5</v>
      </c>
      <c r="T85" s="225">
        <f t="shared" si="20"/>
        <v>2.0429731932441898E-5</v>
      </c>
      <c r="U85" s="225">
        <f t="shared" si="20"/>
        <v>1.8130015422036573E-5</v>
      </c>
      <c r="V85" s="225">
        <f t="shared" si="20"/>
        <v>1.7557189009362135E-5</v>
      </c>
      <c r="W85" s="225">
        <f t="shared" si="20"/>
        <v>1.718384808449048E-5</v>
      </c>
      <c r="X85" s="225">
        <f t="shared" si="20"/>
        <v>1.6848167124790927E-5</v>
      </c>
      <c r="Y85" s="225">
        <f t="shared" si="20"/>
        <v>1.5085129580646018E-5</v>
      </c>
      <c r="Z85" s="225">
        <f t="shared" si="20"/>
        <v>1.4867926109010796E-5</v>
      </c>
      <c r="AA85" s="225">
        <f t="shared" si="20"/>
        <v>1.4695722233235295E-5</v>
      </c>
      <c r="AB85" s="225">
        <f t="shared" si="20"/>
        <v>1.4575703064778684E-5</v>
      </c>
      <c r="AC85" s="225">
        <f t="shared" si="20"/>
        <v>1.4414612989718468E-5</v>
      </c>
      <c r="AD85" s="225">
        <f t="shared" si="20"/>
        <v>1.424968429075321E-5</v>
      </c>
      <c r="AE85" s="225">
        <f t="shared" si="20"/>
        <v>1.4097395787325825E-5</v>
      </c>
      <c r="AF85" s="225">
        <f t="shared" si="20"/>
        <v>1.3862337119667276E-5</v>
      </c>
      <c r="AG85" s="225">
        <f t="shared" si="20"/>
        <v>1.3675115243455999E-5</v>
      </c>
      <c r="AH85" s="225">
        <f t="shared" si="20"/>
        <v>1.3446498246543007E-5</v>
      </c>
      <c r="AI85" s="225">
        <f t="shared" si="20"/>
        <v>1.3247200736388814E-5</v>
      </c>
      <c r="AJ85" s="225">
        <f t="shared" si="20"/>
        <v>1.3130323286512199E-5</v>
      </c>
      <c r="AK85" s="287"/>
    </row>
    <row r="86" spans="1:37" s="221" customFormat="1">
      <c r="A86" s="221" t="s">
        <v>341</v>
      </c>
      <c r="B86" s="225">
        <f>SUM(B81:B85)</f>
        <v>1</v>
      </c>
      <c r="C86" s="225">
        <f t="shared" ref="C86:AJ86" si="21">SUM(C81:C85)</f>
        <v>1</v>
      </c>
      <c r="D86" s="225">
        <f t="shared" si="21"/>
        <v>1</v>
      </c>
      <c r="E86" s="225">
        <f t="shared" si="21"/>
        <v>1</v>
      </c>
      <c r="F86" s="225">
        <f t="shared" si="21"/>
        <v>1</v>
      </c>
      <c r="G86" s="225">
        <f t="shared" si="21"/>
        <v>0.99999999999999989</v>
      </c>
      <c r="H86" s="225">
        <f t="shared" si="21"/>
        <v>1</v>
      </c>
      <c r="I86" s="225">
        <f t="shared" si="21"/>
        <v>0.99999999999999989</v>
      </c>
      <c r="J86" s="225">
        <f t="shared" si="21"/>
        <v>1</v>
      </c>
      <c r="K86" s="225">
        <f t="shared" si="21"/>
        <v>0.99999999999999989</v>
      </c>
      <c r="L86" s="225">
        <f t="shared" si="21"/>
        <v>1</v>
      </c>
      <c r="M86" s="225">
        <f t="shared" si="21"/>
        <v>1.0000000000000002</v>
      </c>
      <c r="N86" s="225">
        <f t="shared" si="21"/>
        <v>1</v>
      </c>
      <c r="O86" s="225">
        <f t="shared" si="21"/>
        <v>1</v>
      </c>
      <c r="P86" s="225">
        <f t="shared" si="21"/>
        <v>0.99999999999999989</v>
      </c>
      <c r="Q86" s="225">
        <f t="shared" si="21"/>
        <v>1</v>
      </c>
      <c r="R86" s="225">
        <f t="shared" si="21"/>
        <v>1</v>
      </c>
      <c r="S86" s="225">
        <f t="shared" si="21"/>
        <v>0.99999999999999989</v>
      </c>
      <c r="T86" s="225">
        <f t="shared" si="21"/>
        <v>0.99999999999999989</v>
      </c>
      <c r="U86" s="225">
        <f t="shared" si="21"/>
        <v>1</v>
      </c>
      <c r="V86" s="225">
        <f t="shared" si="21"/>
        <v>1</v>
      </c>
      <c r="W86" s="225">
        <f t="shared" si="21"/>
        <v>1.0000000000000002</v>
      </c>
      <c r="X86" s="225">
        <f t="shared" si="21"/>
        <v>1</v>
      </c>
      <c r="Y86" s="225">
        <f t="shared" si="21"/>
        <v>0.99999999999999989</v>
      </c>
      <c r="Z86" s="225">
        <f t="shared" si="21"/>
        <v>1</v>
      </c>
      <c r="AA86" s="225">
        <f t="shared" si="21"/>
        <v>0.99999999999999978</v>
      </c>
      <c r="AB86" s="225">
        <f t="shared" si="21"/>
        <v>0.99999999999999989</v>
      </c>
      <c r="AC86" s="225">
        <f t="shared" si="21"/>
        <v>1</v>
      </c>
      <c r="AD86" s="225">
        <f t="shared" si="21"/>
        <v>1</v>
      </c>
      <c r="AE86" s="225">
        <f t="shared" si="21"/>
        <v>1</v>
      </c>
      <c r="AF86" s="225">
        <f t="shared" si="21"/>
        <v>1</v>
      </c>
      <c r="AG86" s="225">
        <f t="shared" si="21"/>
        <v>1</v>
      </c>
      <c r="AH86" s="225">
        <f t="shared" si="21"/>
        <v>1</v>
      </c>
      <c r="AI86" s="225">
        <f t="shared" si="21"/>
        <v>1.0000000000000002</v>
      </c>
      <c r="AJ86" s="225">
        <f t="shared" si="21"/>
        <v>1</v>
      </c>
      <c r="AK86" s="287"/>
    </row>
    <row r="87" spans="1:37">
      <c r="A87" s="440" t="s">
        <v>629</v>
      </c>
      <c r="B87" s="440"/>
      <c r="C87" s="440"/>
      <c r="D87" s="440"/>
      <c r="E87" s="440"/>
      <c r="F87" s="440"/>
      <c r="G87" s="440"/>
      <c r="H87" s="440"/>
      <c r="I87" s="440"/>
      <c r="J87" s="440"/>
      <c r="K87" s="440"/>
      <c r="L87" s="440"/>
      <c r="M87" s="440"/>
      <c r="N87" s="440"/>
      <c r="O87" s="440"/>
      <c r="P87" s="440"/>
      <c r="Q87" s="440"/>
      <c r="R87" s="440"/>
      <c r="S87" s="440"/>
      <c r="T87" s="440"/>
      <c r="U87" s="440"/>
      <c r="V87" s="440"/>
      <c r="W87" s="440"/>
      <c r="X87" s="440"/>
      <c r="Y87" s="440"/>
      <c r="Z87" s="440"/>
      <c r="AA87" s="440"/>
      <c r="AB87" s="440"/>
      <c r="AC87" s="440"/>
      <c r="AD87" s="440"/>
      <c r="AE87" s="440"/>
      <c r="AF87" s="440"/>
    </row>
    <row r="88" spans="1:37">
      <c r="A88" s="439" t="s">
        <v>662</v>
      </c>
      <c r="B88" s="439"/>
      <c r="C88" s="439"/>
      <c r="D88" s="439"/>
      <c r="E88" s="439"/>
      <c r="F88" s="439"/>
      <c r="G88" s="439"/>
      <c r="H88" s="439"/>
      <c r="I88" s="439"/>
      <c r="J88" s="439"/>
      <c r="K88" s="439"/>
      <c r="L88" s="439"/>
      <c r="M88" s="439"/>
      <c r="N88" s="439"/>
      <c r="O88" s="439"/>
      <c r="P88" s="439"/>
      <c r="Q88" s="439"/>
      <c r="R88" s="439"/>
      <c r="S88" s="439"/>
      <c r="T88" s="439"/>
      <c r="U88" s="439"/>
      <c r="V88" s="439"/>
      <c r="W88" s="439"/>
      <c r="X88" s="439"/>
      <c r="Y88" s="439"/>
      <c r="Z88" s="439"/>
      <c r="AA88" s="439"/>
      <c r="AB88" s="439"/>
      <c r="AC88" s="439"/>
      <c r="AD88" s="439"/>
      <c r="AE88" s="439"/>
      <c r="AF88" s="439"/>
    </row>
    <row r="89" spans="1:37">
      <c r="A89" s="439" t="s">
        <v>663</v>
      </c>
      <c r="B89" s="439"/>
      <c r="C89" s="439"/>
      <c r="D89" s="439"/>
      <c r="E89" s="439"/>
      <c r="F89" s="439"/>
      <c r="G89" s="439"/>
      <c r="H89" s="439"/>
      <c r="I89" s="439"/>
      <c r="J89" s="439"/>
      <c r="K89" s="439"/>
      <c r="L89" s="439"/>
      <c r="M89" s="439"/>
      <c r="N89" s="439"/>
      <c r="O89" s="439"/>
      <c r="P89" s="439"/>
      <c r="Q89" s="439"/>
      <c r="R89" s="439"/>
      <c r="S89" s="439"/>
      <c r="T89" s="439"/>
      <c r="U89" s="439"/>
      <c r="V89" s="439"/>
      <c r="W89" s="439"/>
      <c r="X89" s="439"/>
      <c r="Y89" s="439"/>
      <c r="Z89" s="439"/>
      <c r="AA89" s="439"/>
      <c r="AB89" s="439"/>
      <c r="AC89" s="439"/>
      <c r="AD89" s="439"/>
      <c r="AE89" s="439"/>
      <c r="AF89" s="439"/>
    </row>
    <row r="90" spans="1:37">
      <c r="A90" s="439" t="s">
        <v>664</v>
      </c>
      <c r="B90" s="439"/>
      <c r="C90" s="439"/>
      <c r="D90" s="439"/>
      <c r="E90" s="439"/>
      <c r="F90" s="439"/>
      <c r="G90" s="439"/>
      <c r="H90" s="439"/>
      <c r="I90" s="439"/>
      <c r="J90" s="439"/>
      <c r="K90" s="439"/>
      <c r="L90" s="439"/>
      <c r="M90" s="439"/>
      <c r="N90" s="439"/>
      <c r="O90" s="439"/>
      <c r="P90" s="439"/>
      <c r="Q90" s="439"/>
      <c r="R90" s="439"/>
      <c r="S90" s="439"/>
      <c r="T90" s="439"/>
      <c r="U90" s="439"/>
      <c r="V90" s="439"/>
      <c r="W90" s="439"/>
      <c r="X90" s="439"/>
      <c r="Y90" s="439"/>
      <c r="Z90" s="439"/>
      <c r="AA90" s="439"/>
      <c r="AB90" s="439"/>
      <c r="AC90" s="439"/>
      <c r="AD90" s="439"/>
      <c r="AE90" s="439"/>
      <c r="AF90" s="439"/>
    </row>
    <row r="91" spans="1:37">
      <c r="A91" s="439" t="s">
        <v>665</v>
      </c>
      <c r="B91" s="439"/>
      <c r="C91" s="439"/>
      <c r="D91" s="439"/>
      <c r="E91" s="439"/>
      <c r="F91" s="439"/>
      <c r="G91" s="439"/>
      <c r="H91" s="439"/>
      <c r="I91" s="439"/>
      <c r="J91" s="439"/>
      <c r="K91" s="439"/>
      <c r="L91" s="439"/>
      <c r="M91" s="439"/>
      <c r="N91" s="439"/>
      <c r="O91" s="439"/>
      <c r="P91" s="439"/>
      <c r="Q91" s="439"/>
      <c r="R91" s="439"/>
      <c r="S91" s="439"/>
      <c r="T91" s="439"/>
      <c r="U91" s="439"/>
      <c r="V91" s="439"/>
      <c r="W91" s="439"/>
      <c r="X91" s="439"/>
      <c r="Y91" s="439"/>
      <c r="Z91" s="439"/>
      <c r="AA91" s="439"/>
      <c r="AB91" s="439"/>
      <c r="AC91" s="439"/>
      <c r="AD91" s="439"/>
      <c r="AE91" s="439"/>
      <c r="AF91" s="439"/>
    </row>
    <row r="92" spans="1:37">
      <c r="A92" s="439" t="s">
        <v>666</v>
      </c>
      <c r="B92" s="439"/>
      <c r="C92" s="439"/>
      <c r="D92" s="439"/>
      <c r="E92" s="439"/>
      <c r="F92" s="439"/>
      <c r="G92" s="439"/>
      <c r="H92" s="439"/>
      <c r="I92" s="439"/>
      <c r="J92" s="439"/>
      <c r="K92" s="439"/>
      <c r="L92" s="439"/>
      <c r="M92" s="439"/>
      <c r="N92" s="439"/>
      <c r="O92" s="439"/>
      <c r="P92" s="439"/>
      <c r="Q92" s="439"/>
      <c r="R92" s="439"/>
      <c r="S92" s="439"/>
      <c r="T92" s="439"/>
      <c r="U92" s="439"/>
      <c r="V92" s="439"/>
      <c r="W92" s="439"/>
      <c r="X92" s="439"/>
      <c r="Y92" s="439"/>
      <c r="Z92" s="439"/>
      <c r="AA92" s="439"/>
      <c r="AB92" s="439"/>
      <c r="AC92" s="439"/>
      <c r="AD92" s="439"/>
      <c r="AE92" s="439"/>
      <c r="AF92" s="439"/>
    </row>
    <row r="93" spans="1:37">
      <c r="A93" s="439" t="s">
        <v>667</v>
      </c>
      <c r="B93" s="439"/>
      <c r="C93" s="439"/>
      <c r="D93" s="439"/>
      <c r="E93" s="439"/>
      <c r="F93" s="439"/>
      <c r="G93" s="439"/>
      <c r="H93" s="439"/>
      <c r="I93" s="439"/>
      <c r="J93" s="439"/>
      <c r="K93" s="439"/>
      <c r="L93" s="439"/>
      <c r="M93" s="439"/>
      <c r="N93" s="439"/>
      <c r="O93" s="439"/>
      <c r="P93" s="439"/>
      <c r="Q93" s="439"/>
      <c r="R93" s="439"/>
      <c r="S93" s="439"/>
      <c r="T93" s="439"/>
      <c r="U93" s="439"/>
      <c r="V93" s="439"/>
      <c r="W93" s="439"/>
      <c r="X93" s="439"/>
      <c r="Y93" s="439"/>
      <c r="Z93" s="439"/>
      <c r="AA93" s="439"/>
      <c r="AB93" s="439"/>
      <c r="AC93" s="439"/>
      <c r="AD93" s="439"/>
      <c r="AE93" s="439"/>
      <c r="AF93" s="439"/>
    </row>
    <row r="94" spans="1:37">
      <c r="A94" s="439" t="s">
        <v>668</v>
      </c>
      <c r="B94" s="439"/>
      <c r="C94" s="439"/>
      <c r="D94" s="439"/>
      <c r="E94" s="439"/>
      <c r="F94" s="439"/>
      <c r="G94" s="439"/>
      <c r="H94" s="439"/>
      <c r="I94" s="439"/>
      <c r="J94" s="439"/>
      <c r="K94" s="439"/>
      <c r="L94" s="439"/>
      <c r="M94" s="439"/>
      <c r="N94" s="439"/>
      <c r="O94" s="439"/>
      <c r="P94" s="439"/>
      <c r="Q94" s="439"/>
      <c r="R94" s="439"/>
      <c r="S94" s="439"/>
      <c r="T94" s="439"/>
      <c r="U94" s="439"/>
      <c r="V94" s="439"/>
      <c r="W94" s="439"/>
      <c r="X94" s="439"/>
      <c r="Y94" s="439"/>
      <c r="Z94" s="439"/>
      <c r="AA94" s="439"/>
      <c r="AB94" s="439"/>
      <c r="AC94" s="439"/>
      <c r="AD94" s="439"/>
      <c r="AE94" s="439"/>
      <c r="AF94" s="439"/>
    </row>
    <row r="95" spans="1:37">
      <c r="A95" s="439" t="s">
        <v>669</v>
      </c>
      <c r="B95" s="439"/>
      <c r="C95" s="439"/>
      <c r="D95" s="439"/>
      <c r="E95" s="439"/>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row>
    <row r="96" spans="1:37">
      <c r="A96" s="439" t="s">
        <v>670</v>
      </c>
      <c r="B96" s="439"/>
      <c r="C96" s="439"/>
      <c r="D96" s="439"/>
      <c r="E96" s="439"/>
      <c r="F96" s="439"/>
      <c r="G96" s="439"/>
      <c r="H96" s="439"/>
      <c r="I96" s="439"/>
      <c r="J96" s="439"/>
      <c r="K96" s="439"/>
      <c r="L96" s="439"/>
      <c r="M96" s="439"/>
      <c r="N96" s="439"/>
      <c r="O96" s="439"/>
      <c r="P96" s="439"/>
      <c r="Q96" s="439"/>
      <c r="R96" s="439"/>
      <c r="S96" s="439"/>
      <c r="T96" s="439"/>
      <c r="U96" s="439"/>
      <c r="V96" s="439"/>
      <c r="W96" s="439"/>
      <c r="X96" s="439"/>
      <c r="Y96" s="439"/>
      <c r="Z96" s="439"/>
      <c r="AA96" s="439"/>
      <c r="AB96" s="439"/>
      <c r="AC96" s="439"/>
      <c r="AD96" s="439"/>
      <c r="AE96" s="439"/>
      <c r="AF96" s="439"/>
    </row>
    <row r="97" spans="1:32">
      <c r="A97" s="439" t="s">
        <v>671</v>
      </c>
      <c r="B97" s="439"/>
      <c r="C97" s="439"/>
      <c r="D97" s="439"/>
      <c r="E97" s="439"/>
      <c r="F97" s="439"/>
      <c r="G97" s="439"/>
      <c r="H97" s="439"/>
      <c r="I97" s="439"/>
      <c r="J97" s="439"/>
      <c r="K97" s="439"/>
      <c r="L97" s="439"/>
      <c r="M97" s="439"/>
      <c r="N97" s="439"/>
      <c r="O97" s="439"/>
      <c r="P97" s="439"/>
      <c r="Q97" s="439"/>
      <c r="R97" s="439"/>
      <c r="S97" s="439"/>
      <c r="T97" s="439"/>
      <c r="U97" s="439"/>
      <c r="V97" s="439"/>
      <c r="W97" s="439"/>
      <c r="X97" s="439"/>
      <c r="Y97" s="439"/>
      <c r="Z97" s="439"/>
      <c r="AA97" s="439"/>
      <c r="AB97" s="439"/>
      <c r="AC97" s="439"/>
      <c r="AD97" s="439"/>
      <c r="AE97" s="439"/>
      <c r="AF97" s="439"/>
    </row>
    <row r="98" spans="1:32">
      <c r="A98" s="439" t="s">
        <v>672</v>
      </c>
      <c r="B98" s="439"/>
      <c r="C98" s="439"/>
      <c r="D98" s="439"/>
      <c r="E98" s="439"/>
      <c r="F98" s="439"/>
      <c r="G98" s="439"/>
      <c r="H98" s="439"/>
      <c r="I98" s="439"/>
      <c r="J98" s="439"/>
      <c r="K98" s="439"/>
      <c r="L98" s="439"/>
      <c r="M98" s="439"/>
      <c r="N98" s="439"/>
      <c r="O98" s="439"/>
      <c r="P98" s="439"/>
      <c r="Q98" s="439"/>
      <c r="R98" s="439"/>
      <c r="S98" s="439"/>
      <c r="T98" s="439"/>
      <c r="U98" s="439"/>
      <c r="V98" s="439"/>
      <c r="W98" s="439"/>
      <c r="X98" s="439"/>
      <c r="Y98" s="439"/>
      <c r="Z98" s="439"/>
      <c r="AA98" s="439"/>
      <c r="AB98" s="439"/>
      <c r="AC98" s="439"/>
      <c r="AD98" s="439"/>
      <c r="AE98" s="439"/>
      <c r="AF98" s="439"/>
    </row>
    <row r="99" spans="1:32">
      <c r="A99" s="439" t="s">
        <v>673</v>
      </c>
      <c r="B99" s="439"/>
      <c r="C99" s="439"/>
      <c r="D99" s="439"/>
      <c r="E99" s="439"/>
      <c r="F99" s="439"/>
      <c r="G99" s="439"/>
      <c r="H99" s="439"/>
      <c r="I99" s="439"/>
      <c r="J99" s="439"/>
      <c r="K99" s="439"/>
      <c r="L99" s="439"/>
      <c r="M99" s="439"/>
      <c r="N99" s="439"/>
      <c r="O99" s="439"/>
      <c r="P99" s="439"/>
      <c r="Q99" s="439"/>
      <c r="R99" s="439"/>
      <c r="S99" s="439"/>
      <c r="T99" s="439"/>
      <c r="U99" s="439"/>
      <c r="V99" s="439"/>
      <c r="W99" s="439"/>
      <c r="X99" s="439"/>
      <c r="Y99" s="439"/>
      <c r="Z99" s="439"/>
      <c r="AA99" s="439"/>
      <c r="AB99" s="439"/>
      <c r="AC99" s="439"/>
      <c r="AD99" s="439"/>
      <c r="AE99" s="439"/>
      <c r="AF99" s="439"/>
    </row>
    <row r="100" spans="1:32">
      <c r="A100" s="439" t="s">
        <v>674</v>
      </c>
      <c r="B100" s="439"/>
      <c r="C100" s="439"/>
      <c r="D100" s="439"/>
      <c r="E100" s="439"/>
      <c r="F100" s="439"/>
      <c r="G100" s="439"/>
      <c r="H100" s="439"/>
      <c r="I100" s="439"/>
      <c r="J100" s="439"/>
      <c r="K100" s="439"/>
      <c r="L100" s="439"/>
      <c r="M100" s="439"/>
      <c r="N100" s="439"/>
      <c r="O100" s="439"/>
      <c r="P100" s="439"/>
      <c r="Q100" s="439"/>
      <c r="R100" s="439"/>
      <c r="S100" s="439"/>
      <c r="T100" s="439"/>
      <c r="U100" s="439"/>
      <c r="V100" s="439"/>
      <c r="W100" s="439"/>
      <c r="X100" s="439"/>
      <c r="Y100" s="439"/>
      <c r="Z100" s="439"/>
      <c r="AA100" s="439"/>
      <c r="AB100" s="439"/>
      <c r="AC100" s="439"/>
      <c r="AD100" s="439"/>
      <c r="AE100" s="439"/>
      <c r="AF100" s="439"/>
    </row>
    <row r="101" spans="1:32">
      <c r="A101" s="439" t="s">
        <v>675</v>
      </c>
      <c r="B101" s="439"/>
      <c r="C101" s="439"/>
      <c r="D101" s="439"/>
      <c r="E101" s="439"/>
      <c r="F101" s="439"/>
      <c r="G101" s="439"/>
      <c r="H101" s="439"/>
      <c r="I101" s="439"/>
      <c r="J101" s="439"/>
      <c r="K101" s="439"/>
      <c r="L101" s="439"/>
      <c r="M101" s="439"/>
      <c r="N101" s="439"/>
      <c r="O101" s="439"/>
      <c r="P101" s="439"/>
      <c r="Q101" s="439"/>
      <c r="R101" s="439"/>
      <c r="S101" s="439"/>
      <c r="T101" s="439"/>
      <c r="U101" s="439"/>
      <c r="V101" s="439"/>
      <c r="W101" s="439"/>
      <c r="X101" s="439"/>
      <c r="Y101" s="439"/>
      <c r="Z101" s="439"/>
      <c r="AA101" s="439"/>
      <c r="AB101" s="439"/>
      <c r="AC101" s="439"/>
      <c r="AD101" s="439"/>
      <c r="AE101" s="439"/>
      <c r="AF101" s="439"/>
    </row>
    <row r="102" spans="1:32">
      <c r="A102" s="439" t="s">
        <v>676</v>
      </c>
      <c r="B102" s="439"/>
      <c r="C102" s="439"/>
      <c r="D102" s="439"/>
      <c r="E102" s="439"/>
      <c r="F102" s="439"/>
      <c r="G102" s="439"/>
      <c r="H102" s="439"/>
      <c r="I102" s="439"/>
      <c r="J102" s="439"/>
      <c r="K102" s="439"/>
      <c r="L102" s="439"/>
      <c r="M102" s="439"/>
      <c r="N102" s="439"/>
      <c r="O102" s="439"/>
      <c r="P102" s="439"/>
      <c r="Q102" s="439"/>
      <c r="R102" s="439"/>
      <c r="S102" s="439"/>
      <c r="T102" s="439"/>
      <c r="U102" s="439"/>
      <c r="V102" s="439"/>
      <c r="W102" s="439"/>
      <c r="X102" s="439"/>
      <c r="Y102" s="439"/>
      <c r="Z102" s="439"/>
      <c r="AA102" s="439"/>
      <c r="AB102" s="439"/>
      <c r="AC102" s="439"/>
      <c r="AD102" s="439"/>
      <c r="AE102" s="439"/>
      <c r="AF102" s="439"/>
    </row>
    <row r="103" spans="1:32">
      <c r="A103" s="439" t="s">
        <v>677</v>
      </c>
      <c r="B103" s="439"/>
      <c r="C103" s="439"/>
      <c r="D103" s="439"/>
      <c r="E103" s="439"/>
      <c r="F103" s="439"/>
      <c r="G103" s="439"/>
      <c r="H103" s="439"/>
      <c r="I103" s="439"/>
      <c r="J103" s="439"/>
      <c r="K103" s="439"/>
      <c r="L103" s="439"/>
      <c r="M103" s="439"/>
      <c r="N103" s="439"/>
      <c r="O103" s="439"/>
      <c r="P103" s="439"/>
      <c r="Q103" s="439"/>
      <c r="R103" s="439"/>
      <c r="S103" s="439"/>
      <c r="T103" s="439"/>
      <c r="U103" s="439"/>
      <c r="V103" s="439"/>
      <c r="W103" s="439"/>
      <c r="X103" s="439"/>
      <c r="Y103" s="439"/>
      <c r="Z103" s="439"/>
      <c r="AA103" s="439"/>
      <c r="AB103" s="439"/>
      <c r="AC103" s="439"/>
      <c r="AD103" s="439"/>
      <c r="AE103" s="439"/>
      <c r="AF103" s="439"/>
    </row>
    <row r="104" spans="1:32">
      <c r="A104" s="439" t="s">
        <v>678</v>
      </c>
      <c r="B104" s="439"/>
      <c r="C104" s="439"/>
      <c r="D104" s="439"/>
      <c r="E104" s="439"/>
      <c r="F104" s="439"/>
      <c r="G104" s="439"/>
      <c r="H104" s="439"/>
      <c r="I104" s="439"/>
      <c r="J104" s="439"/>
      <c r="K104" s="439"/>
      <c r="L104" s="439"/>
      <c r="M104" s="439"/>
      <c r="N104" s="439"/>
      <c r="O104" s="439"/>
      <c r="P104" s="439"/>
      <c r="Q104" s="439"/>
      <c r="R104" s="439"/>
      <c r="S104" s="439"/>
      <c r="T104" s="439"/>
      <c r="U104" s="439"/>
      <c r="V104" s="439"/>
      <c r="W104" s="439"/>
      <c r="X104" s="439"/>
      <c r="Y104" s="439"/>
      <c r="Z104" s="439"/>
      <c r="AA104" s="439"/>
      <c r="AB104" s="439"/>
      <c r="AC104" s="439"/>
      <c r="AD104" s="439"/>
      <c r="AE104" s="439"/>
      <c r="AF104" s="439"/>
    </row>
    <row r="105" spans="1:32">
      <c r="A105" s="439" t="s">
        <v>679</v>
      </c>
      <c r="B105" s="439"/>
      <c r="C105" s="439"/>
      <c r="D105" s="439"/>
      <c r="E105" s="439"/>
      <c r="F105" s="439"/>
      <c r="G105" s="439"/>
      <c r="H105" s="439"/>
      <c r="I105" s="439"/>
      <c r="J105" s="439"/>
      <c r="K105" s="439"/>
      <c r="L105" s="439"/>
      <c r="M105" s="439"/>
      <c r="N105" s="439"/>
      <c r="O105" s="439"/>
      <c r="P105" s="439"/>
      <c r="Q105" s="439"/>
      <c r="R105" s="439"/>
      <c r="S105" s="439"/>
      <c r="T105" s="439"/>
      <c r="U105" s="439"/>
      <c r="V105" s="439"/>
      <c r="W105" s="439"/>
      <c r="X105" s="439"/>
      <c r="Y105" s="439"/>
      <c r="Z105" s="439"/>
      <c r="AA105" s="439"/>
      <c r="AB105" s="439"/>
      <c r="AC105" s="439"/>
      <c r="AD105" s="439"/>
      <c r="AE105" s="439"/>
      <c r="AF105" s="439"/>
    </row>
    <row r="106" spans="1:32">
      <c r="A106" s="439" t="s">
        <v>680</v>
      </c>
      <c r="B106" s="439"/>
      <c r="C106" s="439"/>
      <c r="D106" s="439"/>
      <c r="E106" s="439"/>
      <c r="F106" s="439"/>
      <c r="G106" s="439"/>
      <c r="H106" s="439"/>
      <c r="I106" s="439"/>
      <c r="J106" s="439"/>
      <c r="K106" s="439"/>
      <c r="L106" s="439"/>
      <c r="M106" s="439"/>
      <c r="N106" s="439"/>
      <c r="O106" s="439"/>
      <c r="P106" s="439"/>
      <c r="Q106" s="439"/>
      <c r="R106" s="439"/>
      <c r="S106" s="439"/>
      <c r="T106" s="439"/>
      <c r="U106" s="439"/>
      <c r="V106" s="439"/>
      <c r="W106" s="439"/>
      <c r="X106" s="439"/>
      <c r="Y106" s="439"/>
      <c r="Z106" s="439"/>
      <c r="AA106" s="439"/>
      <c r="AB106" s="439"/>
      <c r="AC106" s="439"/>
      <c r="AD106" s="439"/>
      <c r="AE106" s="439"/>
      <c r="AF106" s="439"/>
    </row>
    <row r="107" spans="1:32">
      <c r="A107" s="439" t="s">
        <v>681</v>
      </c>
      <c r="B107" s="439"/>
      <c r="C107" s="439"/>
      <c r="D107" s="439"/>
      <c r="E107" s="439"/>
      <c r="F107" s="439"/>
      <c r="G107" s="439"/>
      <c r="H107" s="439"/>
      <c r="I107" s="439"/>
      <c r="J107" s="439"/>
      <c r="K107" s="439"/>
      <c r="L107" s="439"/>
      <c r="M107" s="439"/>
      <c r="N107" s="439"/>
      <c r="O107" s="439"/>
      <c r="P107" s="439"/>
      <c r="Q107" s="439"/>
      <c r="R107" s="439"/>
      <c r="S107" s="439"/>
      <c r="T107" s="439"/>
      <c r="U107" s="439"/>
      <c r="V107" s="439"/>
      <c r="W107" s="439"/>
      <c r="X107" s="439"/>
      <c r="Y107" s="439"/>
      <c r="Z107" s="439"/>
      <c r="AA107" s="439"/>
      <c r="AB107" s="439"/>
      <c r="AC107" s="439"/>
      <c r="AD107" s="439"/>
      <c r="AE107" s="439"/>
      <c r="AF107" s="439"/>
    </row>
    <row r="108" spans="1:32">
      <c r="A108" s="439" t="s">
        <v>633</v>
      </c>
      <c r="B108" s="439"/>
      <c r="C108" s="439"/>
      <c r="D108" s="439"/>
      <c r="E108" s="439"/>
      <c r="F108" s="439"/>
      <c r="G108" s="439"/>
      <c r="H108" s="439"/>
      <c r="I108" s="439"/>
      <c r="J108" s="439"/>
      <c r="K108" s="439"/>
      <c r="L108" s="439"/>
      <c r="M108" s="439"/>
      <c r="N108" s="439"/>
      <c r="O108" s="439"/>
      <c r="P108" s="439"/>
      <c r="Q108" s="439"/>
      <c r="R108" s="439"/>
      <c r="S108" s="439"/>
      <c r="T108" s="439"/>
      <c r="U108" s="439"/>
      <c r="V108" s="439"/>
      <c r="W108" s="439"/>
      <c r="X108" s="439"/>
      <c r="Y108" s="439"/>
      <c r="Z108" s="439"/>
      <c r="AA108" s="439"/>
      <c r="AB108" s="439"/>
      <c r="AC108" s="439"/>
      <c r="AD108" s="439"/>
      <c r="AE108" s="439"/>
      <c r="AF108" s="439"/>
    </row>
    <row r="109" spans="1:32">
      <c r="A109" s="439" t="s">
        <v>682</v>
      </c>
      <c r="B109" s="439"/>
      <c r="C109" s="439"/>
      <c r="D109" s="439"/>
      <c r="E109" s="439"/>
      <c r="F109" s="439"/>
      <c r="G109" s="439"/>
      <c r="H109" s="439"/>
      <c r="I109" s="439"/>
      <c r="J109" s="439"/>
      <c r="K109" s="439"/>
      <c r="L109" s="439"/>
      <c r="M109" s="439"/>
      <c r="N109" s="439"/>
      <c r="O109" s="439"/>
      <c r="P109" s="439"/>
      <c r="Q109" s="439"/>
      <c r="R109" s="439"/>
      <c r="S109" s="439"/>
      <c r="T109" s="439"/>
      <c r="U109" s="439"/>
      <c r="V109" s="439"/>
      <c r="W109" s="439"/>
      <c r="X109" s="439"/>
      <c r="Y109" s="439"/>
      <c r="Z109" s="439"/>
      <c r="AA109" s="439"/>
      <c r="AB109" s="439"/>
      <c r="AC109" s="439"/>
      <c r="AD109" s="439"/>
      <c r="AE109" s="439"/>
      <c r="AF109" s="439"/>
    </row>
    <row r="110" spans="1:32">
      <c r="A110" s="439" t="s">
        <v>683</v>
      </c>
      <c r="B110" s="439"/>
      <c r="C110" s="439"/>
      <c r="D110" s="439"/>
      <c r="E110" s="439"/>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39"/>
      <c r="AD110" s="439"/>
      <c r="AE110" s="439"/>
      <c r="AF110" s="439"/>
    </row>
    <row r="111" spans="1:32">
      <c r="A111" s="439" t="s">
        <v>640</v>
      </c>
      <c r="B111" s="439"/>
      <c r="C111" s="439"/>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c r="AC111" s="439"/>
      <c r="AD111" s="439"/>
      <c r="AE111" s="439"/>
      <c r="AF111" s="439"/>
    </row>
    <row r="112" spans="1:32">
      <c r="A112" s="439" t="s">
        <v>641</v>
      </c>
      <c r="B112" s="439"/>
      <c r="C112" s="439"/>
      <c r="D112" s="439"/>
      <c r="E112" s="439"/>
      <c r="F112" s="439"/>
      <c r="G112" s="439"/>
      <c r="H112" s="439"/>
      <c r="I112" s="439"/>
      <c r="J112" s="439"/>
      <c r="K112" s="439"/>
      <c r="L112" s="439"/>
      <c r="M112" s="439"/>
      <c r="N112" s="439"/>
      <c r="O112" s="439"/>
      <c r="P112" s="439"/>
      <c r="Q112" s="439"/>
      <c r="R112" s="439"/>
      <c r="S112" s="439"/>
      <c r="T112" s="439"/>
      <c r="U112" s="439"/>
      <c r="V112" s="439"/>
      <c r="W112" s="439"/>
      <c r="X112" s="439"/>
      <c r="Y112" s="439"/>
      <c r="Z112" s="439"/>
      <c r="AA112" s="439"/>
      <c r="AB112" s="439"/>
      <c r="AC112" s="439"/>
      <c r="AD112" s="439"/>
      <c r="AE112" s="439"/>
      <c r="AF112" s="439"/>
    </row>
    <row r="113" spans="1:32">
      <c r="A113" s="439" t="s">
        <v>642</v>
      </c>
      <c r="B113" s="439"/>
      <c r="C113" s="439"/>
      <c r="D113" s="439"/>
      <c r="E113" s="439"/>
      <c r="F113" s="439"/>
      <c r="G113" s="439"/>
      <c r="H113" s="439"/>
      <c r="I113" s="439"/>
      <c r="J113" s="439"/>
      <c r="K113" s="439"/>
      <c r="L113" s="439"/>
      <c r="M113" s="439"/>
      <c r="N113" s="439"/>
      <c r="O113" s="439"/>
      <c r="P113" s="439"/>
      <c r="Q113" s="439"/>
      <c r="R113" s="439"/>
      <c r="S113" s="439"/>
      <c r="T113" s="439"/>
      <c r="U113" s="439"/>
      <c r="V113" s="439"/>
      <c r="W113" s="439"/>
      <c r="X113" s="439"/>
      <c r="Y113" s="439"/>
      <c r="Z113" s="439"/>
      <c r="AA113" s="439"/>
      <c r="AB113" s="439"/>
      <c r="AC113" s="439"/>
      <c r="AD113" s="439"/>
      <c r="AE113" s="439"/>
      <c r="AF113" s="439"/>
    </row>
    <row r="114" spans="1:32">
      <c r="A114" s="439" t="s">
        <v>684</v>
      </c>
      <c r="B114" s="439"/>
      <c r="C114" s="439"/>
      <c r="D114" s="439"/>
      <c r="E114" s="439"/>
      <c r="F114" s="439"/>
      <c r="G114" s="439"/>
      <c r="H114" s="439"/>
      <c r="I114" s="439"/>
      <c r="J114" s="439"/>
      <c r="K114" s="439"/>
      <c r="L114" s="439"/>
      <c r="M114" s="439"/>
      <c r="N114" s="439"/>
      <c r="O114" s="439"/>
      <c r="P114" s="439"/>
      <c r="Q114" s="439"/>
      <c r="R114" s="439"/>
      <c r="S114" s="439"/>
      <c r="T114" s="439"/>
      <c r="U114" s="439"/>
      <c r="V114" s="439"/>
      <c r="W114" s="439"/>
      <c r="X114" s="439"/>
      <c r="Y114" s="439"/>
      <c r="Z114" s="439"/>
      <c r="AA114" s="439"/>
      <c r="AB114" s="439"/>
      <c r="AC114" s="439"/>
      <c r="AD114" s="439"/>
      <c r="AE114" s="439"/>
      <c r="AF114" s="439"/>
    </row>
    <row r="115" spans="1:32">
      <c r="A115" s="439" t="s">
        <v>685</v>
      </c>
      <c r="B115" s="439"/>
      <c r="C115" s="439"/>
      <c r="D115" s="439"/>
      <c r="E115" s="439"/>
      <c r="F115" s="439"/>
      <c r="G115" s="439"/>
      <c r="H115" s="439"/>
      <c r="I115" s="439"/>
      <c r="J115" s="439"/>
      <c r="K115" s="439"/>
      <c r="L115" s="439"/>
      <c r="M115" s="439"/>
      <c r="N115" s="439"/>
      <c r="O115" s="439"/>
      <c r="P115" s="439"/>
      <c r="Q115" s="439"/>
      <c r="R115" s="439"/>
      <c r="S115" s="439"/>
      <c r="T115" s="439"/>
      <c r="U115" s="439"/>
      <c r="V115" s="439"/>
      <c r="W115" s="439"/>
      <c r="X115" s="439"/>
      <c r="Y115" s="439"/>
      <c r="Z115" s="439"/>
      <c r="AA115" s="439"/>
      <c r="AB115" s="439"/>
      <c r="AC115" s="439"/>
      <c r="AD115" s="439"/>
      <c r="AE115" s="439"/>
      <c r="AF115" s="439"/>
    </row>
    <row r="116" spans="1:32">
      <c r="A116" s="439" t="s">
        <v>617</v>
      </c>
      <c r="B116" s="439"/>
      <c r="C116" s="439"/>
      <c r="D116" s="439"/>
      <c r="E116" s="439"/>
      <c r="F116" s="439"/>
      <c r="G116" s="439"/>
      <c r="H116" s="439"/>
      <c r="I116" s="439"/>
      <c r="J116" s="439"/>
      <c r="K116" s="439"/>
      <c r="L116" s="439"/>
      <c r="M116" s="439"/>
      <c r="N116" s="439"/>
      <c r="O116" s="439"/>
      <c r="P116" s="439"/>
      <c r="Q116" s="439"/>
      <c r="R116" s="439"/>
      <c r="S116" s="439"/>
      <c r="T116" s="439"/>
      <c r="U116" s="439"/>
      <c r="V116" s="439"/>
      <c r="W116" s="439"/>
      <c r="X116" s="439"/>
      <c r="Y116" s="439"/>
      <c r="Z116" s="439"/>
      <c r="AA116" s="439"/>
      <c r="AB116" s="439"/>
      <c r="AC116" s="439"/>
      <c r="AD116" s="439"/>
      <c r="AE116" s="439"/>
      <c r="AF116" s="439"/>
    </row>
    <row r="117" spans="1:32">
      <c r="A117" s="439" t="s">
        <v>618</v>
      </c>
      <c r="B117" s="439"/>
      <c r="C117" s="439"/>
      <c r="D117" s="439"/>
      <c r="E117" s="439"/>
      <c r="F117" s="439"/>
      <c r="G117" s="439"/>
      <c r="H117" s="439"/>
      <c r="I117" s="439"/>
      <c r="J117" s="439"/>
      <c r="K117" s="439"/>
      <c r="L117" s="439"/>
      <c r="M117" s="439"/>
      <c r="N117" s="439"/>
      <c r="O117" s="439"/>
      <c r="P117" s="439"/>
      <c r="Q117" s="439"/>
      <c r="R117" s="439"/>
      <c r="S117" s="439"/>
      <c r="T117" s="439"/>
      <c r="U117" s="439"/>
      <c r="V117" s="439"/>
      <c r="W117" s="439"/>
      <c r="X117" s="439"/>
      <c r="Y117" s="439"/>
      <c r="Z117" s="439"/>
      <c r="AA117" s="439"/>
      <c r="AB117" s="439"/>
      <c r="AC117" s="439"/>
      <c r="AD117" s="439"/>
      <c r="AE117" s="439"/>
      <c r="AF117" s="439"/>
    </row>
    <row r="118" spans="1:32">
      <c r="A118" s="439" t="s">
        <v>619</v>
      </c>
      <c r="B118" s="439"/>
      <c r="C118" s="439"/>
      <c r="D118" s="439"/>
      <c r="E118" s="439"/>
      <c r="F118" s="439"/>
      <c r="G118" s="439"/>
      <c r="H118" s="439"/>
      <c r="I118" s="439"/>
      <c r="J118" s="439"/>
      <c r="K118" s="439"/>
      <c r="L118" s="439"/>
      <c r="M118" s="439"/>
      <c r="N118" s="439"/>
      <c r="O118" s="439"/>
      <c r="P118" s="439"/>
      <c r="Q118" s="439"/>
      <c r="R118" s="439"/>
      <c r="S118" s="439"/>
      <c r="T118" s="439"/>
      <c r="U118" s="439"/>
      <c r="V118" s="439"/>
      <c r="W118" s="439"/>
      <c r="X118" s="439"/>
      <c r="Y118" s="439"/>
      <c r="Z118" s="439"/>
      <c r="AA118" s="439"/>
      <c r="AB118" s="439"/>
      <c r="AC118" s="439"/>
      <c r="AD118" s="439"/>
      <c r="AE118" s="439"/>
      <c r="AF118" s="439"/>
    </row>
    <row r="119" spans="1:32">
      <c r="A119" s="439" t="s">
        <v>686</v>
      </c>
      <c r="B119" s="439"/>
      <c r="C119" s="439"/>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39"/>
      <c r="AA119" s="439"/>
      <c r="AB119" s="439"/>
      <c r="AC119" s="439"/>
      <c r="AD119" s="439"/>
      <c r="AE119" s="439"/>
      <c r="AF119" s="439"/>
    </row>
    <row r="120" spans="1:32">
      <c r="A120" s="439" t="s">
        <v>687</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439"/>
    </row>
    <row r="121" spans="1:32">
      <c r="A121" s="439" t="s">
        <v>621</v>
      </c>
      <c r="B121" s="439"/>
      <c r="C121" s="439"/>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39"/>
      <c r="AA121" s="439"/>
      <c r="AB121" s="439"/>
      <c r="AC121" s="439"/>
      <c r="AD121" s="439"/>
      <c r="AE121" s="439"/>
      <c r="AF121" s="439"/>
    </row>
    <row r="122" spans="1:32">
      <c r="A122" s="439" t="s">
        <v>624</v>
      </c>
      <c r="B122" s="439"/>
      <c r="C122" s="439"/>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39"/>
      <c r="AD122" s="439"/>
      <c r="AE122" s="439"/>
      <c r="AF122" s="439"/>
    </row>
  </sheetData>
  <mergeCells count="36">
    <mergeCell ref="A87:AF87"/>
    <mergeCell ref="A88:AF88"/>
    <mergeCell ref="A89:AF89"/>
    <mergeCell ref="A90:AF90"/>
    <mergeCell ref="A91:AF91"/>
    <mergeCell ref="A92:AF92"/>
    <mergeCell ref="A93:AF93"/>
    <mergeCell ref="A94:AF94"/>
    <mergeCell ref="A95:AF95"/>
    <mergeCell ref="A96:AF96"/>
    <mergeCell ref="A97:AF97"/>
    <mergeCell ref="A98:AF98"/>
    <mergeCell ref="A99:AF99"/>
    <mergeCell ref="A100:AF100"/>
    <mergeCell ref="A101:AF101"/>
    <mergeCell ref="A102:AF102"/>
    <mergeCell ref="A103:AF103"/>
    <mergeCell ref="A104:AF104"/>
    <mergeCell ref="A105:AF105"/>
    <mergeCell ref="A106:AF106"/>
    <mergeCell ref="A107:AF107"/>
    <mergeCell ref="A108:AF108"/>
    <mergeCell ref="A109:AF109"/>
    <mergeCell ref="A110:AF110"/>
    <mergeCell ref="A111:AF111"/>
    <mergeCell ref="A112:AF112"/>
    <mergeCell ref="A113:AF113"/>
    <mergeCell ref="A114:AF114"/>
    <mergeCell ref="A115:AF115"/>
    <mergeCell ref="A116:AF116"/>
    <mergeCell ref="A122:AF122"/>
    <mergeCell ref="A117:AF117"/>
    <mergeCell ref="A118:AF118"/>
    <mergeCell ref="A119:AF119"/>
    <mergeCell ref="A120:AF120"/>
    <mergeCell ref="A121:AF121"/>
  </mergeCells>
  <pageMargins left="0.5" right="0.5" top="0.5" bottom="0.5"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BX61"/>
  <sheetViews>
    <sheetView workbookViewId="0">
      <selection activeCell="I25" sqref="I25"/>
    </sheetView>
  </sheetViews>
  <sheetFormatPr baseColWidth="10" defaultColWidth="8.83203125" defaultRowHeight="11" x14ac:dyDescent="0"/>
  <cols>
    <col min="1" max="1" width="35.33203125" style="55" customWidth="1"/>
    <col min="2" max="28" width="8.83203125" style="53"/>
    <col min="29" max="39" width="10" style="53" bestFit="1" customWidth="1"/>
    <col min="40" max="44" width="11" style="53" bestFit="1" customWidth="1"/>
    <col min="45" max="48" width="12.5" style="53" bestFit="1" customWidth="1"/>
    <col min="49" max="49" width="13.5" style="53" bestFit="1" customWidth="1"/>
    <col min="50" max="50" width="8.83203125" style="54"/>
    <col min="51" max="54" width="8.83203125" style="53"/>
    <col min="55" max="55" width="11" style="53" bestFit="1" customWidth="1"/>
    <col min="56" max="58" width="10" style="53" bestFit="1" customWidth="1"/>
    <col min="59" max="62" width="11" style="53" bestFit="1" customWidth="1"/>
    <col min="63" max="65" width="12" style="53" bestFit="1" customWidth="1"/>
    <col min="66" max="68" width="13.5" style="53" bestFit="1" customWidth="1"/>
    <col min="69" max="72" width="14.5" style="53" bestFit="1" customWidth="1"/>
    <col min="73" max="75" width="15.5" style="53" bestFit="1" customWidth="1"/>
    <col min="76" max="76" width="17" style="53" bestFit="1" customWidth="1"/>
    <col min="77" max="16384" width="8.83203125" style="53"/>
  </cols>
  <sheetData>
    <row r="12" spans="1:55">
      <c r="A12" s="55" t="s">
        <v>245</v>
      </c>
      <c r="AB12" s="53" t="s">
        <v>244</v>
      </c>
      <c r="AC12" s="72">
        <v>0.06</v>
      </c>
      <c r="AW12" s="53" t="s">
        <v>243</v>
      </c>
      <c r="BB12" s="54"/>
      <c r="BC12" s="55" t="s">
        <v>245</v>
      </c>
    </row>
    <row r="13" spans="1:55">
      <c r="A13" s="58"/>
      <c r="B13" s="73" t="s">
        <v>251</v>
      </c>
      <c r="C13" s="74"/>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6"/>
      <c r="BB13" s="54"/>
      <c r="BC13" s="55" t="s">
        <v>249</v>
      </c>
    </row>
    <row r="14" spans="1:55">
      <c r="AX14" s="54" t="s">
        <v>242</v>
      </c>
      <c r="BB14" s="54"/>
    </row>
    <row r="15" spans="1:55" s="67" customFormat="1">
      <c r="A15" s="71" t="s">
        <v>144</v>
      </c>
      <c r="B15" s="67">
        <v>1956</v>
      </c>
      <c r="C15" s="67">
        <v>1957</v>
      </c>
      <c r="D15" s="67">
        <v>1958</v>
      </c>
      <c r="E15" s="67">
        <v>1959</v>
      </c>
      <c r="F15" s="67">
        <v>1960</v>
      </c>
      <c r="G15" s="67">
        <v>1961</v>
      </c>
      <c r="H15" s="67">
        <v>1962</v>
      </c>
      <c r="I15" s="67">
        <v>1963</v>
      </c>
      <c r="J15" s="67">
        <v>1964</v>
      </c>
      <c r="K15" s="67">
        <v>1965</v>
      </c>
      <c r="L15" s="67">
        <v>1966</v>
      </c>
      <c r="M15" s="67">
        <v>1967</v>
      </c>
      <c r="N15" s="67">
        <v>1968</v>
      </c>
      <c r="O15" s="67">
        <v>1969</v>
      </c>
      <c r="P15" s="67">
        <v>1970</v>
      </c>
      <c r="Q15" s="67">
        <v>1971</v>
      </c>
      <c r="R15" s="67">
        <v>1972</v>
      </c>
      <c r="S15" s="67">
        <v>1973</v>
      </c>
      <c r="T15" s="67">
        <v>1974</v>
      </c>
      <c r="U15" s="67">
        <v>1975</v>
      </c>
      <c r="V15" s="67">
        <v>1976</v>
      </c>
      <c r="W15" s="67">
        <v>1977</v>
      </c>
      <c r="X15" s="67">
        <v>1978</v>
      </c>
      <c r="Y15" s="67">
        <v>1979</v>
      </c>
      <c r="Z15" s="67">
        <v>1980</v>
      </c>
      <c r="AA15" s="67">
        <v>1981</v>
      </c>
      <c r="AB15" s="67">
        <v>1982</v>
      </c>
      <c r="AC15" s="67">
        <v>1983</v>
      </c>
      <c r="AD15" s="67">
        <v>1984</v>
      </c>
      <c r="AE15" s="67">
        <v>1985</v>
      </c>
      <c r="AF15" s="67">
        <v>1986</v>
      </c>
      <c r="AG15" s="67">
        <v>1987</v>
      </c>
      <c r="AH15" s="67">
        <v>1988</v>
      </c>
      <c r="AI15" s="67">
        <v>1989</v>
      </c>
      <c r="AJ15" s="67">
        <v>1990</v>
      </c>
      <c r="AK15" s="67" t="s">
        <v>237</v>
      </c>
      <c r="AL15" s="67" t="s">
        <v>236</v>
      </c>
      <c r="AM15" s="67" t="s">
        <v>235</v>
      </c>
      <c r="AN15" s="67" t="s">
        <v>234</v>
      </c>
      <c r="AO15" s="67">
        <v>1995</v>
      </c>
      <c r="AP15" s="67">
        <v>1996</v>
      </c>
      <c r="AQ15" s="67">
        <v>1997</v>
      </c>
      <c r="AR15" s="67">
        <v>1998</v>
      </c>
      <c r="AS15" s="67">
        <v>1999</v>
      </c>
      <c r="AT15" s="67">
        <v>2000</v>
      </c>
      <c r="AU15" s="67">
        <v>2001</v>
      </c>
      <c r="AV15" s="67">
        <v>2002</v>
      </c>
      <c r="AW15" s="67">
        <v>2003</v>
      </c>
      <c r="AX15" s="68">
        <v>2004</v>
      </c>
      <c r="BB15" s="68"/>
    </row>
    <row r="16" spans="1:55">
      <c r="A16" s="55" t="s">
        <v>241</v>
      </c>
      <c r="B16" s="60">
        <v>580</v>
      </c>
      <c r="C16" s="60">
        <v>596</v>
      </c>
      <c r="D16" s="60">
        <v>628</v>
      </c>
      <c r="E16" s="60">
        <v>647</v>
      </c>
      <c r="F16" s="60">
        <v>683</v>
      </c>
      <c r="G16" s="60">
        <v>688</v>
      </c>
      <c r="H16" s="60">
        <v>704</v>
      </c>
      <c r="I16" s="60">
        <v>820</v>
      </c>
      <c r="J16" s="60">
        <v>873</v>
      </c>
      <c r="K16" s="60">
        <v>1043</v>
      </c>
      <c r="L16" s="60">
        <v>1029</v>
      </c>
      <c r="M16" s="60">
        <v>1197</v>
      </c>
      <c r="N16" s="60">
        <v>1453</v>
      </c>
      <c r="O16" s="60">
        <v>1633</v>
      </c>
      <c r="P16" s="60">
        <v>1623</v>
      </c>
      <c r="Q16" s="60">
        <v>1892</v>
      </c>
      <c r="R16" s="60">
        <v>2195</v>
      </c>
      <c r="S16" s="60">
        <v>2813</v>
      </c>
      <c r="T16" s="60">
        <v>3031</v>
      </c>
      <c r="U16" s="60">
        <v>4003</v>
      </c>
      <c r="V16" s="60">
        <v>4272</v>
      </c>
      <c r="W16" s="60">
        <v>5445</v>
      </c>
      <c r="X16" s="60">
        <v>5618</v>
      </c>
      <c r="Y16" s="60">
        <v>6529</v>
      </c>
      <c r="Z16" s="60">
        <v>7924</v>
      </c>
      <c r="AA16" s="60">
        <v>9792</v>
      </c>
      <c r="AB16" s="60">
        <v>11316</v>
      </c>
      <c r="AC16" s="60">
        <v>12560</v>
      </c>
      <c r="AD16" s="60">
        <v>13260</v>
      </c>
      <c r="AE16" s="60">
        <v>13852</v>
      </c>
      <c r="AF16" s="60">
        <v>14698</v>
      </c>
      <c r="AG16" s="60">
        <v>15562</v>
      </c>
      <c r="AH16" s="60">
        <v>16293</v>
      </c>
      <c r="AI16" s="60">
        <v>17143</v>
      </c>
      <c r="AJ16" s="60">
        <v>18522</v>
      </c>
      <c r="AK16" s="60">
        <v>20261</v>
      </c>
      <c r="AL16" s="60">
        <v>21245</v>
      </c>
      <c r="AM16" s="60">
        <v>21094</v>
      </c>
      <c r="AN16" s="60">
        <v>24504</v>
      </c>
      <c r="AO16" s="60">
        <v>26178.21225</v>
      </c>
      <c r="AP16" s="60">
        <v>26368.949250000001</v>
      </c>
      <c r="AQ16" s="60">
        <v>27566.993499999997</v>
      </c>
      <c r="AR16" s="60">
        <v>26700.432250000002</v>
      </c>
      <c r="AS16" s="60">
        <v>28323.683249999998</v>
      </c>
      <c r="AT16" s="60">
        <v>31017.4385</v>
      </c>
      <c r="AU16" s="60">
        <v>33030.028000000006</v>
      </c>
      <c r="AV16" s="60">
        <v>37363.791749999997</v>
      </c>
      <c r="AW16" s="60">
        <v>41135.236749999996</v>
      </c>
      <c r="AX16" s="59">
        <v>43141.75</v>
      </c>
      <c r="BB16" s="54"/>
    </row>
    <row r="17" spans="1:76" s="67" customFormat="1">
      <c r="A17" s="71" t="s">
        <v>239</v>
      </c>
      <c r="B17" s="70">
        <v>109</v>
      </c>
      <c r="C17" s="70">
        <v>120</v>
      </c>
      <c r="D17" s="70">
        <v>134</v>
      </c>
      <c r="E17" s="70">
        <v>102</v>
      </c>
      <c r="F17" s="70">
        <v>94</v>
      </c>
      <c r="G17" s="70">
        <v>120</v>
      </c>
      <c r="H17" s="70">
        <v>90</v>
      </c>
      <c r="I17" s="70">
        <v>162</v>
      </c>
      <c r="J17" s="70">
        <v>155</v>
      </c>
      <c r="K17" s="70">
        <v>242</v>
      </c>
      <c r="L17" s="70">
        <v>216</v>
      </c>
      <c r="M17" s="70">
        <v>324</v>
      </c>
      <c r="N17" s="70">
        <v>443</v>
      </c>
      <c r="O17" s="70">
        <v>559</v>
      </c>
      <c r="P17" s="70">
        <v>366</v>
      </c>
      <c r="Q17" s="70">
        <v>446</v>
      </c>
      <c r="R17" s="70">
        <v>495</v>
      </c>
      <c r="S17" s="70">
        <v>920</v>
      </c>
      <c r="T17" s="70">
        <v>926</v>
      </c>
      <c r="U17" s="70">
        <v>1203</v>
      </c>
      <c r="V17" s="70">
        <v>1339</v>
      </c>
      <c r="W17" s="70">
        <v>1613</v>
      </c>
      <c r="X17" s="70">
        <v>1460</v>
      </c>
      <c r="Y17" s="70">
        <v>1694</v>
      </c>
      <c r="Z17" s="70">
        <v>2095</v>
      </c>
      <c r="AA17" s="70">
        <v>2731</v>
      </c>
      <c r="AB17" s="70">
        <v>3208</v>
      </c>
      <c r="AC17" s="70">
        <v>3679</v>
      </c>
      <c r="AD17" s="70">
        <v>3863</v>
      </c>
      <c r="AE17" s="70">
        <v>3830</v>
      </c>
      <c r="AF17" s="70">
        <v>3904</v>
      </c>
      <c r="AG17" s="70">
        <v>4095</v>
      </c>
      <c r="AH17" s="70">
        <v>4106</v>
      </c>
      <c r="AI17" s="70">
        <v>4683</v>
      </c>
      <c r="AJ17" s="70">
        <v>5491</v>
      </c>
      <c r="AK17" s="70">
        <v>5686</v>
      </c>
      <c r="AL17" s="70">
        <v>5690</v>
      </c>
      <c r="AM17" s="70">
        <v>5682</v>
      </c>
      <c r="AN17" s="70">
        <v>7102</v>
      </c>
      <c r="AO17" s="70">
        <v>7513.6582500000004</v>
      </c>
      <c r="AP17" s="70">
        <v>7531.7754999999997</v>
      </c>
      <c r="AQ17" s="70">
        <v>7571.0775000000003</v>
      </c>
      <c r="AR17" s="70">
        <v>7659.3407499999994</v>
      </c>
      <c r="AS17" s="70">
        <v>8082.08025</v>
      </c>
      <c r="AT17" s="70">
        <v>9432.36175</v>
      </c>
      <c r="AU17" s="70">
        <v>9287.1537500000013</v>
      </c>
      <c r="AV17" s="70">
        <v>12170.851999999999</v>
      </c>
      <c r="AW17" s="70">
        <v>14612.89575</v>
      </c>
      <c r="AX17" s="69">
        <v>15543.25</v>
      </c>
      <c r="BB17" s="68"/>
    </row>
    <row r="18" spans="1:76">
      <c r="A18" s="55" t="s">
        <v>238</v>
      </c>
      <c r="B18" s="60">
        <v>471</v>
      </c>
      <c r="C18" s="60">
        <v>476</v>
      </c>
      <c r="D18" s="60">
        <v>494</v>
      </c>
      <c r="E18" s="60">
        <v>545</v>
      </c>
      <c r="F18" s="60">
        <v>589</v>
      </c>
      <c r="G18" s="60">
        <v>568</v>
      </c>
      <c r="H18" s="60">
        <v>614</v>
      </c>
      <c r="I18" s="60">
        <v>658</v>
      </c>
      <c r="J18" s="60">
        <v>718</v>
      </c>
      <c r="K18" s="60">
        <v>801</v>
      </c>
      <c r="L18" s="60">
        <v>813</v>
      </c>
      <c r="M18" s="60">
        <v>873</v>
      </c>
      <c r="N18" s="60">
        <v>1010</v>
      </c>
      <c r="O18" s="60">
        <v>1074</v>
      </c>
      <c r="P18" s="60">
        <v>1257</v>
      </c>
      <c r="Q18" s="60">
        <v>1446</v>
      </c>
      <c r="R18" s="60">
        <v>1700</v>
      </c>
      <c r="S18" s="60">
        <v>1893</v>
      </c>
      <c r="T18" s="60">
        <v>2105</v>
      </c>
      <c r="U18" s="60">
        <v>2800</v>
      </c>
      <c r="V18" s="60">
        <v>2933</v>
      </c>
      <c r="W18" s="60">
        <v>3832</v>
      </c>
      <c r="X18" s="60">
        <v>4158</v>
      </c>
      <c r="Y18" s="60">
        <v>4835</v>
      </c>
      <c r="Z18" s="60">
        <v>5829</v>
      </c>
      <c r="AA18" s="60">
        <v>7061</v>
      </c>
      <c r="AB18" s="60">
        <v>8108</v>
      </c>
      <c r="AC18" s="60">
        <v>8881</v>
      </c>
      <c r="AD18" s="60">
        <v>9397</v>
      </c>
      <c r="AE18" s="60">
        <v>10022</v>
      </c>
      <c r="AF18" s="60">
        <v>10794</v>
      </c>
      <c r="AG18" s="60">
        <v>11467</v>
      </c>
      <c r="AH18" s="60">
        <v>12187</v>
      </c>
      <c r="AI18" s="60">
        <v>12460</v>
      </c>
      <c r="AJ18" s="60">
        <v>13031</v>
      </c>
      <c r="AK18" s="60">
        <v>14575</v>
      </c>
      <c r="AL18" s="60">
        <v>15555</v>
      </c>
      <c r="AM18" s="60">
        <v>15412</v>
      </c>
      <c r="AN18" s="60">
        <v>17402</v>
      </c>
      <c r="AO18" s="60">
        <v>18664.554</v>
      </c>
      <c r="AP18" s="60">
        <v>18837.173750000002</v>
      </c>
      <c r="AQ18" s="60">
        <v>19995.915999999997</v>
      </c>
      <c r="AR18" s="60">
        <v>19041.091500000002</v>
      </c>
      <c r="AS18" s="60">
        <v>20241.602999999999</v>
      </c>
      <c r="AT18" s="60">
        <v>21585.07675</v>
      </c>
      <c r="AU18" s="60">
        <v>23742.874250000001</v>
      </c>
      <c r="AV18" s="60">
        <v>25192.939749999998</v>
      </c>
      <c r="AW18" s="60">
        <v>26522.341</v>
      </c>
      <c r="AX18" s="59">
        <v>27598.5</v>
      </c>
      <c r="BB18" s="54"/>
    </row>
    <row r="19" spans="1:76">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59"/>
      <c r="BB19" s="54"/>
    </row>
    <row r="20" spans="1:76">
      <c r="A20" s="55" t="s">
        <v>240</v>
      </c>
      <c r="B20" s="60">
        <v>8</v>
      </c>
      <c r="C20" s="60">
        <v>10</v>
      </c>
      <c r="D20" s="60">
        <v>14</v>
      </c>
      <c r="E20" s="60">
        <v>12</v>
      </c>
      <c r="F20" s="60">
        <v>10</v>
      </c>
      <c r="G20" s="60">
        <v>10</v>
      </c>
      <c r="H20" s="60">
        <v>26</v>
      </c>
      <c r="I20" s="60">
        <v>12</v>
      </c>
      <c r="J20" s="60">
        <v>15</v>
      </c>
      <c r="K20" s="60">
        <v>29</v>
      </c>
      <c r="L20" s="60">
        <v>26</v>
      </c>
      <c r="M20" s="60">
        <v>41</v>
      </c>
      <c r="N20" s="60">
        <v>28</v>
      </c>
      <c r="O20" s="60">
        <v>29</v>
      </c>
      <c r="P20" s="60">
        <v>30</v>
      </c>
      <c r="Q20" s="60">
        <v>119</v>
      </c>
      <c r="R20" s="60">
        <v>152</v>
      </c>
      <c r="S20" s="60">
        <v>187</v>
      </c>
      <c r="T20" s="60">
        <v>243</v>
      </c>
      <c r="U20" s="60">
        <v>929</v>
      </c>
      <c r="V20" s="60">
        <v>1459</v>
      </c>
      <c r="W20" s="60">
        <v>1895</v>
      </c>
      <c r="X20" s="60">
        <v>1938</v>
      </c>
      <c r="Y20" s="60">
        <v>2059</v>
      </c>
      <c r="Z20" s="60">
        <v>2404</v>
      </c>
      <c r="AA20" s="60">
        <v>3716</v>
      </c>
      <c r="AB20" s="60">
        <v>2154</v>
      </c>
      <c r="AC20" s="60">
        <v>1342</v>
      </c>
      <c r="AD20" s="60">
        <v>1558</v>
      </c>
      <c r="AE20" s="60">
        <v>1072</v>
      </c>
      <c r="AF20" s="60">
        <v>908</v>
      </c>
      <c r="AG20" s="60">
        <v>829</v>
      </c>
      <c r="AH20" s="60">
        <v>598</v>
      </c>
      <c r="AI20" s="60">
        <v>623</v>
      </c>
      <c r="AJ20" s="60">
        <v>558</v>
      </c>
      <c r="AK20" s="60">
        <v>807</v>
      </c>
      <c r="AL20" s="60">
        <v>928</v>
      </c>
      <c r="AM20" s="60">
        <v>839</v>
      </c>
      <c r="AN20" s="60">
        <v>854</v>
      </c>
      <c r="AO20" s="60">
        <v>1060</v>
      </c>
      <c r="AP20" s="60">
        <v>1023</v>
      </c>
      <c r="AQ20" s="60">
        <v>1147</v>
      </c>
      <c r="AR20" s="60">
        <v>1103</v>
      </c>
      <c r="AS20" s="60">
        <v>452</v>
      </c>
      <c r="AT20" s="60">
        <v>778</v>
      </c>
      <c r="AU20" s="60">
        <v>755</v>
      </c>
      <c r="AV20" s="60">
        <v>1317</v>
      </c>
      <c r="AW20" s="60">
        <v>1232</v>
      </c>
      <c r="AX20" s="59">
        <v>1534</v>
      </c>
      <c r="BB20" s="54"/>
    </row>
    <row r="21" spans="1:76" s="67" customFormat="1">
      <c r="A21" s="71" t="s">
        <v>239</v>
      </c>
      <c r="B21" s="70">
        <v>0</v>
      </c>
      <c r="C21" s="70">
        <v>0</v>
      </c>
      <c r="D21" s="70">
        <v>0</v>
      </c>
      <c r="E21" s="70">
        <v>0</v>
      </c>
      <c r="F21" s="70">
        <v>0</v>
      </c>
      <c r="G21" s="70">
        <v>0</v>
      </c>
      <c r="H21" s="70">
        <v>0</v>
      </c>
      <c r="I21" s="70">
        <v>0</v>
      </c>
      <c r="J21" s="70">
        <v>0</v>
      </c>
      <c r="K21" s="70">
        <v>0</v>
      </c>
      <c r="L21" s="70">
        <v>0</v>
      </c>
      <c r="M21" s="70">
        <v>0</v>
      </c>
      <c r="N21" s="70">
        <v>0</v>
      </c>
      <c r="O21" s="70">
        <v>0</v>
      </c>
      <c r="P21" s="70">
        <v>0</v>
      </c>
      <c r="Q21" s="70">
        <v>0</v>
      </c>
      <c r="R21" s="70">
        <v>0</v>
      </c>
      <c r="S21" s="70">
        <v>0</v>
      </c>
      <c r="T21" s="70">
        <v>47</v>
      </c>
      <c r="U21" s="70">
        <v>205</v>
      </c>
      <c r="V21" s="70">
        <v>568</v>
      </c>
      <c r="W21" s="70">
        <v>931</v>
      </c>
      <c r="X21" s="70">
        <v>848</v>
      </c>
      <c r="Y21" s="70">
        <v>1155</v>
      </c>
      <c r="Z21" s="70">
        <v>1246</v>
      </c>
      <c r="AA21" s="70">
        <v>451</v>
      </c>
      <c r="AB21" s="70">
        <v>521</v>
      </c>
      <c r="AC21" s="70">
        <v>426</v>
      </c>
      <c r="AD21" s="70">
        <v>433</v>
      </c>
      <c r="AE21" s="70">
        <v>336</v>
      </c>
      <c r="AF21" s="70">
        <v>136</v>
      </c>
      <c r="AG21" s="70">
        <v>148</v>
      </c>
      <c r="AH21" s="70">
        <v>0</v>
      </c>
      <c r="AI21" s="70">
        <v>-6</v>
      </c>
      <c r="AJ21" s="70">
        <v>-48</v>
      </c>
      <c r="AK21" s="70">
        <v>228</v>
      </c>
      <c r="AL21" s="70">
        <v>357</v>
      </c>
      <c r="AM21" s="70">
        <v>255</v>
      </c>
      <c r="AN21" s="70">
        <v>287</v>
      </c>
      <c r="AO21" s="70">
        <v>464</v>
      </c>
      <c r="AP21" s="70">
        <v>529</v>
      </c>
      <c r="AQ21" s="70">
        <v>664</v>
      </c>
      <c r="AR21" s="70">
        <v>638</v>
      </c>
      <c r="AS21" s="70">
        <v>316</v>
      </c>
      <c r="AT21" s="70">
        <v>620</v>
      </c>
      <c r="AU21" s="70">
        <v>596</v>
      </c>
      <c r="AV21" s="70">
        <v>1122</v>
      </c>
      <c r="AW21" s="70">
        <v>1043</v>
      </c>
      <c r="AX21" s="69">
        <v>1320</v>
      </c>
      <c r="BB21" s="68"/>
    </row>
    <row r="22" spans="1:76">
      <c r="A22" s="55" t="s">
        <v>238</v>
      </c>
      <c r="B22" s="60">
        <v>8</v>
      </c>
      <c r="C22" s="60">
        <v>10</v>
      </c>
      <c r="D22" s="60">
        <v>14</v>
      </c>
      <c r="E22" s="60">
        <v>12</v>
      </c>
      <c r="F22" s="60">
        <v>10</v>
      </c>
      <c r="G22" s="60">
        <v>10</v>
      </c>
      <c r="H22" s="60">
        <v>26</v>
      </c>
      <c r="I22" s="60">
        <v>12</v>
      </c>
      <c r="J22" s="60">
        <v>15</v>
      </c>
      <c r="K22" s="60">
        <v>29</v>
      </c>
      <c r="L22" s="60">
        <v>26</v>
      </c>
      <c r="M22" s="60">
        <v>41</v>
      </c>
      <c r="N22" s="60">
        <v>28</v>
      </c>
      <c r="O22" s="60">
        <v>29</v>
      </c>
      <c r="P22" s="60">
        <v>30</v>
      </c>
      <c r="Q22" s="60">
        <v>119</v>
      </c>
      <c r="R22" s="60">
        <v>152</v>
      </c>
      <c r="S22" s="60">
        <v>187</v>
      </c>
      <c r="T22" s="60">
        <v>196</v>
      </c>
      <c r="U22" s="60">
        <v>724</v>
      </c>
      <c r="V22" s="60">
        <v>891</v>
      </c>
      <c r="W22" s="60">
        <v>964</v>
      </c>
      <c r="X22" s="60">
        <v>1090</v>
      </c>
      <c r="Y22" s="60">
        <v>904</v>
      </c>
      <c r="Z22" s="60">
        <v>1158</v>
      </c>
      <c r="AA22" s="60">
        <v>3265</v>
      </c>
      <c r="AB22" s="60">
        <v>1633</v>
      </c>
      <c r="AC22" s="60">
        <v>916</v>
      </c>
      <c r="AD22" s="60">
        <v>1125</v>
      </c>
      <c r="AE22" s="60">
        <v>736</v>
      </c>
      <c r="AF22" s="60">
        <v>772</v>
      </c>
      <c r="AG22" s="60">
        <v>681</v>
      </c>
      <c r="AH22" s="60">
        <v>598</v>
      </c>
      <c r="AI22" s="60">
        <v>629</v>
      </c>
      <c r="AJ22" s="60">
        <v>606</v>
      </c>
      <c r="AK22" s="60">
        <v>579</v>
      </c>
      <c r="AL22" s="60">
        <v>571</v>
      </c>
      <c r="AM22" s="60">
        <v>584</v>
      </c>
      <c r="AN22" s="60">
        <v>567</v>
      </c>
      <c r="AO22" s="60">
        <v>596</v>
      </c>
      <c r="AP22" s="60">
        <v>494</v>
      </c>
      <c r="AQ22" s="60">
        <v>483</v>
      </c>
      <c r="AR22" s="60">
        <v>465</v>
      </c>
      <c r="AS22" s="60">
        <v>136</v>
      </c>
      <c r="AT22" s="60">
        <v>158</v>
      </c>
      <c r="AU22" s="60">
        <v>159</v>
      </c>
      <c r="AV22" s="60">
        <v>195</v>
      </c>
      <c r="AW22" s="60">
        <v>189</v>
      </c>
      <c r="AX22" s="59">
        <v>214</v>
      </c>
      <c r="BB22" s="54"/>
    </row>
    <row r="23" spans="1:76">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59"/>
      <c r="BB23" s="54"/>
    </row>
    <row r="24" spans="1:76" s="67" customFormat="1">
      <c r="A24" s="71" t="s">
        <v>293</v>
      </c>
      <c r="B24" s="67">
        <v>1956</v>
      </c>
      <c r="C24" s="67">
        <v>1957</v>
      </c>
      <c r="D24" s="67">
        <v>1958</v>
      </c>
      <c r="E24" s="67">
        <v>1959</v>
      </c>
      <c r="F24" s="67">
        <v>1960</v>
      </c>
      <c r="G24" s="67">
        <v>1961</v>
      </c>
      <c r="H24" s="67">
        <v>1962</v>
      </c>
      <c r="I24" s="67">
        <v>1963</v>
      </c>
      <c r="J24" s="67">
        <v>1964</v>
      </c>
      <c r="K24" s="67">
        <v>1965</v>
      </c>
      <c r="L24" s="67">
        <v>1966</v>
      </c>
      <c r="M24" s="67">
        <v>1967</v>
      </c>
      <c r="N24" s="67">
        <v>1968</v>
      </c>
      <c r="O24" s="67">
        <v>1969</v>
      </c>
      <c r="P24" s="67">
        <v>1970</v>
      </c>
      <c r="Q24" s="67">
        <v>1971</v>
      </c>
      <c r="R24" s="67">
        <v>1972</v>
      </c>
      <c r="S24" s="67">
        <v>1973</v>
      </c>
      <c r="T24" s="67">
        <v>1974</v>
      </c>
      <c r="U24" s="67">
        <v>1975</v>
      </c>
      <c r="V24" s="67">
        <v>1976</v>
      </c>
      <c r="W24" s="67">
        <v>1977</v>
      </c>
      <c r="X24" s="67">
        <v>1978</v>
      </c>
      <c r="Y24" s="67">
        <v>1979</v>
      </c>
      <c r="Z24" s="67">
        <v>1980</v>
      </c>
      <c r="AA24" s="67">
        <v>1981</v>
      </c>
      <c r="AB24" s="67">
        <v>1982</v>
      </c>
      <c r="AC24" s="67">
        <v>1983</v>
      </c>
      <c r="AD24" s="67">
        <v>1984</v>
      </c>
      <c r="AE24" s="67">
        <v>1985</v>
      </c>
      <c r="AF24" s="67">
        <v>1986</v>
      </c>
      <c r="AG24" s="67">
        <v>1987</v>
      </c>
      <c r="AH24" s="67">
        <v>1988</v>
      </c>
      <c r="AI24" s="67">
        <v>1989</v>
      </c>
      <c r="AJ24" s="67">
        <v>1990</v>
      </c>
      <c r="AK24" s="67" t="s">
        <v>237</v>
      </c>
      <c r="AL24" s="67" t="s">
        <v>236</v>
      </c>
      <c r="AM24" s="67" t="s">
        <v>235</v>
      </c>
      <c r="AN24" s="67" t="s">
        <v>234</v>
      </c>
      <c r="AO24" s="67">
        <v>1995</v>
      </c>
      <c r="AP24" s="67">
        <v>1996</v>
      </c>
      <c r="AQ24" s="67">
        <v>1997</v>
      </c>
      <c r="AR24" s="67">
        <v>1998</v>
      </c>
      <c r="AS24" s="67">
        <v>1999</v>
      </c>
      <c r="AT24" s="67">
        <v>2000</v>
      </c>
      <c r="AU24" s="67">
        <v>2001</v>
      </c>
      <c r="AV24" s="67">
        <v>2002</v>
      </c>
      <c r="AW24" s="67">
        <v>2003</v>
      </c>
      <c r="AX24" s="68">
        <v>2004</v>
      </c>
      <c r="AY24" s="67">
        <v>2005</v>
      </c>
      <c r="AZ24" s="67">
        <v>2006</v>
      </c>
      <c r="BA24" s="67">
        <v>2007</v>
      </c>
      <c r="BB24" s="68">
        <v>2008</v>
      </c>
      <c r="BC24" s="67">
        <v>2009</v>
      </c>
      <c r="BD24" s="67">
        <v>2010</v>
      </c>
      <c r="BE24" s="67">
        <v>2011</v>
      </c>
      <c r="BF24" s="67">
        <v>2012</v>
      </c>
      <c r="BG24" s="67">
        <v>2013</v>
      </c>
      <c r="BH24" s="67">
        <v>2014</v>
      </c>
      <c r="BI24" s="67">
        <v>2015</v>
      </c>
      <c r="BJ24" s="67">
        <v>2016</v>
      </c>
      <c r="BK24" s="67">
        <v>2017</v>
      </c>
      <c r="BL24" s="67">
        <v>2018</v>
      </c>
      <c r="BM24" s="67">
        <v>2019</v>
      </c>
      <c r="BN24" s="67">
        <v>2020</v>
      </c>
      <c r="BO24" s="67">
        <v>2021</v>
      </c>
      <c r="BP24" s="67">
        <v>2022</v>
      </c>
      <c r="BQ24" s="67">
        <v>2023</v>
      </c>
      <c r="BR24" s="67">
        <v>2024</v>
      </c>
      <c r="BS24" s="67">
        <v>2025</v>
      </c>
      <c r="BT24" s="67">
        <v>2026</v>
      </c>
      <c r="BU24" s="67">
        <v>2027</v>
      </c>
      <c r="BV24" s="67">
        <v>2028</v>
      </c>
      <c r="BW24" s="67">
        <v>2029</v>
      </c>
      <c r="BX24" s="67">
        <v>2030</v>
      </c>
    </row>
    <row r="25" spans="1:76" s="67" customFormat="1">
      <c r="A25" s="71" t="s">
        <v>233</v>
      </c>
      <c r="B25" s="70">
        <f t="shared" ref="B25:AG25" si="0">SUM(B17,B21)</f>
        <v>109</v>
      </c>
      <c r="C25" s="70">
        <f t="shared" si="0"/>
        <v>120</v>
      </c>
      <c r="D25" s="70">
        <f t="shared" si="0"/>
        <v>134</v>
      </c>
      <c r="E25" s="70">
        <f t="shared" si="0"/>
        <v>102</v>
      </c>
      <c r="F25" s="70">
        <f t="shared" si="0"/>
        <v>94</v>
      </c>
      <c r="G25" s="70">
        <f t="shared" si="0"/>
        <v>120</v>
      </c>
      <c r="H25" s="70">
        <f t="shared" si="0"/>
        <v>90</v>
      </c>
      <c r="I25" s="70">
        <f t="shared" si="0"/>
        <v>162</v>
      </c>
      <c r="J25" s="70">
        <f t="shared" si="0"/>
        <v>155</v>
      </c>
      <c r="K25" s="70">
        <f t="shared" si="0"/>
        <v>242</v>
      </c>
      <c r="L25" s="70">
        <f t="shared" si="0"/>
        <v>216</v>
      </c>
      <c r="M25" s="70">
        <f t="shared" si="0"/>
        <v>324</v>
      </c>
      <c r="N25" s="70">
        <f t="shared" si="0"/>
        <v>443</v>
      </c>
      <c r="O25" s="70">
        <f t="shared" si="0"/>
        <v>559</v>
      </c>
      <c r="P25" s="70">
        <f t="shared" si="0"/>
        <v>366</v>
      </c>
      <c r="Q25" s="70">
        <f t="shared" si="0"/>
        <v>446</v>
      </c>
      <c r="R25" s="70">
        <f t="shared" si="0"/>
        <v>495</v>
      </c>
      <c r="S25" s="70">
        <f t="shared" si="0"/>
        <v>920</v>
      </c>
      <c r="T25" s="70">
        <f t="shared" si="0"/>
        <v>973</v>
      </c>
      <c r="U25" s="70">
        <f t="shared" si="0"/>
        <v>1408</v>
      </c>
      <c r="V25" s="70">
        <f t="shared" si="0"/>
        <v>1907</v>
      </c>
      <c r="W25" s="70">
        <f t="shared" si="0"/>
        <v>2544</v>
      </c>
      <c r="X25" s="70">
        <f t="shared" si="0"/>
        <v>2308</v>
      </c>
      <c r="Y25" s="70">
        <f t="shared" si="0"/>
        <v>2849</v>
      </c>
      <c r="Z25" s="70">
        <f t="shared" si="0"/>
        <v>3341</v>
      </c>
      <c r="AA25" s="70">
        <f t="shared" si="0"/>
        <v>3182</v>
      </c>
      <c r="AB25" s="70">
        <f t="shared" si="0"/>
        <v>3729</v>
      </c>
      <c r="AC25" s="70">
        <f t="shared" si="0"/>
        <v>4105</v>
      </c>
      <c r="AD25" s="70">
        <f t="shared" si="0"/>
        <v>4296</v>
      </c>
      <c r="AE25" s="70">
        <f t="shared" si="0"/>
        <v>4166</v>
      </c>
      <c r="AF25" s="70">
        <f t="shared" si="0"/>
        <v>4040</v>
      </c>
      <c r="AG25" s="70">
        <f t="shared" si="0"/>
        <v>4243</v>
      </c>
      <c r="AH25" s="70">
        <f t="shared" ref="AH25:AX25" si="1">SUM(AH17,AH21)</f>
        <v>4106</v>
      </c>
      <c r="AI25" s="70">
        <f t="shared" si="1"/>
        <v>4677</v>
      </c>
      <c r="AJ25" s="70">
        <f t="shared" si="1"/>
        <v>5443</v>
      </c>
      <c r="AK25" s="70">
        <f t="shared" si="1"/>
        <v>5914</v>
      </c>
      <c r="AL25" s="70">
        <f t="shared" si="1"/>
        <v>6047</v>
      </c>
      <c r="AM25" s="70">
        <f t="shared" si="1"/>
        <v>5937</v>
      </c>
      <c r="AN25" s="70">
        <f t="shared" si="1"/>
        <v>7389</v>
      </c>
      <c r="AO25" s="70">
        <f t="shared" si="1"/>
        <v>7977.6582500000004</v>
      </c>
      <c r="AP25" s="70">
        <f t="shared" si="1"/>
        <v>8060.7754999999997</v>
      </c>
      <c r="AQ25" s="70">
        <f t="shared" si="1"/>
        <v>8235.0774999999994</v>
      </c>
      <c r="AR25" s="70">
        <f t="shared" si="1"/>
        <v>8297.3407499999994</v>
      </c>
      <c r="AS25" s="70">
        <f t="shared" si="1"/>
        <v>8398.0802499999991</v>
      </c>
      <c r="AT25" s="70">
        <f t="shared" si="1"/>
        <v>10052.36175</v>
      </c>
      <c r="AU25" s="70">
        <f t="shared" si="1"/>
        <v>9883.1537500000013</v>
      </c>
      <c r="AV25" s="70">
        <f t="shared" si="1"/>
        <v>13292.851999999999</v>
      </c>
      <c r="AW25" s="70">
        <f t="shared" si="1"/>
        <v>15655.89575</v>
      </c>
      <c r="AX25" s="69">
        <f t="shared" si="1"/>
        <v>16863.25</v>
      </c>
      <c r="BB25" s="68"/>
    </row>
    <row r="26" spans="1:76">
      <c r="A26" s="71" t="s">
        <v>250</v>
      </c>
      <c r="B26" s="60"/>
      <c r="C26" s="60"/>
      <c r="D26" s="60"/>
      <c r="E26" s="60"/>
      <c r="F26" s="60">
        <f>F25</f>
        <v>94</v>
      </c>
      <c r="G26" s="60">
        <f t="shared" ref="G26:Z26" si="2">F26*(1+$F$27)</f>
        <v>112.8</v>
      </c>
      <c r="H26" s="60">
        <f t="shared" si="2"/>
        <v>135.35999999999999</v>
      </c>
      <c r="I26" s="60">
        <f t="shared" si="2"/>
        <v>162.43199999999999</v>
      </c>
      <c r="J26" s="60">
        <f t="shared" si="2"/>
        <v>194.91839999999999</v>
      </c>
      <c r="K26" s="60">
        <f t="shared" si="2"/>
        <v>233.90207999999998</v>
      </c>
      <c r="L26" s="60">
        <f t="shared" si="2"/>
        <v>280.68249599999996</v>
      </c>
      <c r="M26" s="60">
        <f t="shared" si="2"/>
        <v>336.81899519999996</v>
      </c>
      <c r="N26" s="60">
        <f t="shared" si="2"/>
        <v>404.18279423999996</v>
      </c>
      <c r="O26" s="60">
        <f t="shared" si="2"/>
        <v>485.01935308799995</v>
      </c>
      <c r="P26" s="60">
        <f t="shared" si="2"/>
        <v>582.02322370559989</v>
      </c>
      <c r="Q26" s="60">
        <f t="shared" si="2"/>
        <v>698.4278684467198</v>
      </c>
      <c r="R26" s="60">
        <f t="shared" si="2"/>
        <v>838.11344213606378</v>
      </c>
      <c r="S26" s="60">
        <f t="shared" si="2"/>
        <v>1005.7361305632764</v>
      </c>
      <c r="T26" s="60">
        <f t="shared" si="2"/>
        <v>1206.8833566759317</v>
      </c>
      <c r="U26" s="60">
        <f t="shared" si="2"/>
        <v>1448.260028011118</v>
      </c>
      <c r="V26" s="60">
        <f t="shared" si="2"/>
        <v>1737.9120336133417</v>
      </c>
      <c r="W26" s="60">
        <f t="shared" si="2"/>
        <v>2085.49444033601</v>
      </c>
      <c r="X26" s="60">
        <f t="shared" si="2"/>
        <v>2502.5933284032121</v>
      </c>
      <c r="Y26" s="60">
        <f t="shared" si="2"/>
        <v>3003.1119940838544</v>
      </c>
      <c r="Z26" s="60">
        <f t="shared" si="2"/>
        <v>3603.7343929006252</v>
      </c>
      <c r="AA26" s="60">
        <f>AA25</f>
        <v>3182</v>
      </c>
      <c r="AB26" s="60">
        <f t="shared" ref="AB26:BG26" si="3">AA26*(1+$AA$27)</f>
        <v>3392.9666000000002</v>
      </c>
      <c r="AC26" s="60">
        <f t="shared" si="3"/>
        <v>3617.9202855800004</v>
      </c>
      <c r="AD26" s="60">
        <f t="shared" si="3"/>
        <v>3857.7884005139545</v>
      </c>
      <c r="AE26" s="60">
        <f t="shared" si="3"/>
        <v>4113.5597714680298</v>
      </c>
      <c r="AF26" s="60">
        <f t="shared" si="3"/>
        <v>4386.2887843163599</v>
      </c>
      <c r="AG26" s="60">
        <f t="shared" si="3"/>
        <v>4677.0997307165344</v>
      </c>
      <c r="AH26" s="60">
        <f t="shared" si="3"/>
        <v>4987.1914428630407</v>
      </c>
      <c r="AI26" s="60">
        <f t="shared" si="3"/>
        <v>5317.8422355248604</v>
      </c>
      <c r="AJ26" s="60">
        <f t="shared" si="3"/>
        <v>5670.4151757401587</v>
      </c>
      <c r="AK26" s="60">
        <f t="shared" si="3"/>
        <v>6046.3637018917316</v>
      </c>
      <c r="AL26" s="60">
        <f t="shared" si="3"/>
        <v>6447.2376153271534</v>
      </c>
      <c r="AM26" s="60">
        <f t="shared" si="3"/>
        <v>6874.6894692233436</v>
      </c>
      <c r="AN26" s="60">
        <f t="shared" si="3"/>
        <v>7330.4813810328515</v>
      </c>
      <c r="AO26" s="60">
        <f t="shared" si="3"/>
        <v>7816.4922965953301</v>
      </c>
      <c r="AP26" s="60">
        <f t="shared" si="3"/>
        <v>8334.7257358595998</v>
      </c>
      <c r="AQ26" s="60">
        <f t="shared" si="3"/>
        <v>8887.3180521470913</v>
      </c>
      <c r="AR26" s="60">
        <f t="shared" si="3"/>
        <v>9476.5472390044433</v>
      </c>
      <c r="AS26" s="60">
        <f t="shared" si="3"/>
        <v>10104.842320950438</v>
      </c>
      <c r="AT26" s="60">
        <f t="shared" si="3"/>
        <v>10774.793366829452</v>
      </c>
      <c r="AU26" s="60">
        <f t="shared" si="3"/>
        <v>11489.162167050245</v>
      </c>
      <c r="AV26" s="60">
        <f t="shared" si="3"/>
        <v>12250.893618725677</v>
      </c>
      <c r="AW26" s="60">
        <f t="shared" si="3"/>
        <v>13063.12786564719</v>
      </c>
      <c r="AX26" s="59">
        <f t="shared" si="3"/>
        <v>13929.213243139598</v>
      </c>
      <c r="AY26" s="64">
        <f t="shared" si="3"/>
        <v>14852.720081159754</v>
      </c>
      <c r="AZ26" s="64">
        <f t="shared" si="3"/>
        <v>15837.455422540646</v>
      </c>
      <c r="BA26" s="64">
        <f t="shared" si="3"/>
        <v>16887.478717055092</v>
      </c>
      <c r="BB26" s="59">
        <f t="shared" si="3"/>
        <v>18007.118555995843</v>
      </c>
      <c r="BC26" s="64">
        <f t="shared" si="3"/>
        <v>19200.990516258367</v>
      </c>
      <c r="BD26" s="64">
        <f t="shared" si="3"/>
        <v>20474.016187486297</v>
      </c>
      <c r="BE26" s="64">
        <f t="shared" si="3"/>
        <v>21831.44346071664</v>
      </c>
      <c r="BF26" s="64">
        <f t="shared" si="3"/>
        <v>23278.868162162154</v>
      </c>
      <c r="BG26" s="64">
        <f t="shared" si="3"/>
        <v>24822.257121313505</v>
      </c>
      <c r="BH26" s="64">
        <f t="shared" ref="BH26:BX26" si="4">BG26*(1+$AA$27)</f>
        <v>26467.972768456591</v>
      </c>
      <c r="BI26" s="64">
        <f t="shared" si="4"/>
        <v>28222.799363005262</v>
      </c>
      <c r="BJ26" s="64">
        <f t="shared" si="4"/>
        <v>30093.970960772513</v>
      </c>
      <c r="BK26" s="64">
        <f t="shared" si="4"/>
        <v>32089.20123547173</v>
      </c>
      <c r="BL26" s="64">
        <f t="shared" si="4"/>
        <v>34216.715277383504</v>
      </c>
      <c r="BM26" s="64">
        <f t="shared" si="4"/>
        <v>36485.283500274032</v>
      </c>
      <c r="BN26" s="64">
        <f t="shared" si="4"/>
        <v>38904.257796342201</v>
      </c>
      <c r="BO26" s="64">
        <f t="shared" si="4"/>
        <v>41483.610088239693</v>
      </c>
      <c r="BP26" s="64">
        <f t="shared" si="4"/>
        <v>44233.973437089982</v>
      </c>
      <c r="BQ26" s="64">
        <f t="shared" si="4"/>
        <v>47166.685875969051</v>
      </c>
      <c r="BR26" s="64">
        <f t="shared" si="4"/>
        <v>50293.837149545798</v>
      </c>
      <c r="BS26" s="64">
        <f t="shared" si="4"/>
        <v>53628.318552560682</v>
      </c>
      <c r="BT26" s="64">
        <f t="shared" si="4"/>
        <v>57183.876072595456</v>
      </c>
      <c r="BU26" s="64">
        <f t="shared" si="4"/>
        <v>60975.167056208535</v>
      </c>
      <c r="BV26" s="64">
        <f t="shared" si="4"/>
        <v>65017.82063203516</v>
      </c>
      <c r="BW26" s="64">
        <f t="shared" si="4"/>
        <v>69328.502139939097</v>
      </c>
      <c r="BX26" s="64">
        <f t="shared" si="4"/>
        <v>73924.981831817058</v>
      </c>
    </row>
    <row r="27" spans="1:76">
      <c r="A27" s="71" t="s">
        <v>258</v>
      </c>
      <c r="B27" s="60"/>
      <c r="C27" s="60"/>
      <c r="D27" s="60"/>
      <c r="E27" s="60"/>
      <c r="F27" s="66">
        <v>0.2</v>
      </c>
      <c r="G27" s="61" t="s">
        <v>248</v>
      </c>
      <c r="H27" s="60"/>
      <c r="I27" s="60"/>
      <c r="J27" s="60"/>
      <c r="K27" s="60"/>
      <c r="L27" s="60"/>
      <c r="M27" s="60"/>
      <c r="N27" s="60"/>
      <c r="O27" s="60"/>
      <c r="P27" s="60"/>
      <c r="Q27" s="60"/>
      <c r="R27" s="60"/>
      <c r="S27" s="60"/>
      <c r="T27" s="60"/>
      <c r="U27" s="60"/>
      <c r="V27" s="60"/>
      <c r="W27" s="60"/>
      <c r="X27" s="60"/>
      <c r="Y27" s="60"/>
      <c r="Z27" s="60"/>
      <c r="AA27" s="65">
        <v>6.6299999999999998E-2</v>
      </c>
      <c r="AB27" s="60"/>
      <c r="AC27" s="60"/>
      <c r="AD27" s="60"/>
      <c r="AE27" s="60"/>
      <c r="AF27" s="60"/>
      <c r="AG27" s="60"/>
      <c r="AH27" s="60"/>
      <c r="AI27" s="60"/>
      <c r="AJ27" s="60"/>
      <c r="AK27" s="60"/>
      <c r="AL27" s="60"/>
      <c r="AM27" s="60"/>
      <c r="AN27" s="60"/>
      <c r="AO27" s="60"/>
      <c r="AP27" s="60"/>
      <c r="AQ27" s="60"/>
      <c r="AR27" s="60"/>
      <c r="AS27" s="60"/>
      <c r="AT27" s="60"/>
      <c r="AU27" s="60"/>
      <c r="AV27" s="60"/>
      <c r="AW27" s="60"/>
      <c r="AX27" s="59"/>
      <c r="AY27" s="53" t="s">
        <v>0</v>
      </c>
      <c r="BB27" s="54"/>
      <c r="BC27" s="64">
        <f>BC26</f>
        <v>19200.990516258367</v>
      </c>
      <c r="BD27" s="64" t="e">
        <f>BC27*(1+Inputs!#REF!)</f>
        <v>#REF!</v>
      </c>
      <c r="BE27" s="64" t="e">
        <f>BD27*(1+Inputs!#REF!)</f>
        <v>#REF!</v>
      </c>
      <c r="BF27" s="64" t="e">
        <f>BE27*(1+Inputs!#REF!)</f>
        <v>#REF!</v>
      </c>
      <c r="BG27" s="64" t="e">
        <f>BF27*(1+Inputs!#REF!)</f>
        <v>#REF!</v>
      </c>
      <c r="BH27" s="64" t="e">
        <f>BG27*(1+Inputs!#REF!)</f>
        <v>#REF!</v>
      </c>
      <c r="BI27" s="64" t="e">
        <f>BH27*(1+Inputs!#REF!)</f>
        <v>#REF!</v>
      </c>
      <c r="BJ27" s="64" t="e">
        <f>BI27*(1+Inputs!#REF!)</f>
        <v>#REF!</v>
      </c>
      <c r="BK27" s="64" t="e">
        <f>BJ27*(1+Inputs!#REF!)</f>
        <v>#REF!</v>
      </c>
      <c r="BL27" s="64" t="e">
        <f>BK27*(1+Inputs!#REF!)</f>
        <v>#REF!</v>
      </c>
      <c r="BM27" s="64" t="e">
        <f>BL27*(1+Inputs!#REF!)</f>
        <v>#REF!</v>
      </c>
      <c r="BN27" s="64" t="e">
        <f>BM27*(1+Inputs!#REF!)</f>
        <v>#REF!</v>
      </c>
      <c r="BO27" s="64" t="e">
        <f>BN27*(1+Inputs!#REF!)</f>
        <v>#REF!</v>
      </c>
      <c r="BP27" s="64" t="e">
        <f>BO27*(1+Inputs!#REF!)</f>
        <v>#REF!</v>
      </c>
      <c r="BQ27" s="64" t="e">
        <f>BP27*(1+Inputs!#REF!)</f>
        <v>#REF!</v>
      </c>
      <c r="BR27" s="64" t="e">
        <f>BQ27*(1+Inputs!#REF!)</f>
        <v>#REF!</v>
      </c>
      <c r="BS27" s="64" t="e">
        <f>BR27*(1+Inputs!#REF!)</f>
        <v>#REF!</v>
      </c>
      <c r="BT27" s="64" t="e">
        <f>BS27*(1+Inputs!#REF!)</f>
        <v>#REF!</v>
      </c>
      <c r="BU27" s="64" t="e">
        <f>BT27*(1+Inputs!#REF!)</f>
        <v>#REF!</v>
      </c>
      <c r="BV27" s="64" t="e">
        <f>BU27*(1+Inputs!#REF!)</f>
        <v>#REF!</v>
      </c>
      <c r="BW27" s="64" t="e">
        <f>BV27*(1+Inputs!#REF!)</f>
        <v>#REF!</v>
      </c>
      <c r="BX27" s="64" t="e">
        <f>BW27*(1+Inputs!#REF!)</f>
        <v>#REF!</v>
      </c>
    </row>
    <row r="28" spans="1:76">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59"/>
      <c r="BB28" s="54"/>
      <c r="BD28" s="63"/>
      <c r="BE28" s="63"/>
      <c r="BF28" s="63"/>
      <c r="BG28" s="63"/>
      <c r="BH28" s="63"/>
      <c r="BI28" s="63"/>
      <c r="BJ28" s="63"/>
      <c r="BK28" s="63"/>
      <c r="BL28" s="63"/>
      <c r="BM28" s="63"/>
      <c r="BN28" s="63"/>
      <c r="BO28" s="63"/>
      <c r="BP28" s="63"/>
      <c r="BQ28" s="63"/>
      <c r="BR28" s="63"/>
      <c r="BS28" s="63"/>
      <c r="BT28" s="63"/>
      <c r="BU28" s="63"/>
      <c r="BV28" s="63"/>
      <c r="BW28" s="63"/>
      <c r="BX28" s="63"/>
    </row>
    <row r="29" spans="1:76">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59"/>
      <c r="BB29" s="54"/>
      <c r="BD29" s="63"/>
      <c r="BE29" s="63"/>
      <c r="BF29" s="63"/>
      <c r="BG29" s="63"/>
      <c r="BH29" s="63"/>
      <c r="BI29" s="63"/>
      <c r="BJ29" s="63"/>
      <c r="BK29" s="63"/>
      <c r="BL29" s="63"/>
      <c r="BM29" s="63"/>
      <c r="BN29" s="63"/>
      <c r="BO29" s="63"/>
      <c r="BP29" s="63"/>
      <c r="BQ29" s="63"/>
      <c r="BR29" s="63"/>
      <c r="BS29" s="63"/>
      <c r="BT29" s="63"/>
      <c r="BU29" s="63"/>
      <c r="BV29" s="63"/>
      <c r="BW29" s="63"/>
      <c r="BX29" s="63"/>
    </row>
    <row r="30" spans="1:76">
      <c r="A30" s="55" t="s">
        <v>291</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59"/>
      <c r="BB30" s="54"/>
      <c r="BC30" s="62" t="e">
        <f>BC26*Inputs!$C$59</f>
        <v>#REF!</v>
      </c>
      <c r="BD30" s="62" t="e">
        <f>BD26*Inputs!$C$59</f>
        <v>#REF!</v>
      </c>
      <c r="BE30" s="62" t="e">
        <f>BE26*Inputs!$C$59</f>
        <v>#REF!</v>
      </c>
      <c r="BF30" s="62" t="e">
        <f>BF26*Inputs!$C$59</f>
        <v>#REF!</v>
      </c>
      <c r="BG30" s="62" t="e">
        <f>BG26*Inputs!$C$59</f>
        <v>#REF!</v>
      </c>
      <c r="BH30" s="62" t="e">
        <f>BH26*Inputs!$C$59</f>
        <v>#REF!</v>
      </c>
      <c r="BI30" s="62" t="e">
        <f>BI26*Inputs!$C$59</f>
        <v>#REF!</v>
      </c>
      <c r="BJ30" s="62" t="e">
        <f>BJ26*Inputs!$C$59</f>
        <v>#REF!</v>
      </c>
      <c r="BK30" s="62" t="e">
        <f>BK26*Inputs!$C$59</f>
        <v>#REF!</v>
      </c>
      <c r="BL30" s="62" t="e">
        <f>BL26*Inputs!$C$59</f>
        <v>#REF!</v>
      </c>
      <c r="BM30" s="62" t="e">
        <f>BM26*Inputs!$C$59</f>
        <v>#REF!</v>
      </c>
      <c r="BN30" s="62" t="e">
        <f>BN26*Inputs!$C$59</f>
        <v>#REF!</v>
      </c>
      <c r="BO30" s="62" t="e">
        <f>BO26*Inputs!$C$59</f>
        <v>#REF!</v>
      </c>
      <c r="BP30" s="62" t="e">
        <f>BP26*Inputs!$C$59</f>
        <v>#REF!</v>
      </c>
      <c r="BQ30" s="62" t="e">
        <f>BQ26*Inputs!$C$59</f>
        <v>#REF!</v>
      </c>
      <c r="BR30" s="62" t="e">
        <f>BR26*Inputs!$C$59</f>
        <v>#REF!</v>
      </c>
      <c r="BS30" s="62" t="e">
        <f>BS26*Inputs!$C$59</f>
        <v>#REF!</v>
      </c>
      <c r="BT30" s="62" t="e">
        <f>BT26*Inputs!$C$59</f>
        <v>#REF!</v>
      </c>
      <c r="BU30" s="62" t="e">
        <f>BU26*Inputs!$C$59</f>
        <v>#REF!</v>
      </c>
      <c r="BV30" s="62" t="e">
        <f>BV26*Inputs!$C$59</f>
        <v>#REF!</v>
      </c>
      <c r="BW30" s="62" t="e">
        <f>BW26*Inputs!$C$59</f>
        <v>#REF!</v>
      </c>
      <c r="BX30" s="62" t="e">
        <f>BX26*Inputs!$C$59</f>
        <v>#REF!</v>
      </c>
    </row>
    <row r="31" spans="1:76">
      <c r="A31" s="55" t="s">
        <v>292</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59"/>
      <c r="BB31" s="54"/>
      <c r="BC31" s="62" t="e">
        <f>BC30*Inputs!$H$59</f>
        <v>#REF!</v>
      </c>
      <c r="BD31" s="62" t="e">
        <f>BD30*Inputs!$H$59</f>
        <v>#REF!</v>
      </c>
      <c r="BE31" s="62" t="e">
        <f>BE30*Inputs!$H$59</f>
        <v>#REF!</v>
      </c>
      <c r="BF31" s="62" t="e">
        <f>BF30*Inputs!$H$59</f>
        <v>#REF!</v>
      </c>
      <c r="BG31" s="62" t="e">
        <f>BG30*Inputs!$H$59</f>
        <v>#REF!</v>
      </c>
      <c r="BH31" s="62" t="e">
        <f>BH30*Inputs!$H$59</f>
        <v>#REF!</v>
      </c>
      <c r="BI31" s="62" t="e">
        <f>BI30*Inputs!$H$59</f>
        <v>#REF!</v>
      </c>
      <c r="BJ31" s="62" t="e">
        <f>BJ30*Inputs!$H$59</f>
        <v>#REF!</v>
      </c>
      <c r="BK31" s="62" t="e">
        <f>BK30*Inputs!$H$59</f>
        <v>#REF!</v>
      </c>
      <c r="BL31" s="62" t="e">
        <f>BL30*Inputs!$H$59</f>
        <v>#REF!</v>
      </c>
      <c r="BM31" s="62" t="e">
        <f>BM30*Inputs!$H$59</f>
        <v>#REF!</v>
      </c>
      <c r="BN31" s="62" t="e">
        <f>BN30*Inputs!$H$59</f>
        <v>#REF!</v>
      </c>
      <c r="BO31" s="62" t="e">
        <f>BO30*Inputs!$H$59</f>
        <v>#REF!</v>
      </c>
      <c r="BP31" s="62" t="e">
        <f>BP30*Inputs!$H$59</f>
        <v>#REF!</v>
      </c>
      <c r="BQ31" s="62" t="e">
        <f>BQ30*Inputs!$H$59</f>
        <v>#REF!</v>
      </c>
      <c r="BR31" s="62" t="e">
        <f>BR30*Inputs!$H$59</f>
        <v>#REF!</v>
      </c>
      <c r="BS31" s="62" t="e">
        <f>BS30*Inputs!$H$59</f>
        <v>#REF!</v>
      </c>
      <c r="BT31" s="62" t="e">
        <f>BT30*Inputs!$H$59</f>
        <v>#REF!</v>
      </c>
      <c r="BU31" s="62" t="e">
        <f>BU30*Inputs!$H$59</f>
        <v>#REF!</v>
      </c>
      <c r="BV31" s="62" t="e">
        <f>BV30*Inputs!$H$59</f>
        <v>#REF!</v>
      </c>
      <c r="BW31" s="62" t="e">
        <f>BW30*Inputs!$H$59</f>
        <v>#REF!</v>
      </c>
      <c r="BX31" s="62" t="e">
        <f>BX30*Inputs!$H$59</f>
        <v>#REF!</v>
      </c>
    </row>
    <row r="32" spans="1:76">
      <c r="A32" s="55" t="s">
        <v>283</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59"/>
      <c r="BB32" s="54"/>
      <c r="BC32" s="62" t="e">
        <f>BC27*Inputs!$C$59</f>
        <v>#REF!</v>
      </c>
      <c r="BD32" s="62" t="e">
        <f>BD27*Inputs!$C$59</f>
        <v>#REF!</v>
      </c>
      <c r="BE32" s="62" t="e">
        <f>BE27*Inputs!$C$59</f>
        <v>#REF!</v>
      </c>
      <c r="BF32" s="62" t="e">
        <f>BF27*Inputs!$C$59</f>
        <v>#REF!</v>
      </c>
      <c r="BG32" s="62" t="e">
        <f>BG27*Inputs!$C$59</f>
        <v>#REF!</v>
      </c>
      <c r="BH32" s="62" t="e">
        <f>BH27*Inputs!$C$59</f>
        <v>#REF!</v>
      </c>
      <c r="BI32" s="62" t="e">
        <f>BI27*Inputs!$C$59</f>
        <v>#REF!</v>
      </c>
      <c r="BJ32" s="62" t="e">
        <f>BJ27*Inputs!$C$59</f>
        <v>#REF!</v>
      </c>
      <c r="BK32" s="62" t="e">
        <f>BK27*Inputs!$C$59</f>
        <v>#REF!</v>
      </c>
      <c r="BL32" s="62" t="e">
        <f>BL27*Inputs!$C$59</f>
        <v>#REF!</v>
      </c>
      <c r="BM32" s="62" t="e">
        <f>BM27*Inputs!$C$59</f>
        <v>#REF!</v>
      </c>
      <c r="BN32" s="62" t="e">
        <f>BN27*Inputs!$C$59</f>
        <v>#REF!</v>
      </c>
      <c r="BO32" s="62" t="e">
        <f>BO27*Inputs!$C$59</f>
        <v>#REF!</v>
      </c>
      <c r="BP32" s="62" t="e">
        <f>BP27*Inputs!$C$59</f>
        <v>#REF!</v>
      </c>
      <c r="BQ32" s="62" t="e">
        <f>BQ27*Inputs!$C$59</f>
        <v>#REF!</v>
      </c>
      <c r="BR32" s="62" t="e">
        <f>BR27*Inputs!$C$59</f>
        <v>#REF!</v>
      </c>
      <c r="BS32" s="62" t="e">
        <f>BS27*Inputs!$C$59</f>
        <v>#REF!</v>
      </c>
      <c r="BT32" s="62" t="e">
        <f>BT27*Inputs!$C$59</f>
        <v>#REF!</v>
      </c>
      <c r="BU32" s="62" t="e">
        <f>BU27*Inputs!$C$59</f>
        <v>#REF!</v>
      </c>
      <c r="BV32" s="62" t="e">
        <f>BV27*Inputs!$C$59</f>
        <v>#REF!</v>
      </c>
      <c r="BW32" s="62" t="e">
        <f>BW27*Inputs!$C$59</f>
        <v>#REF!</v>
      </c>
      <c r="BX32" s="62" t="e">
        <f>BX27*Inputs!$C$59</f>
        <v>#REF!</v>
      </c>
    </row>
    <row r="33" spans="1:76">
      <c r="A33" s="55" t="s">
        <v>284</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59"/>
      <c r="BB33" s="54"/>
      <c r="BC33" s="62" t="e">
        <f>BC32*Inputs!$H$59</f>
        <v>#REF!</v>
      </c>
      <c r="BD33" s="62" t="e">
        <f>BD32*Inputs!$H$59</f>
        <v>#REF!</v>
      </c>
      <c r="BE33" s="62" t="e">
        <f>BE32*Inputs!$H$59</f>
        <v>#REF!</v>
      </c>
      <c r="BF33" s="62" t="e">
        <f>BF32*Inputs!$H$59</f>
        <v>#REF!</v>
      </c>
      <c r="BG33" s="62" t="e">
        <f>BG32*Inputs!$H$59</f>
        <v>#REF!</v>
      </c>
      <c r="BH33" s="62" t="e">
        <f>BH32*Inputs!$H$59</f>
        <v>#REF!</v>
      </c>
      <c r="BI33" s="62" t="e">
        <f>BI32*Inputs!$H$59</f>
        <v>#REF!</v>
      </c>
      <c r="BJ33" s="62" t="e">
        <f>BJ32*Inputs!$H$59</f>
        <v>#REF!</v>
      </c>
      <c r="BK33" s="62" t="e">
        <f>BK32*Inputs!$H$59</f>
        <v>#REF!</v>
      </c>
      <c r="BL33" s="62" t="e">
        <f>BL32*Inputs!$H$59</f>
        <v>#REF!</v>
      </c>
      <c r="BM33" s="62" t="e">
        <f>BM32*Inputs!$H$59</f>
        <v>#REF!</v>
      </c>
      <c r="BN33" s="62" t="e">
        <f>BN32*Inputs!$H$59</f>
        <v>#REF!</v>
      </c>
      <c r="BO33" s="62" t="e">
        <f>BO32*Inputs!$H$59</f>
        <v>#REF!</v>
      </c>
      <c r="BP33" s="62" t="e">
        <f>BP32*Inputs!$H$59</f>
        <v>#REF!</v>
      </c>
      <c r="BQ33" s="62" t="e">
        <f>BQ32*Inputs!$H$59</f>
        <v>#REF!</v>
      </c>
      <c r="BR33" s="62" t="e">
        <f>BR32*Inputs!$H$59</f>
        <v>#REF!</v>
      </c>
      <c r="BS33" s="62" t="e">
        <f>BS32*Inputs!$H$59</f>
        <v>#REF!</v>
      </c>
      <c r="BT33" s="62" t="e">
        <f>BT32*Inputs!$H$59</f>
        <v>#REF!</v>
      </c>
      <c r="BU33" s="62" t="e">
        <f>BU32*Inputs!$H$59</f>
        <v>#REF!</v>
      </c>
      <c r="BV33" s="62" t="e">
        <f>BV32*Inputs!$H$59</f>
        <v>#REF!</v>
      </c>
      <c r="BW33" s="62" t="e">
        <f>BW32*Inputs!$H$59</f>
        <v>#REF!</v>
      </c>
      <c r="BX33" s="62" t="e">
        <f>BX32*Inputs!$H$59</f>
        <v>#REF!</v>
      </c>
    </row>
    <row r="34" spans="1:76">
      <c r="A34" s="55" t="s">
        <v>232</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59"/>
      <c r="BB34" s="54"/>
      <c r="BC34" s="62" t="e">
        <f>BC32-BC30</f>
        <v>#REF!</v>
      </c>
      <c r="BD34" s="62" t="e">
        <f>SUM(BD32:BD33)-SUM(BD30:BD31)</f>
        <v>#REF!</v>
      </c>
      <c r="BE34" s="62" t="e">
        <f t="shared" ref="BE34:BX34" si="5">SUM(BE32:BE33)-SUM(BE30:BE31)</f>
        <v>#REF!</v>
      </c>
      <c r="BF34" s="62" t="e">
        <f t="shared" si="5"/>
        <v>#REF!</v>
      </c>
      <c r="BG34" s="62" t="e">
        <f t="shared" si="5"/>
        <v>#REF!</v>
      </c>
      <c r="BH34" s="62" t="e">
        <f t="shared" si="5"/>
        <v>#REF!</v>
      </c>
      <c r="BI34" s="62" t="e">
        <f t="shared" si="5"/>
        <v>#REF!</v>
      </c>
      <c r="BJ34" s="62" t="e">
        <f t="shared" si="5"/>
        <v>#REF!</v>
      </c>
      <c r="BK34" s="62" t="e">
        <f t="shared" si="5"/>
        <v>#REF!</v>
      </c>
      <c r="BL34" s="62" t="e">
        <f t="shared" si="5"/>
        <v>#REF!</v>
      </c>
      <c r="BM34" s="62" t="e">
        <f t="shared" si="5"/>
        <v>#REF!</v>
      </c>
      <c r="BN34" s="62" t="e">
        <f t="shared" si="5"/>
        <v>#REF!</v>
      </c>
      <c r="BO34" s="62" t="e">
        <f t="shared" si="5"/>
        <v>#REF!</v>
      </c>
      <c r="BP34" s="62" t="e">
        <f t="shared" si="5"/>
        <v>#REF!</v>
      </c>
      <c r="BQ34" s="62" t="e">
        <f t="shared" si="5"/>
        <v>#REF!</v>
      </c>
      <c r="BR34" s="62" t="e">
        <f t="shared" si="5"/>
        <v>#REF!</v>
      </c>
      <c r="BS34" s="62" t="e">
        <f t="shared" si="5"/>
        <v>#REF!</v>
      </c>
      <c r="BT34" s="62" t="e">
        <f t="shared" si="5"/>
        <v>#REF!</v>
      </c>
      <c r="BU34" s="62" t="e">
        <f t="shared" si="5"/>
        <v>#REF!</v>
      </c>
      <c r="BV34" s="62" t="e">
        <f t="shared" si="5"/>
        <v>#REF!</v>
      </c>
      <c r="BW34" s="62" t="e">
        <f t="shared" si="5"/>
        <v>#REF!</v>
      </c>
      <c r="BX34" s="62" t="e">
        <f t="shared" si="5"/>
        <v>#REF!</v>
      </c>
    </row>
    <row r="35" spans="1:76">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59"/>
    </row>
    <row r="36" spans="1:76">
      <c r="A36" s="55" t="s">
        <v>0</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59"/>
    </row>
    <row r="37" spans="1:76">
      <c r="A37" s="61" t="s">
        <v>0</v>
      </c>
      <c r="B37" s="60"/>
      <c r="C37" s="60"/>
      <c r="D37" s="60"/>
      <c r="E37" s="60"/>
      <c r="F37" s="60"/>
      <c r="G37" s="60"/>
      <c r="H37" s="60"/>
      <c r="I37" s="60"/>
      <c r="K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59"/>
    </row>
    <row r="38" spans="1:76">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59"/>
    </row>
    <row r="39" spans="1:76">
      <c r="B39" s="61" t="s">
        <v>230</v>
      </c>
      <c r="C39" s="60"/>
      <c r="D39" s="60"/>
      <c r="F39" s="60"/>
      <c r="G39" s="60"/>
      <c r="H39" s="60"/>
      <c r="I39" s="60"/>
      <c r="J39" s="61" t="s">
        <v>231</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59"/>
    </row>
    <row r="40" spans="1:76">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59"/>
    </row>
    <row r="41" spans="1:76">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59"/>
    </row>
    <row r="42" spans="1:76">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59"/>
    </row>
    <row r="43" spans="1:76">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59"/>
    </row>
    <row r="44" spans="1:76">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59"/>
    </row>
    <row r="45" spans="1:76">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59"/>
    </row>
    <row r="46" spans="1:76">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59"/>
    </row>
    <row r="47" spans="1:76">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59"/>
    </row>
    <row r="48" spans="1:76">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59"/>
    </row>
    <row r="49" spans="1:50">
      <c r="A49" s="58"/>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6"/>
    </row>
    <row r="51" spans="1:50">
      <c r="A51" s="55" t="s">
        <v>229</v>
      </c>
    </row>
    <row r="52" spans="1:50">
      <c r="A52" s="55" t="s">
        <v>228</v>
      </c>
      <c r="B52" s="55"/>
    </row>
    <row r="53" spans="1:50">
      <c r="A53" s="55" t="s">
        <v>227</v>
      </c>
      <c r="B53" s="55"/>
    </row>
    <row r="54" spans="1:50">
      <c r="A54" s="55" t="s">
        <v>226</v>
      </c>
      <c r="B54" s="55"/>
    </row>
    <row r="55" spans="1:50">
      <c r="A55" s="58"/>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6"/>
    </row>
    <row r="61" spans="1:50">
      <c r="A61" s="53"/>
      <c r="D61" s="53">
        <f>EXP(0.185)</f>
        <v>1.2032184401276953</v>
      </c>
      <c r="AX61" s="53"/>
    </row>
  </sheetData>
  <pageMargins left="0.5" right="0.5" top="0.5" bottom="0.5" header="0.5" footer="0.5"/>
  <pageSetup orientation="landscape"/>
  <headerFooter alignWithMargins="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Inputs</vt:lpstr>
      <vt:lpstr>Instructions</vt:lpstr>
      <vt:lpstr>Output -Jobs vs Yr</vt:lpstr>
      <vt:lpstr>Output - Jobs vs Yr (BAU)</vt:lpstr>
      <vt:lpstr>Technologies and jobs per MW</vt:lpstr>
      <vt:lpstr>Refs</vt:lpstr>
      <vt:lpstr>EIA_electricity_aeo2014</vt:lpstr>
      <vt:lpstr>EIA_RE_aeo2014</vt:lpstr>
      <vt:lpstr>backup - Mass Transit</vt:lpstr>
      <vt:lpstr>backup - EIA liq_fuelS_aeo2014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dc:creator>
  <cp:lastModifiedBy>Karim El Alami</cp:lastModifiedBy>
  <dcterms:created xsi:type="dcterms:W3CDTF">2009-01-23T01:26:21Z</dcterms:created>
  <dcterms:modified xsi:type="dcterms:W3CDTF">2015-02-18T22:36:04Z</dcterms:modified>
</cp:coreProperties>
</file>