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680" yWindow="160" windowWidth="26060" windowHeight="143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9" i="27" l="1"/>
  <c r="E38" i="27"/>
  <c r="H38" i="27"/>
  <c r="J38" i="27"/>
  <c r="L38" i="27"/>
  <c r="F38" i="27"/>
  <c r="I38" i="27"/>
  <c r="K38" i="27"/>
  <c r="M38" i="27"/>
  <c r="N38" i="27"/>
  <c r="O36" i="27"/>
  <c r="H35" i="27"/>
  <c r="J35" i="27"/>
  <c r="L35" i="27"/>
  <c r="I35" i="27"/>
  <c r="K35" i="27"/>
  <c r="M35" i="27"/>
  <c r="N35" i="27"/>
  <c r="O35" i="27"/>
  <c r="H34" i="27"/>
  <c r="J34" i="27"/>
  <c r="L34" i="27"/>
  <c r="K34" i="27"/>
  <c r="M34" i="27"/>
  <c r="N34" i="27"/>
  <c r="O34" i="27"/>
  <c r="H33" i="27"/>
  <c r="J33" i="27"/>
  <c r="L33" i="27"/>
  <c r="I33" i="27"/>
  <c r="K33" i="27"/>
  <c r="M33" i="27"/>
  <c r="N33" i="27"/>
  <c r="O33" i="27"/>
  <c r="O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H27" i="27"/>
  <c r="J27" i="27"/>
  <c r="L27" i="27"/>
  <c r="I27" i="27"/>
  <c r="K27" i="27"/>
  <c r="M27" i="27"/>
  <c r="N27" i="27"/>
  <c r="O27" i="27"/>
  <c r="H26" i="27"/>
  <c r="J26" i="27"/>
  <c r="L26" i="27"/>
  <c r="I26" i="27"/>
  <c r="K26" i="27"/>
  <c r="M26" i="27"/>
  <c r="N26" i="27"/>
  <c r="H25" i="27"/>
  <c r="J25" i="27"/>
  <c r="L25" i="27"/>
  <c r="I25" i="27"/>
  <c r="K25" i="27"/>
  <c r="M25" i="27"/>
  <c r="N25" i="27"/>
  <c r="E24" i="27"/>
  <c r="H24" i="27"/>
  <c r="J24" i="27"/>
  <c r="L24" i="27"/>
  <c r="I24" i="27"/>
  <c r="K24" i="27"/>
  <c r="M24" i="27"/>
  <c r="N24" i="27"/>
  <c r="O24" i="27"/>
  <c r="H23" i="27"/>
  <c r="J23" i="27"/>
  <c r="L23" i="27"/>
  <c r="I23" i="27"/>
  <c r="K23" i="27"/>
  <c r="M23" i="27"/>
  <c r="N23" i="27"/>
  <c r="H22" i="27"/>
  <c r="J22" i="27"/>
  <c r="L22" i="27"/>
  <c r="I22" i="27"/>
  <c r="K22" i="27"/>
  <c r="M22" i="27"/>
  <c r="N22" i="27"/>
  <c r="O21" i="27"/>
  <c r="H21" i="27"/>
  <c r="J21" i="27"/>
  <c r="L21" i="27"/>
  <c r="I21" i="27"/>
  <c r="K21" i="27"/>
  <c r="M21" i="27"/>
  <c r="N21" i="27"/>
  <c r="H20" i="27"/>
  <c r="J20" i="27"/>
  <c r="L20" i="27"/>
  <c r="I20" i="27"/>
  <c r="K20" i="27"/>
  <c r="M20" i="27"/>
  <c r="N20" i="27"/>
  <c r="O20" i="27"/>
  <c r="H19" i="27"/>
  <c r="J19" i="27"/>
  <c r="L19" i="27"/>
  <c r="I19" i="27"/>
  <c r="K19" i="27"/>
  <c r="M19" i="27"/>
  <c r="N19" i="27"/>
  <c r="H18" i="27"/>
  <c r="J18" i="27"/>
  <c r="L18" i="27"/>
  <c r="I18" i="27"/>
  <c r="K18" i="27"/>
  <c r="M18" i="27"/>
  <c r="N18" i="27"/>
  <c r="O18" i="27"/>
  <c r="H17" i="27"/>
  <c r="J17" i="27"/>
  <c r="L17" i="27"/>
  <c r="I17" i="27"/>
  <c r="K17" i="27"/>
  <c r="M17" i="27"/>
  <c r="N17" i="27"/>
  <c r="H16" i="27"/>
  <c r="J16" i="27"/>
  <c r="L16" i="27"/>
  <c r="I16" i="27"/>
  <c r="K16" i="27"/>
  <c r="M16" i="27"/>
  <c r="N16" i="27"/>
  <c r="E15" i="27"/>
  <c r="H15" i="27"/>
  <c r="J15" i="27"/>
  <c r="L15" i="27"/>
  <c r="F15" i="27"/>
  <c r="I15" i="27"/>
  <c r="K15" i="27"/>
  <c r="M15" i="27"/>
  <c r="N15" i="27"/>
  <c r="O15" i="27"/>
  <c r="H14" i="27"/>
  <c r="J14" i="27"/>
  <c r="L14" i="27"/>
  <c r="I14" i="27"/>
  <c r="K14" i="27"/>
  <c r="M14" i="27"/>
  <c r="N14" i="27"/>
  <c r="H13" i="27"/>
  <c r="J13" i="27"/>
  <c r="L13" i="27"/>
  <c r="I13" i="27"/>
  <c r="K13" i="27"/>
  <c r="M13" i="27"/>
  <c r="N13" i="27"/>
  <c r="O13" i="27"/>
  <c r="AH13" i="9"/>
  <c r="H108" i="15"/>
  <c r="H113" i="15"/>
  <c r="H118" i="15"/>
  <c r="H135" i="15"/>
  <c r="H140" i="15"/>
  <c r="H145" i="15"/>
  <c r="H179" i="15"/>
  <c r="H47" i="9"/>
  <c r="H52" i="9"/>
  <c r="H55" i="9"/>
  <c r="H65" i="9"/>
  <c r="H70" i="9"/>
  <c r="H73" i="9"/>
  <c r="H176" i="15"/>
  <c r="H182" i="15"/>
  <c r="H185" i="15"/>
  <c r="C30" i="5"/>
  <c r="X7" i="9"/>
  <c r="X10" i="9"/>
  <c r="X11" i="9"/>
  <c r="X12" i="9"/>
  <c r="X16" i="9"/>
  <c r="X13" i="9"/>
  <c r="X14" i="9"/>
  <c r="X8" i="9"/>
  <c r="X18" i="9"/>
  <c r="Z58" i="11"/>
  <c r="X13" i="15"/>
  <c r="X14" i="15"/>
  <c r="D12" i="5"/>
  <c r="N7" i="9"/>
  <c r="N10" i="9"/>
  <c r="N11" i="9"/>
  <c r="N12" i="9"/>
  <c r="N16" i="9"/>
  <c r="N13" i="9"/>
  <c r="N14" i="9"/>
  <c r="N8" i="9"/>
  <c r="N18" i="9"/>
  <c r="P58" i="11"/>
  <c r="N13" i="15"/>
  <c r="N14" i="15"/>
  <c r="D11" i="5"/>
  <c r="E12" i="5"/>
  <c r="AH7" i="9"/>
  <c r="AH10" i="9"/>
  <c r="AH11" i="9"/>
  <c r="AH12" i="9"/>
  <c r="AH16" i="9"/>
  <c r="AH14" i="9"/>
  <c r="AH8" i="9"/>
  <c r="AH18" i="9"/>
  <c r="AJ58" i="11"/>
  <c r="AH13" i="15"/>
  <c r="AH14" i="15"/>
  <c r="D13" i="5"/>
  <c r="E13" i="5"/>
  <c r="G13" i="5"/>
  <c r="G12" i="5"/>
  <c r="AI58" i="11"/>
  <c r="AH58" i="11"/>
  <c r="AG58" i="11"/>
  <c r="AF58" i="11"/>
  <c r="AE58" i="11"/>
  <c r="AD58" i="11"/>
  <c r="AC58" i="11"/>
  <c r="AB58" i="11"/>
  <c r="AA58" i="11"/>
  <c r="Y58" i="11"/>
  <c r="X58" i="11"/>
  <c r="W58" i="11"/>
  <c r="V58" i="11"/>
  <c r="U58" i="11"/>
  <c r="T58" i="11"/>
  <c r="S58" i="11"/>
  <c r="R58" i="11"/>
  <c r="Q58" i="11"/>
  <c r="O58" i="11"/>
  <c r="N58" i="11"/>
  <c r="M58" i="11"/>
  <c r="L58" i="11"/>
  <c r="K58" i="11"/>
  <c r="J58" i="11"/>
  <c r="I58" i="11"/>
  <c r="H58" i="11"/>
  <c r="G58" i="11"/>
  <c r="F58" i="11"/>
  <c r="E58" i="11"/>
  <c r="D58" i="11"/>
  <c r="C58" i="11"/>
  <c r="B58" i="11"/>
  <c r="F56" i="11"/>
  <c r="E56" i="11"/>
  <c r="D56" i="11"/>
  <c r="C56" i="11"/>
  <c r="B56" i="11"/>
  <c r="E60" i="11"/>
  <c r="F60" i="11"/>
  <c r="G60" i="11"/>
  <c r="H60" i="11"/>
  <c r="I60" i="11"/>
  <c r="J60" i="11"/>
  <c r="K60" i="11"/>
  <c r="L60" i="11"/>
  <c r="M60" i="11"/>
  <c r="N60" i="11"/>
  <c r="O60" i="11"/>
  <c r="P60" i="11"/>
  <c r="Q60" i="11"/>
  <c r="R60" i="11"/>
  <c r="S60" i="11"/>
  <c r="T60" i="11"/>
  <c r="U60" i="11"/>
  <c r="V60" i="11"/>
  <c r="W60" i="11"/>
  <c r="X60" i="11"/>
  <c r="Y60" i="11"/>
  <c r="Z60" i="11"/>
  <c r="AA60" i="11"/>
  <c r="AB60" i="11"/>
  <c r="AC60" i="11"/>
  <c r="AD60" i="11"/>
  <c r="AE60" i="11"/>
  <c r="AF60" i="11"/>
  <c r="AG60" i="11"/>
  <c r="AH60" i="11"/>
  <c r="AI60" i="11"/>
  <c r="AJ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D17" i="5"/>
  <c r="C17" i="5"/>
  <c r="D18" i="5"/>
  <c r="C18" i="5"/>
  <c r="D19" i="5"/>
  <c r="C19" i="5"/>
  <c r="D20" i="5"/>
  <c r="C20" i="5"/>
  <c r="D21" i="5"/>
  <c r="C21" i="5"/>
  <c r="D22" i="5"/>
  <c r="C22" i="5"/>
  <c r="D23" i="5"/>
  <c r="C23" i="5"/>
  <c r="C24" i="5"/>
  <c r="E17" i="5"/>
  <c r="N16" i="15"/>
  <c r="N19" i="15"/>
  <c r="N20" i="15"/>
  <c r="N21" i="15"/>
  <c r="N34" i="15"/>
  <c r="D35" i="5"/>
  <c r="C35" i="5"/>
  <c r="N26" i="15"/>
  <c r="N31" i="15"/>
  <c r="D36" i="5"/>
  <c r="C36" i="5"/>
  <c r="N18" i="15"/>
  <c r="N32" i="15"/>
  <c r="E19" i="5"/>
  <c r="N35" i="15"/>
  <c r="E20" i="5"/>
  <c r="N37" i="15"/>
  <c r="E21" i="5"/>
  <c r="N38" i="15"/>
  <c r="E22" i="5"/>
  <c r="N39" i="15"/>
  <c r="E18" i="5"/>
  <c r="N40" i="15"/>
  <c r="E23" i="5"/>
  <c r="N42" i="15"/>
  <c r="N43" i="15"/>
  <c r="N30" i="15"/>
  <c r="N46" i="15"/>
  <c r="N47" i="15"/>
  <c r="N48" i="15"/>
  <c r="N49" i="15"/>
  <c r="N86" i="15"/>
  <c r="H32" i="15"/>
  <c r="H13" i="9"/>
  <c r="H38" i="15"/>
  <c r="H14" i="9"/>
  <c r="H39" i="15"/>
  <c r="H7" i="9"/>
  <c r="H31" i="15"/>
  <c r="H10" i="9"/>
  <c r="H34" i="15"/>
  <c r="H11" i="9"/>
  <c r="H35" i="15"/>
  <c r="H12" i="9"/>
  <c r="H37" i="15"/>
  <c r="H16" i="9"/>
  <c r="H42" i="15"/>
  <c r="H40" i="15"/>
  <c r="H43" i="15"/>
  <c r="H46" i="15"/>
  <c r="H14" i="15"/>
  <c r="H30" i="15"/>
  <c r="H47" i="15"/>
  <c r="H48" i="15"/>
  <c r="H49" i="15"/>
  <c r="H86" i="15"/>
  <c r="N71" i="15"/>
  <c r="D58" i="15"/>
  <c r="D13" i="15"/>
  <c r="D14" i="15"/>
  <c r="D10" i="9"/>
  <c r="D34" i="15"/>
  <c r="C26" i="15"/>
  <c r="D26" i="15"/>
  <c r="D31" i="15"/>
  <c r="C18" i="15"/>
  <c r="D18" i="15"/>
  <c r="D32" i="15"/>
  <c r="C59" i="15"/>
  <c r="N87" i="15"/>
  <c r="H87" i="15"/>
  <c r="N72"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N94" i="15"/>
  <c r="H94" i="15"/>
  <c r="N79"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X46" i="15"/>
  <c r="Y46" i="15"/>
  <c r="Z46" i="15"/>
  <c r="AA46" i="15"/>
  <c r="AB46" i="15"/>
  <c r="AC46" i="15"/>
  <c r="AD46" i="15"/>
  <c r="AE46" i="15"/>
  <c r="AF46" i="15"/>
  <c r="AG46" i="15"/>
  <c r="AH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F23" i="5"/>
  <c r="X42" i="15"/>
  <c r="D29" i="5"/>
  <c r="C29" i="5"/>
  <c r="D28" i="5"/>
  <c r="C28" i="5"/>
  <c r="F35" i="5"/>
  <c r="X26" i="15"/>
  <c r="X31" i="15"/>
  <c r="F36" i="5"/>
  <c r="X18" i="15"/>
  <c r="X32" i="15"/>
  <c r="F17" i="5"/>
  <c r="X34" i="15"/>
  <c r="F19" i="5"/>
  <c r="X35" i="15"/>
  <c r="F20" i="5"/>
  <c r="X37" i="15"/>
  <c r="F21" i="5"/>
  <c r="X38" i="15"/>
  <c r="F22" i="5"/>
  <c r="X39" i="15"/>
  <c r="F18" i="5"/>
  <c r="X40" i="15"/>
  <c r="X43" i="15"/>
  <c r="F34" i="5"/>
  <c r="X24" i="15"/>
  <c r="X30" i="15"/>
  <c r="X47" i="15"/>
  <c r="X48" i="15"/>
  <c r="X49" i="15"/>
  <c r="X66" i="15"/>
  <c r="I23" i="5"/>
  <c r="AH42" i="15"/>
  <c r="H35" i="5"/>
  <c r="AH26" i="15"/>
  <c r="AH31" i="15"/>
  <c r="H36" i="5"/>
  <c r="AH18" i="15"/>
  <c r="AH32" i="15"/>
  <c r="I17" i="5"/>
  <c r="AH34" i="15"/>
  <c r="I19" i="5"/>
  <c r="AH35" i="15"/>
  <c r="I20" i="5"/>
  <c r="AH37" i="15"/>
  <c r="I21" i="5"/>
  <c r="AH38" i="15"/>
  <c r="I22" i="5"/>
  <c r="AH39" i="15"/>
  <c r="I18" i="5"/>
  <c r="AH40" i="15"/>
  <c r="AH43" i="15"/>
  <c r="H34" i="5"/>
  <c r="AH24" i="15"/>
  <c r="AH30" i="15"/>
  <c r="AH47" i="15"/>
  <c r="AH48" i="15"/>
  <c r="AH49" i="15"/>
  <c r="AH94" i="15"/>
  <c r="X94" i="15"/>
  <c r="AH79" i="15"/>
  <c r="Y66" i="15"/>
  <c r="Z66" i="15"/>
  <c r="AA66" i="15"/>
  <c r="AB66" i="15"/>
  <c r="AC66" i="15"/>
  <c r="AD66" i="15"/>
  <c r="AE66" i="15"/>
  <c r="AF66" i="15"/>
  <c r="AG66" i="15"/>
  <c r="AG13" i="15"/>
  <c r="AG14" i="15"/>
  <c r="AG16" i="9"/>
  <c r="AG42" i="15"/>
  <c r="AF13" i="15"/>
  <c r="AF14" i="15"/>
  <c r="AF16" i="9"/>
  <c r="AF42" i="15"/>
  <c r="AE13" i="15"/>
  <c r="AE14" i="15"/>
  <c r="AE16" i="9"/>
  <c r="AE42" i="15"/>
  <c r="AD13" i="15"/>
  <c r="AD14" i="15"/>
  <c r="AD16" i="9"/>
  <c r="AD42" i="15"/>
  <c r="AC13" i="15"/>
  <c r="AC14" i="15"/>
  <c r="AC16" i="9"/>
  <c r="AC42" i="15"/>
  <c r="AB13" i="15"/>
  <c r="AB14" i="15"/>
  <c r="AB16" i="9"/>
  <c r="AB42" i="15"/>
  <c r="AA13" i="15"/>
  <c r="AA14" i="15"/>
  <c r="AA16" i="9"/>
  <c r="AA42" i="15"/>
  <c r="Z13" i="15"/>
  <c r="Z14" i="15"/>
  <c r="Z16" i="9"/>
  <c r="Z42" i="15"/>
  <c r="Y13" i="15"/>
  <c r="Y14" i="15"/>
  <c r="Y16" i="9"/>
  <c r="Y42" i="15"/>
  <c r="X64" i="15"/>
  <c r="AH92" i="15"/>
  <c r="X92" i="15"/>
  <c r="AH77" i="15"/>
  <c r="Y64" i="15"/>
  <c r="Z64" i="15"/>
  <c r="AA64" i="15"/>
  <c r="AB64" i="15"/>
  <c r="AC64" i="15"/>
  <c r="AD64" i="15"/>
  <c r="AE64" i="15"/>
  <c r="AF64" i="15"/>
  <c r="AG64" i="15"/>
  <c r="AG40" i="15"/>
  <c r="AF40" i="15"/>
  <c r="AE40" i="15"/>
  <c r="AD40" i="15"/>
  <c r="AC40" i="15"/>
  <c r="AB40" i="15"/>
  <c r="AA40" i="15"/>
  <c r="Z40" i="15"/>
  <c r="Y40" i="15"/>
  <c r="X63" i="15"/>
  <c r="AH91" i="15"/>
  <c r="X91" i="15"/>
  <c r="AH76" i="15"/>
  <c r="Y63" i="15"/>
  <c r="Z63" i="15"/>
  <c r="AA63" i="15"/>
  <c r="AB63" i="15"/>
  <c r="AC63" i="15"/>
  <c r="AD63" i="15"/>
  <c r="AE63" i="15"/>
  <c r="AF63" i="15"/>
  <c r="AG63" i="15"/>
  <c r="AG14" i="9"/>
  <c r="AG39" i="15"/>
  <c r="AF14" i="9"/>
  <c r="AF39" i="15"/>
  <c r="AE14" i="9"/>
  <c r="AE39" i="15"/>
  <c r="AD14" i="9"/>
  <c r="AD39" i="15"/>
  <c r="AC14" i="9"/>
  <c r="AC39" i="15"/>
  <c r="AB14" i="9"/>
  <c r="AB39" i="15"/>
  <c r="AA14" i="9"/>
  <c r="AA39" i="15"/>
  <c r="Z14" i="9"/>
  <c r="Z39" i="15"/>
  <c r="Y14" i="9"/>
  <c r="Y39" i="15"/>
  <c r="X62" i="15"/>
  <c r="AH90" i="15"/>
  <c r="X90" i="15"/>
  <c r="AH75" i="15"/>
  <c r="Y62" i="15"/>
  <c r="Z62" i="15"/>
  <c r="AA62" i="15"/>
  <c r="AB62" i="15"/>
  <c r="AC62" i="15"/>
  <c r="AD62" i="15"/>
  <c r="AE62" i="15"/>
  <c r="AF62" i="15"/>
  <c r="AG62" i="15"/>
  <c r="AG13" i="9"/>
  <c r="AG38" i="15"/>
  <c r="AF13" i="9"/>
  <c r="AF38" i="15"/>
  <c r="AE13" i="9"/>
  <c r="AE38" i="15"/>
  <c r="AD13" i="9"/>
  <c r="AD38" i="15"/>
  <c r="AC13" i="9"/>
  <c r="AC38" i="15"/>
  <c r="AB13" i="9"/>
  <c r="AB38" i="15"/>
  <c r="AA13" i="9"/>
  <c r="AA38" i="15"/>
  <c r="Z13" i="9"/>
  <c r="Z38" i="15"/>
  <c r="Y13" i="9"/>
  <c r="Y38" i="15"/>
  <c r="X61" i="15"/>
  <c r="AH89" i="15"/>
  <c r="X89" i="15"/>
  <c r="AH74" i="15"/>
  <c r="Y61" i="15"/>
  <c r="Z61" i="15"/>
  <c r="AA61" i="15"/>
  <c r="AB61" i="15"/>
  <c r="AC61" i="15"/>
  <c r="AD61" i="15"/>
  <c r="AE61" i="15"/>
  <c r="AF61" i="15"/>
  <c r="AG61" i="15"/>
  <c r="AG12" i="9"/>
  <c r="AG37" i="15"/>
  <c r="AF12" i="9"/>
  <c r="AF37" i="15"/>
  <c r="AE12" i="9"/>
  <c r="AE37" i="15"/>
  <c r="AD12" i="9"/>
  <c r="AD37" i="15"/>
  <c r="AC12" i="9"/>
  <c r="AC37" i="15"/>
  <c r="AB12" i="9"/>
  <c r="AB37" i="15"/>
  <c r="AA12" i="9"/>
  <c r="AA37" i="15"/>
  <c r="Z12" i="9"/>
  <c r="Z37" i="15"/>
  <c r="Y12" i="9"/>
  <c r="Y37" i="15"/>
  <c r="X59" i="15"/>
  <c r="AH87" i="15"/>
  <c r="X87" i="15"/>
  <c r="AH72" i="15"/>
  <c r="Y59" i="15"/>
  <c r="Z59" i="15"/>
  <c r="AA59" i="15"/>
  <c r="AB59" i="15"/>
  <c r="AC59" i="15"/>
  <c r="AD59" i="15"/>
  <c r="AE59" i="15"/>
  <c r="AF59" i="15"/>
  <c r="AG59" i="15"/>
  <c r="AG11" i="9"/>
  <c r="AG35" i="15"/>
  <c r="AF11" i="9"/>
  <c r="AF35" i="15"/>
  <c r="AE11" i="9"/>
  <c r="AE35" i="15"/>
  <c r="AD11" i="9"/>
  <c r="AD35" i="15"/>
  <c r="AC11" i="9"/>
  <c r="AC35" i="15"/>
  <c r="AB11" i="9"/>
  <c r="AB35" i="15"/>
  <c r="AA11" i="9"/>
  <c r="AA35" i="15"/>
  <c r="Z11" i="9"/>
  <c r="Z35" i="15"/>
  <c r="Y11" i="9"/>
  <c r="Y35" i="15"/>
  <c r="X58" i="15"/>
  <c r="AH86" i="15"/>
  <c r="X86" i="15"/>
  <c r="AH71" i="15"/>
  <c r="Y58" i="15"/>
  <c r="Z58" i="15"/>
  <c r="AA58" i="15"/>
  <c r="AB58" i="15"/>
  <c r="AC58" i="15"/>
  <c r="AD58" i="15"/>
  <c r="AE58" i="15"/>
  <c r="AF58" i="15"/>
  <c r="AG58" i="15"/>
  <c r="AG10" i="9"/>
  <c r="AG34" i="15"/>
  <c r="AF10" i="9"/>
  <c r="AF34" i="15"/>
  <c r="AE10" i="9"/>
  <c r="AE34" i="15"/>
  <c r="AD10" i="9"/>
  <c r="AD34" i="15"/>
  <c r="AC10" i="9"/>
  <c r="AC34" i="15"/>
  <c r="AB10" i="9"/>
  <c r="AB34" i="15"/>
  <c r="AA10" i="9"/>
  <c r="AA34" i="15"/>
  <c r="Z10" i="9"/>
  <c r="Z34" i="15"/>
  <c r="Y10" i="9"/>
  <c r="Y34"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X72"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X79"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H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D30" i="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29"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49" i="15"/>
  <c r="H252" i="15"/>
  <c r="H250" i="15"/>
  <c r="H251" i="15"/>
  <c r="H253" i="15"/>
  <c r="H254" i="15"/>
  <c r="H100"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Y24" i="15"/>
  <c r="Z24"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127" i="15"/>
  <c r="H212" i="15"/>
  <c r="H233" i="15"/>
  <c r="J232" i="15"/>
  <c r="J210" i="15"/>
  <c r="J231" i="15"/>
  <c r="O211" i="15"/>
  <c r="O127" i="15"/>
  <c r="O212" i="15"/>
  <c r="O233" i="15"/>
  <c r="M211" i="15"/>
  <c r="M127" i="15"/>
  <c r="M212" i="15"/>
  <c r="M233" i="15"/>
  <c r="L232" i="15"/>
  <c r="L210" i="15"/>
  <c r="L231" i="15"/>
  <c r="Y30" i="15"/>
  <c r="X210" i="15"/>
  <c r="X231" i="15"/>
  <c r="X232" i="15"/>
  <c r="K211" i="15"/>
  <c r="K127" i="15"/>
  <c r="K212" i="15"/>
  <c r="K233" i="15"/>
  <c r="I210" i="15"/>
  <c r="I231" i="15"/>
  <c r="I232" i="15"/>
  <c r="P211" i="15"/>
  <c r="P127" i="15"/>
  <c r="P212" i="15"/>
  <c r="P233" i="15"/>
  <c r="F24" i="5"/>
  <c r="I24" i="5"/>
  <c r="AH108" i="15"/>
  <c r="AH135" i="15"/>
  <c r="AH112" i="15"/>
  <c r="AH139" i="15"/>
  <c r="X108" i="15"/>
  <c r="X135" i="15"/>
  <c r="Y26" i="15"/>
  <c r="AH109" i="15"/>
  <c r="AH136" i="15"/>
  <c r="AH102" i="15"/>
  <c r="X105" i="15"/>
  <c r="X132" i="15"/>
  <c r="X112" i="15"/>
  <c r="X139" i="15"/>
  <c r="N102" i="15"/>
  <c r="N129" i="15"/>
  <c r="F37" i="5"/>
  <c r="C25" i="5"/>
  <c r="C40" i="5"/>
  <c r="P26" i="15"/>
  <c r="O31" i="15"/>
  <c r="O102" i="15"/>
  <c r="O129" i="15"/>
  <c r="X109" i="15"/>
  <c r="X136" i="15"/>
  <c r="AH105" i="15"/>
  <c r="AH132" i="15"/>
  <c r="Y18" i="15"/>
  <c r="Z18" i="15"/>
  <c r="AA18" i="15"/>
  <c r="AB18" i="15"/>
  <c r="AC18" i="15"/>
  <c r="AD18" i="15"/>
  <c r="AE18" i="15"/>
  <c r="AF18" i="15"/>
  <c r="AG18" i="15"/>
  <c r="C119" i="15"/>
  <c r="C180" i="15"/>
  <c r="P210" i="15"/>
  <c r="P231" i="15"/>
  <c r="P232" i="15"/>
  <c r="Z30" i="15"/>
  <c r="AA24"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Z26" i="15"/>
  <c r="Y31" i="15"/>
  <c r="N105" i="15"/>
  <c r="N132" i="15"/>
  <c r="N108" i="15"/>
  <c r="N135" i="15"/>
  <c r="AH104" i="15"/>
  <c r="AH44" i="15"/>
  <c r="Q26" i="15"/>
  <c r="P31" i="15"/>
  <c r="P102" i="15"/>
  <c r="P129" i="15"/>
  <c r="N109" i="15"/>
  <c r="N136" i="15"/>
  <c r="N107" i="15"/>
  <c r="N134" i="15"/>
  <c r="X102" i="15"/>
  <c r="X104" i="15"/>
  <c r="X44" i="15"/>
  <c r="X45" i="15"/>
  <c r="C241" i="15"/>
  <c r="C219" i="15"/>
  <c r="AA30" i="15"/>
  <c r="AB24" i="15"/>
  <c r="G26" i="15"/>
  <c r="AA26" i="15"/>
  <c r="Z31"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AB30" i="15"/>
  <c r="AC24" i="15"/>
  <c r="Y129" i="15"/>
  <c r="AH213" i="15"/>
  <c r="AH235" i="15"/>
  <c r="F102" i="15"/>
  <c r="F129" i="15"/>
  <c r="N131" i="15"/>
  <c r="N142" i="15"/>
  <c r="N215" i="15"/>
  <c r="N236" i="15"/>
  <c r="N115" i="15"/>
  <c r="N214" i="15"/>
  <c r="R31" i="15"/>
  <c r="R102" i="15"/>
  <c r="R129" i="15"/>
  <c r="S26" i="15"/>
  <c r="AA31" i="15"/>
  <c r="AB26" i="15"/>
  <c r="Z102" i="15"/>
  <c r="X214" i="15"/>
  <c r="X123" i="15"/>
  <c r="G31" i="15"/>
  <c r="AD24" i="15"/>
  <c r="AC30" i="15"/>
  <c r="X213" i="15"/>
  <c r="X235" i="15"/>
  <c r="AC26" i="15"/>
  <c r="AB31" i="15"/>
  <c r="G102" i="15"/>
  <c r="G129" i="15"/>
  <c r="Z129" i="15"/>
  <c r="AA102" i="15"/>
  <c r="T26" i="15"/>
  <c r="S31" i="15"/>
  <c r="S102" i="15"/>
  <c r="S129" i="15"/>
  <c r="N213" i="15"/>
  <c r="N235" i="15"/>
  <c r="AH223" i="15"/>
  <c r="AH234" i="15"/>
  <c r="H103" i="15"/>
  <c r="H130" i="15"/>
  <c r="AE24" i="15"/>
  <c r="AD30" i="15"/>
  <c r="I31" i="15"/>
  <c r="U26" i="15"/>
  <c r="T31" i="15"/>
  <c r="T102" i="15"/>
  <c r="T129" i="15"/>
  <c r="X223" i="15"/>
  <c r="X234" i="15"/>
  <c r="AA129" i="15"/>
  <c r="AB102" i="15"/>
  <c r="N234" i="15"/>
  <c r="N223" i="15"/>
  <c r="AD26" i="15"/>
  <c r="AC31" i="15"/>
  <c r="H102" i="15"/>
  <c r="H129" i="15"/>
  <c r="AH244" i="15"/>
  <c r="AE30" i="15"/>
  <c r="AF24" i="15"/>
  <c r="AC102" i="15"/>
  <c r="I102" i="15"/>
  <c r="I129" i="15"/>
  <c r="N244" i="15"/>
  <c r="AD31" i="15"/>
  <c r="AE26" i="15"/>
  <c r="X244" i="15"/>
  <c r="U31" i="15"/>
  <c r="U102" i="15"/>
  <c r="U129" i="15"/>
  <c r="V26" i="15"/>
  <c r="AB129" i="15"/>
  <c r="J31" i="15"/>
  <c r="AF30" i="15"/>
  <c r="AG24" i="15"/>
  <c r="AG30" i="15"/>
  <c r="J102" i="15"/>
  <c r="J129" i="15"/>
  <c r="K31" i="15"/>
  <c r="AF26" i="15"/>
  <c r="AE31" i="15"/>
  <c r="W26" i="15"/>
  <c r="W31" i="15"/>
  <c r="W102" i="15"/>
  <c r="W129" i="15"/>
  <c r="V31" i="15"/>
  <c r="V102" i="15"/>
  <c r="V129" i="15"/>
  <c r="AD102" i="15"/>
  <c r="AC129" i="15"/>
  <c r="AE102" i="15"/>
  <c r="AF31" i="15"/>
  <c r="AG26" i="15"/>
  <c r="AG31" i="15"/>
  <c r="AD129" i="15"/>
  <c r="M31" i="15"/>
  <c r="M102" i="15"/>
  <c r="M129" i="15"/>
  <c r="L31" i="15"/>
  <c r="K102" i="15"/>
  <c r="K129" i="15"/>
  <c r="AE129" i="15"/>
  <c r="L102" i="15"/>
  <c r="L129" i="15"/>
  <c r="AG102" i="15"/>
  <c r="AF102" i="15"/>
  <c r="AG129" i="15"/>
  <c r="AF129" i="15"/>
  <c r="C67" i="15"/>
  <c r="AB32" i="15"/>
  <c r="AB103" i="15"/>
  <c r="AA32" i="15"/>
  <c r="AA103" i="15"/>
  <c r="AA114" i="15"/>
  <c r="AA217" i="15"/>
  <c r="AC32" i="15"/>
  <c r="AE32" i="15"/>
  <c r="Z32" i="15"/>
  <c r="Y32" i="15"/>
  <c r="Y103" i="15"/>
  <c r="AD32" i="15"/>
  <c r="AF32" i="15"/>
  <c r="AG32"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93" i="15"/>
  <c r="AH59" i="15"/>
  <c r="AH61" i="15"/>
  <c r="AH65" i="15"/>
  <c r="AH50" i="15"/>
  <c r="AH66" i="15"/>
  <c r="AH58" i="15"/>
  <c r="AH85" i="15"/>
  <c r="AH57" i="15"/>
  <c r="Z141" i="15"/>
  <c r="Z218" i="15"/>
  <c r="Z239" i="15"/>
  <c r="X241" i="15"/>
  <c r="X84" i="15"/>
  <c r="X50" i="15"/>
  <c r="X56" i="15"/>
  <c r="X88" i="15"/>
  <c r="X65" i="15"/>
  <c r="X93"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43" i="15"/>
  <c r="Y112" i="15"/>
  <c r="Y139" i="15"/>
  <c r="Y105" i="15"/>
  <c r="Y132" i="15"/>
  <c r="Z110" i="15"/>
  <c r="Z137" i="15"/>
  <c r="Z108" i="15"/>
  <c r="Z135" i="15"/>
  <c r="Z112" i="15"/>
  <c r="Z139" i="15"/>
  <c r="Z107" i="15"/>
  <c r="Z134" i="15"/>
  <c r="Y47" i="15"/>
  <c r="Y51" i="15"/>
  <c r="Y45" i="15"/>
  <c r="Z105" i="15"/>
  <c r="Z132" i="15"/>
  <c r="Z44" i="15"/>
  <c r="Z43" i="15"/>
  <c r="Z104" i="15"/>
  <c r="AA109" i="15"/>
  <c r="AA136" i="15"/>
  <c r="Y115" i="15"/>
  <c r="Y214" i="15"/>
  <c r="Y131" i="15"/>
  <c r="Y113" i="15"/>
  <c r="AA110" i="15"/>
  <c r="AA137" i="15"/>
  <c r="AB109" i="15"/>
  <c r="AB136" i="15"/>
  <c r="Z47" i="15"/>
  <c r="Y142" i="15"/>
  <c r="Y215" i="15"/>
  <c r="Y236" i="15"/>
  <c r="Y140" i="15"/>
  <c r="Y25" i="15"/>
  <c r="Y116" i="15"/>
  <c r="Y48"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AA43" i="15"/>
  <c r="Y49" i="15"/>
  <c r="Y84" i="15"/>
  <c r="AA47" i="15"/>
  <c r="AC110" i="15"/>
  <c r="AC137" i="15"/>
  <c r="Y234" i="15"/>
  <c r="Y223" i="15"/>
  <c r="Y224" i="15"/>
  <c r="Z142" i="15"/>
  <c r="Z215" i="15"/>
  <c r="Z236" i="15"/>
  <c r="Z140" i="15"/>
  <c r="Y118" i="15"/>
  <c r="Y220" i="15"/>
  <c r="Y143" i="15"/>
  <c r="Y221" i="15"/>
  <c r="Y242" i="15"/>
  <c r="Z25" i="15"/>
  <c r="Z116" i="15"/>
  <c r="Z48" i="15"/>
  <c r="AB107" i="15"/>
  <c r="AB134" i="15"/>
  <c r="AC109" i="15"/>
  <c r="AC136" i="15"/>
  <c r="AA115" i="15"/>
  <c r="AA214" i="15"/>
  <c r="AA131" i="15"/>
  <c r="AA113" i="15"/>
  <c r="AA45" i="15"/>
  <c r="AA51" i="15"/>
  <c r="Z235" i="15"/>
  <c r="AB108" i="15"/>
  <c r="AB135" i="15"/>
  <c r="AB105" i="15"/>
  <c r="AB132" i="15"/>
  <c r="AB44" i="15"/>
  <c r="AB104" i="15"/>
  <c r="AB43" i="15"/>
  <c r="AB112" i="15"/>
  <c r="AB139" i="15"/>
  <c r="Y86" i="15"/>
  <c r="Y50" i="15"/>
  <c r="Y90" i="15"/>
  <c r="Y92" i="15"/>
  <c r="Y88" i="15"/>
  <c r="Y89" i="15"/>
  <c r="Y93" i="15"/>
  <c r="Y56" i="15"/>
  <c r="Y91" i="15"/>
  <c r="Y94" i="15"/>
  <c r="Y57" i="15"/>
  <c r="Y65" i="15"/>
  <c r="Y67" i="15"/>
  <c r="Y68" i="15"/>
  <c r="Y87" i="15"/>
  <c r="Y95"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43" i="15"/>
  <c r="AC108" i="15"/>
  <c r="AC135" i="15"/>
  <c r="Y245" i="15"/>
  <c r="Y244" i="15"/>
  <c r="Z213" i="15"/>
  <c r="AA235" i="15"/>
  <c r="AC112" i="15"/>
  <c r="AC139" i="15"/>
  <c r="Z143" i="15"/>
  <c r="AB47" i="15"/>
  <c r="Z117" i="15"/>
  <c r="Z144" i="15"/>
  <c r="Z49" i="15"/>
  <c r="Y219" i="15"/>
  <c r="Y241" i="15"/>
  <c r="Y119" i="15"/>
  <c r="Y180" i="15"/>
  <c r="Y183" i="15"/>
  <c r="Q17" i="5"/>
  <c r="AD110" i="15"/>
  <c r="AD137" i="15"/>
  <c r="AA25" i="15"/>
  <c r="AA116" i="15"/>
  <c r="AA48"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D43" i="15"/>
  <c r="AE109" i="15"/>
  <c r="AE136" i="15"/>
  <c r="Z220" i="15"/>
  <c r="AD107" i="15"/>
  <c r="AD134" i="15"/>
  <c r="AD108" i="15"/>
  <c r="AD135" i="15"/>
  <c r="AB235" i="15"/>
  <c r="AD105" i="15"/>
  <c r="AD132" i="15"/>
  <c r="AB116" i="15"/>
  <c r="AB25" i="15"/>
  <c r="AB48" i="15"/>
  <c r="AB117" i="15"/>
  <c r="AB144" i="15"/>
  <c r="AA213" i="15"/>
  <c r="Z223" i="15"/>
  <c r="Z234" i="15"/>
  <c r="Z224" i="15"/>
  <c r="AC47" i="15"/>
  <c r="AC45" i="15"/>
  <c r="AC51" i="15"/>
  <c r="AB142" i="15"/>
  <c r="AB215" i="15"/>
  <c r="AB236" i="15"/>
  <c r="AB140" i="15"/>
  <c r="AA220" i="15"/>
  <c r="AA143" i="15"/>
  <c r="AA221" i="15"/>
  <c r="AA242" i="15"/>
  <c r="Z50" i="15"/>
  <c r="Z93" i="15"/>
  <c r="Z56" i="15"/>
  <c r="Z84" i="15"/>
  <c r="Z65" i="15"/>
  <c r="Z67" i="15"/>
  <c r="Z68" i="15"/>
  <c r="Z88" i="15"/>
  <c r="Z85" i="15"/>
  <c r="Z57" i="15"/>
  <c r="Z92" i="15"/>
  <c r="Z91" i="15"/>
  <c r="Z87" i="15"/>
  <c r="Z90" i="15"/>
  <c r="Z86" i="15"/>
  <c r="Z94" i="15"/>
  <c r="Z89" i="15"/>
  <c r="Z145" i="15"/>
  <c r="AD112" i="15"/>
  <c r="AD139" i="15"/>
  <c r="AA118" i="15"/>
  <c r="AA49" i="15"/>
  <c r="AB118" i="15"/>
  <c r="AB180" i="15"/>
  <c r="AB183" i="15"/>
  <c r="AA234" i="15"/>
  <c r="AA224" i="15"/>
  <c r="AA223" i="15"/>
  <c r="AE44" i="15"/>
  <c r="AE104" i="15"/>
  <c r="AE43" i="15"/>
  <c r="AD47" i="15"/>
  <c r="AC142" i="15"/>
  <c r="AC215" i="15"/>
  <c r="AC236" i="15"/>
  <c r="AC140" i="15"/>
  <c r="AA65" i="15"/>
  <c r="AA67" i="15"/>
  <c r="AA68" i="15"/>
  <c r="AA56" i="15"/>
  <c r="AA88" i="15"/>
  <c r="AA93" i="15"/>
  <c r="AA50" i="15"/>
  <c r="AA84" i="15"/>
  <c r="AA57" i="15"/>
  <c r="AA85" i="15"/>
  <c r="AA92" i="15"/>
  <c r="AA91" i="15"/>
  <c r="AA87" i="15"/>
  <c r="AA94" i="15"/>
  <c r="AA90" i="15"/>
  <c r="AA86" i="15"/>
  <c r="AA89" i="15"/>
  <c r="Z95" i="15"/>
  <c r="Z96" i="15"/>
  <c r="AA241" i="15"/>
  <c r="AA219" i="15"/>
  <c r="AA240" i="15"/>
  <c r="AA180" i="15"/>
  <c r="AA183" i="15"/>
  <c r="AA119" i="15"/>
  <c r="AA145" i="15"/>
  <c r="AB49"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C48" i="15"/>
  <c r="AF110" i="15"/>
  <c r="AF137" i="15"/>
  <c r="AC235" i="15"/>
  <c r="AE107" i="15"/>
  <c r="AE134" i="15"/>
  <c r="Z179" i="15"/>
  <c r="Z182" i="15"/>
  <c r="AB119" i="15"/>
  <c r="AC213" i="15"/>
  <c r="AC234" i="15"/>
  <c r="AA95" i="15"/>
  <c r="AA96" i="15"/>
  <c r="AA222" i="15"/>
  <c r="AA243" i="15"/>
  <c r="AB241" i="15"/>
  <c r="AB219" i="15"/>
  <c r="AB240" i="15"/>
  <c r="AG107" i="15"/>
  <c r="AG134" i="15"/>
  <c r="AA181" i="15"/>
  <c r="AA184" i="15"/>
  <c r="AA146" i="15"/>
  <c r="AF107" i="15"/>
  <c r="AF134" i="15"/>
  <c r="AD235" i="15"/>
  <c r="AD116" i="15"/>
  <c r="AD25" i="15"/>
  <c r="AD48" i="15"/>
  <c r="AD117" i="15"/>
  <c r="AD144" i="15"/>
  <c r="AE115" i="15"/>
  <c r="AE214" i="15"/>
  <c r="AE131" i="15"/>
  <c r="AE113" i="15"/>
  <c r="AC117" i="15"/>
  <c r="AC220" i="15"/>
  <c r="AC49" i="15"/>
  <c r="AD142" i="15"/>
  <c r="AD215" i="15"/>
  <c r="AD236" i="15"/>
  <c r="AD140" i="15"/>
  <c r="Z240" i="15"/>
  <c r="Z222" i="15"/>
  <c r="Z243" i="15"/>
  <c r="AB223" i="15"/>
  <c r="AB224" i="15"/>
  <c r="AB234" i="15"/>
  <c r="AB93" i="15"/>
  <c r="AB65" i="15"/>
  <c r="AB67" i="15"/>
  <c r="AB68" i="15"/>
  <c r="AB84" i="15"/>
  <c r="AB88" i="15"/>
  <c r="AB56" i="15"/>
  <c r="AB50" i="15"/>
  <c r="AB57" i="15"/>
  <c r="AB85" i="15"/>
  <c r="AB92" i="15"/>
  <c r="AB91" i="15"/>
  <c r="AB90" i="15"/>
  <c r="AB86" i="15"/>
  <c r="AB94" i="15"/>
  <c r="AB87" i="15"/>
  <c r="AB89" i="15"/>
  <c r="AA179" i="15"/>
  <c r="AA182" i="15"/>
  <c r="AF112" i="15"/>
  <c r="AF139" i="15"/>
  <c r="AG108" i="15"/>
  <c r="AG135" i="15"/>
  <c r="AF105" i="15"/>
  <c r="AF132" i="15"/>
  <c r="AE47" i="15"/>
  <c r="AC143" i="15"/>
  <c r="AB145" i="15"/>
  <c r="AF44" i="15"/>
  <c r="AF104" i="15"/>
  <c r="AF43" i="15"/>
  <c r="AG112" i="15"/>
  <c r="AG139" i="15"/>
  <c r="AF108" i="15"/>
  <c r="AF135" i="15"/>
  <c r="AG105" i="15"/>
  <c r="AG132" i="15"/>
  <c r="AE45" i="15"/>
  <c r="AE51" i="15"/>
  <c r="AA244" i="15"/>
  <c r="AA245" i="15"/>
  <c r="AC223" i="15"/>
  <c r="AC224" i="15"/>
  <c r="AC241" i="15"/>
  <c r="AF115" i="15"/>
  <c r="AF214" i="15"/>
  <c r="AF131" i="15"/>
  <c r="AF113" i="15"/>
  <c r="AG44" i="15"/>
  <c r="AG104" i="15"/>
  <c r="AG43" i="15"/>
  <c r="AD220" i="15"/>
  <c r="AD143" i="15"/>
  <c r="AD221" i="15"/>
  <c r="AD242" i="15"/>
  <c r="AD118" i="15"/>
  <c r="AF51" i="15"/>
  <c r="AF45" i="15"/>
  <c r="AC244" i="15"/>
  <c r="AC245" i="15"/>
  <c r="AB95" i="15"/>
  <c r="AB96" i="15"/>
  <c r="AB244" i="15"/>
  <c r="AB245" i="15"/>
  <c r="AF47" i="15"/>
  <c r="AB181" i="15"/>
  <c r="AB184" i="15"/>
  <c r="AB146" i="15"/>
  <c r="AB179" i="15"/>
  <c r="AB182" i="15"/>
  <c r="AE25" i="15"/>
  <c r="AE116" i="15"/>
  <c r="AE48" i="15"/>
  <c r="AD49" i="15"/>
  <c r="AB222" i="15"/>
  <c r="AB243" i="15"/>
  <c r="AC50" i="15"/>
  <c r="AC65" i="15"/>
  <c r="AC67" i="15"/>
  <c r="AC68" i="15"/>
  <c r="AC84" i="15"/>
  <c r="AC88" i="15"/>
  <c r="AC56" i="15"/>
  <c r="AC93" i="15"/>
  <c r="AC57" i="15"/>
  <c r="AC85" i="15"/>
  <c r="AC92" i="15"/>
  <c r="AC91" i="15"/>
  <c r="AC87" i="15"/>
  <c r="AC90" i="15"/>
  <c r="AC86" i="15"/>
  <c r="AC94" i="15"/>
  <c r="AC89" i="15"/>
  <c r="AE235" i="15"/>
  <c r="AD213" i="15"/>
  <c r="AC144" i="15"/>
  <c r="AC145" i="15"/>
  <c r="AC118" i="15"/>
  <c r="AE142" i="15"/>
  <c r="AE215" i="15"/>
  <c r="AE236" i="15"/>
  <c r="AE140" i="15"/>
  <c r="AC221" i="15"/>
  <c r="AC242" i="15"/>
  <c r="AC95" i="15"/>
  <c r="AC96" i="15"/>
  <c r="AE143" i="15"/>
  <c r="AG47" i="15"/>
  <c r="AD219" i="15"/>
  <c r="AD240" i="15"/>
  <c r="AD241" i="15"/>
  <c r="AD145" i="15"/>
  <c r="AC119" i="15"/>
  <c r="AC179" i="15"/>
  <c r="AC182" i="15"/>
  <c r="AC180" i="15"/>
  <c r="AC183" i="15"/>
  <c r="AD224" i="15"/>
  <c r="AD234" i="15"/>
  <c r="AD222" i="15"/>
  <c r="AD243" i="15"/>
  <c r="AD223" i="15"/>
  <c r="AE213" i="15"/>
  <c r="AD93" i="15"/>
  <c r="AD56" i="15"/>
  <c r="AD65" i="15"/>
  <c r="AD67" i="15"/>
  <c r="AD68" i="15"/>
  <c r="AD84" i="15"/>
  <c r="AD50" i="15"/>
  <c r="AD88" i="15"/>
  <c r="AD85" i="15"/>
  <c r="AD57" i="15"/>
  <c r="AD91" i="15"/>
  <c r="AD92" i="15"/>
  <c r="AD86" i="15"/>
  <c r="AD94" i="15"/>
  <c r="AD89" i="15"/>
  <c r="AD90" i="15"/>
  <c r="AD87" i="15"/>
  <c r="AF25" i="15"/>
  <c r="AF116" i="15"/>
  <c r="AF48"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E49" i="15"/>
  <c r="AF235" i="15"/>
  <c r="AC219" i="15"/>
  <c r="AC222" i="15"/>
  <c r="AC243" i="15"/>
  <c r="AF213" i="15"/>
  <c r="AF234" i="15"/>
  <c r="AE181" i="15"/>
  <c r="AE184" i="15"/>
  <c r="AE146" i="15"/>
  <c r="AD95" i="15"/>
  <c r="AD96" i="15"/>
  <c r="AE220" i="15"/>
  <c r="AG142" i="15"/>
  <c r="AG215" i="15"/>
  <c r="AG236" i="15"/>
  <c r="AG140" i="15"/>
  <c r="AE118" i="15"/>
  <c r="AG235" i="15"/>
  <c r="AF117" i="15"/>
  <c r="AF220" i="15"/>
  <c r="AF49" i="15"/>
  <c r="AD244" i="15"/>
  <c r="AD245" i="15"/>
  <c r="AD181" i="15"/>
  <c r="AD184" i="15"/>
  <c r="AD146" i="15"/>
  <c r="AG25" i="15"/>
  <c r="AG116" i="15"/>
  <c r="AG48" i="15"/>
  <c r="AG117" i="15"/>
  <c r="AG144" i="15"/>
  <c r="AE88" i="15"/>
  <c r="AE50" i="15"/>
  <c r="AE93" i="15"/>
  <c r="AE84" i="15"/>
  <c r="AE65" i="15"/>
  <c r="AE67" i="15"/>
  <c r="AE68" i="15"/>
  <c r="AE56" i="15"/>
  <c r="AE57" i="15"/>
  <c r="AE85" i="15"/>
  <c r="AE91" i="15"/>
  <c r="AE92" i="15"/>
  <c r="AE90" i="15"/>
  <c r="AE89" i="15"/>
  <c r="AE87" i="15"/>
  <c r="AE94" i="15"/>
  <c r="AE86" i="15"/>
  <c r="AF143" i="15"/>
  <c r="AE224" i="15"/>
  <c r="AE234" i="15"/>
  <c r="AE223" i="15"/>
  <c r="AE221" i="15"/>
  <c r="AE242" i="15"/>
  <c r="AF223" i="15"/>
  <c r="AC240" i="15"/>
  <c r="AF224" i="15"/>
  <c r="AG49"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G93" i="15"/>
  <c r="AG89" i="15"/>
  <c r="AF93" i="15"/>
  <c r="AF56" i="15"/>
  <c r="AF50" i="15"/>
  <c r="AF84" i="15"/>
  <c r="AF88" i="15"/>
  <c r="AF65" i="15"/>
  <c r="AF67" i="15"/>
  <c r="AF68" i="15"/>
  <c r="AF57" i="15"/>
  <c r="AF85" i="15"/>
  <c r="AF91" i="15"/>
  <c r="AF92" i="15"/>
  <c r="AF89" i="15"/>
  <c r="AF86" i="15"/>
  <c r="AF90" i="15"/>
  <c r="AF94" i="15"/>
  <c r="AF87" i="15"/>
  <c r="AF241" i="15"/>
  <c r="AE95" i="15"/>
  <c r="AE96" i="15"/>
  <c r="AG92" i="15"/>
  <c r="AG85" i="15"/>
  <c r="AG87" i="15"/>
  <c r="AG88" i="15"/>
  <c r="AG94" i="15"/>
  <c r="AG65" i="15"/>
  <c r="AG67" i="15"/>
  <c r="AG68" i="15"/>
  <c r="AG86" i="15"/>
  <c r="AG91" i="15"/>
  <c r="AG56" i="15"/>
  <c r="AG90"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5" i="15"/>
  <c r="AF96" i="15"/>
  <c r="AE240" i="15"/>
  <c r="AE222" i="15"/>
  <c r="AE243" i="15"/>
  <c r="AG95"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01" i="15"/>
  <c r="H128"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93"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6" i="15"/>
  <c r="H117" i="15"/>
  <c r="H144" i="15"/>
  <c r="H115" i="15"/>
  <c r="H214" i="15"/>
  <c r="H131" i="15"/>
  <c r="H143" i="15"/>
  <c r="H221" i="15"/>
  <c r="H242" i="15"/>
  <c r="H93"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3" authorId="0">
      <text>
        <r>
          <rPr>
            <b/>
            <sz val="9"/>
            <color indexed="81"/>
            <rFont val="Tahoma"/>
            <family val="2"/>
          </rPr>
          <t>Max:</t>
        </r>
        <r>
          <rPr>
            <sz val="9"/>
            <color indexed="81"/>
            <rFont val="Tahoma"/>
            <family val="2"/>
          </rPr>
          <t xml:space="preserve">
Kammen04 and 08</t>
        </r>
      </text>
    </comment>
    <comment ref="G13" authorId="0">
      <text>
        <r>
          <rPr>
            <b/>
            <sz val="9"/>
            <color indexed="81"/>
            <rFont val="Tahoma"/>
            <family val="2"/>
          </rPr>
          <t>Max:</t>
        </r>
        <r>
          <rPr>
            <sz val="9"/>
            <color indexed="81"/>
            <rFont val="Tahoma"/>
            <family val="2"/>
          </rPr>
          <t xml:space="preserve">
not specified
</t>
        </r>
      </text>
    </comment>
    <comment ref="F14"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5" authorId="0">
      <text>
        <r>
          <rPr>
            <b/>
            <sz val="9"/>
            <color indexed="81"/>
            <rFont val="Tahoma"/>
            <family val="2"/>
          </rPr>
          <t>Max:</t>
        </r>
        <r>
          <rPr>
            <sz val="9"/>
            <color indexed="81"/>
            <rFont val="Tahoma"/>
            <family val="2"/>
          </rPr>
          <t xml:space="preserve">
not sure about this, conservative assumption for jobs
</t>
        </r>
      </text>
    </comment>
    <comment ref="C17" authorId="0">
      <text>
        <r>
          <rPr>
            <b/>
            <sz val="9"/>
            <color indexed="81"/>
            <rFont val="Tahoma"/>
            <family val="2"/>
          </rPr>
          <t>Max:</t>
        </r>
        <r>
          <rPr>
            <sz val="9"/>
            <color indexed="81"/>
            <rFont val="Tahoma"/>
            <family val="2"/>
          </rPr>
          <t xml:space="preserve">
EPRI 01 capacity 90%
</t>
        </r>
      </text>
    </comment>
    <comment ref="C18" authorId="0">
      <text>
        <r>
          <rPr>
            <b/>
            <sz val="9"/>
            <color indexed="81"/>
            <rFont val="Tahoma"/>
            <family val="2"/>
          </rPr>
          <t>Max:</t>
        </r>
        <r>
          <rPr>
            <sz val="9"/>
            <color indexed="81"/>
            <rFont val="Tahoma"/>
            <family val="2"/>
          </rPr>
          <t xml:space="preserve">
Kammen 08 presentation</t>
        </r>
      </text>
    </comment>
    <comment ref="C20" authorId="0">
      <text>
        <r>
          <rPr>
            <b/>
            <sz val="9"/>
            <color indexed="81"/>
            <rFont val="Tahoma"/>
            <family val="2"/>
          </rPr>
          <t>Max:</t>
        </r>
        <r>
          <rPr>
            <sz val="9"/>
            <color indexed="81"/>
            <rFont val="Tahoma"/>
            <family val="2"/>
          </rPr>
          <t xml:space="preserve">
EPRI 01 cap 55%
</t>
        </r>
      </text>
    </comment>
    <comment ref="O21" authorId="0">
      <text>
        <r>
          <rPr>
            <sz val="9"/>
            <color indexed="81"/>
            <rFont val="Tahoma"/>
            <family val="2"/>
          </rPr>
          <t xml:space="preserve">Karim:
New update from the solar foundation assuming that all other jobs are O&amp;M
</t>
        </r>
      </text>
    </comment>
    <comment ref="C22" authorId="0">
      <text>
        <r>
          <rPr>
            <b/>
            <sz val="9"/>
            <color indexed="81"/>
            <rFont val="Tahoma"/>
            <family val="2"/>
          </rPr>
          <t>Max:</t>
        </r>
        <r>
          <rPr>
            <sz val="9"/>
            <color indexed="81"/>
            <rFont val="Tahoma"/>
            <family val="2"/>
          </rPr>
          <t xml:space="preserve">
Kammen 08 presentation</t>
        </r>
      </text>
    </comment>
    <comment ref="C24" authorId="0">
      <text>
        <r>
          <rPr>
            <b/>
            <sz val="9"/>
            <color indexed="81"/>
            <rFont val="Tahoma"/>
            <family val="2"/>
          </rPr>
          <t>Max:</t>
        </r>
        <r>
          <rPr>
            <sz val="9"/>
            <color indexed="81"/>
            <rFont val="Tahoma"/>
            <family val="2"/>
          </rPr>
          <t xml:space="preserve">
NREL08 cap 40%</t>
        </r>
      </text>
    </comment>
    <comment ref="A25" authorId="0">
      <text>
        <r>
          <rPr>
            <b/>
            <sz val="9"/>
            <color indexed="81"/>
            <rFont val="Tahoma"/>
            <family val="2"/>
          </rPr>
          <t>Max:</t>
        </r>
        <r>
          <rPr>
            <sz val="9"/>
            <color indexed="81"/>
            <rFont val="Tahoma"/>
            <family val="2"/>
          </rPr>
          <t xml:space="preserve">
100 MW parabolic trough plant with 6 hours of storage</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E27" authorId="0">
      <text>
        <r>
          <rPr>
            <b/>
            <sz val="9"/>
            <color indexed="81"/>
            <rFont val="Tahoma"/>
            <family val="2"/>
          </rPr>
          <t>Max:</t>
        </r>
        <r>
          <rPr>
            <sz val="9"/>
            <color indexed="81"/>
            <rFont val="Tahoma"/>
            <family val="2"/>
          </rPr>
          <t xml:space="preserve">
direct CIM; Another 5 is indirect manufacturing
</t>
        </r>
      </text>
    </comment>
    <comment ref="F27" authorId="0">
      <text>
        <r>
          <rPr>
            <b/>
            <sz val="9"/>
            <color indexed="81"/>
            <rFont val="Tahoma"/>
            <family val="2"/>
          </rPr>
          <t>Max:</t>
        </r>
        <r>
          <rPr>
            <sz val="9"/>
            <color indexed="81"/>
            <rFont val="Tahoma"/>
            <family val="2"/>
          </rPr>
          <t xml:space="preserve">
includes 0.07 jobs/MWp for consultants, researchers, financial services</t>
        </r>
      </text>
    </comment>
    <comment ref="E28" authorId="0">
      <text>
        <r>
          <rPr>
            <b/>
            <sz val="9"/>
            <color indexed="81"/>
            <rFont val="Tahoma"/>
            <family val="2"/>
          </rPr>
          <t>Max:</t>
        </r>
        <r>
          <rPr>
            <sz val="9"/>
            <color indexed="81"/>
            <rFont val="Tahoma"/>
            <family val="2"/>
          </rPr>
          <t xml:space="preserve">
direct CIM; Another 5 is indirect manufacturing
</t>
        </r>
      </text>
    </comment>
    <comment ref="C32" authorId="0">
      <text>
        <r>
          <rPr>
            <b/>
            <sz val="9"/>
            <color indexed="81"/>
            <rFont val="Tahoma"/>
            <family val="2"/>
          </rPr>
          <t>Max:</t>
        </r>
        <r>
          <rPr>
            <sz val="9"/>
            <color indexed="81"/>
            <rFont val="Tahoma"/>
            <family val="2"/>
          </rPr>
          <t xml:space="preserve">
take same as Coal</t>
        </r>
      </text>
    </comment>
    <comment ref="C34" authorId="0">
      <text>
        <r>
          <rPr>
            <b/>
            <sz val="9"/>
            <color indexed="81"/>
            <rFont val="Tahoma"/>
            <family val="2"/>
          </rPr>
          <t>Max:</t>
        </r>
        <r>
          <rPr>
            <sz val="9"/>
            <color indexed="81"/>
            <rFont val="Tahoma"/>
            <family val="2"/>
          </rPr>
          <t xml:space="preserve">
kammen 08
</t>
        </r>
      </text>
    </comment>
    <comment ref="C35" authorId="0">
      <text>
        <r>
          <rPr>
            <b/>
            <sz val="9"/>
            <color indexed="81"/>
            <rFont val="Tahoma"/>
            <family val="2"/>
          </rPr>
          <t>Max:</t>
        </r>
        <r>
          <rPr>
            <sz val="9"/>
            <color indexed="81"/>
            <rFont val="Tahoma"/>
            <family val="2"/>
          </rPr>
          <t xml:space="preserve">
page 15
Also Kammen08 ref</t>
        </r>
      </text>
    </comment>
    <comment ref="F35" authorId="0">
      <text>
        <r>
          <rPr>
            <b/>
            <sz val="9"/>
            <color indexed="81"/>
            <rFont val="Tahoma"/>
            <family val="2"/>
          </rPr>
          <t>Max:</t>
        </r>
        <r>
          <rPr>
            <sz val="9"/>
            <color indexed="81"/>
            <rFont val="Tahoma"/>
            <family val="2"/>
          </rPr>
          <t xml:space="preserve">
Non-Fuel O&amp;M only
</t>
        </r>
      </text>
    </comment>
    <comment ref="C36"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<sst xmlns="http://schemas.openxmlformats.org/spreadsheetml/2006/main" count="1292" uniqueCount="736">
  <si>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</si>
  <si>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</si>
  <si>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</si>
  <si>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</si>
  <si>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</si>
  <si>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</si>
  <si>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</si>
  <si>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</si>
  <si>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</si>
  <si>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</si>
  <si>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</si>
  <si>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</si>
  <si>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</si>
  <si>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</si>
  <si>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</si>
  <si>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</si>
  <si>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</si>
  <si>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</si>
  <si>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</si>
  <si>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</si>
  <si>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</si>
  <si>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</si>
  <si>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</si>
  <si>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</si>
  <si>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</si>
  <si>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</si>
  <si>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</si>
  <si>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</si>
  <si>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</si>
  <si>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</si>
  <si>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</si>
  <si>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</si>
  <si>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</si>
  <si>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</si>
  <si>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</si>
  <si>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</si>
  <si>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</si>
  <si>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</si>
  <si>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</si>
  <si>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</si>
  <si>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</si>
  <si>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</si>
  <si>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</si>
  <si>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</si>
  <si>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</si>
  <si>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</si>
  <si>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</si>
  <si>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</si>
  <si>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</si>
  <si>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Total, All Sectors</t>
  </si>
  <si>
    <t xml:space="preserve">  Net Summer Capacity</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</si>
  <si>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</si>
  <si>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</si>
  <si>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</si>
  <si>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</si>
  <si>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</si>
  <si>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</si>
  <si>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</si>
  <si>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</si>
  <si>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</si>
  <si>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</si>
  <si>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</si>
  <si>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</si>
  <si>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</si>
  <si>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</si>
  <si>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</si>
  <si>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</si>
  <si>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</si>
  <si>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</si>
  <si>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</si>
  <si>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</si>
  <si>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</si>
  <si>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</si>
  <si>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</si>
  <si>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</si>
  <si>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</si>
  <si>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</si>
  <si>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</si>
  <si>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</si>
  <si>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</si>
  <si>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</si>
  <si>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</si>
  <si>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Net Available to the Grid</t>
  </si>
  <si>
    <t xml:space="preserve">    Other Gaseous Fuels 8/</t>
  </si>
  <si>
    <t xml:space="preserve">    Less Direct Use</t>
  </si>
  <si>
    <t xml:space="preserve">      Total Sales to the Grid</t>
  </si>
  <si>
    <t>Total Electricity Generation by Fuel</t>
  </si>
  <si>
    <t xml:space="preserve">    Other 10/</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</si>
  <si>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</si>
  <si>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</si>
  <si>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</si>
  <si>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</si>
  <si>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</si>
  <si>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</si>
  <si>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</si>
  <si>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</si>
  <si>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</si>
  <si>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</si>
  <si>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</si>
  <si>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</si>
  <si>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</si>
  <si>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</si>
  <si>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</si>
  <si>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</si>
  <si>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</si>
  <si>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</si>
  <si>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</si>
  <si>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</si>
  <si>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</si>
  <si>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</si>
  <si>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</si>
  <si>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</si>
  <si>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</si>
  <si>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</si>
  <si>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</si>
  <si>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</si>
  <si>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</si>
  <si>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</si>
  <si>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</si>
  <si>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</si>
  <si>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</si>
  <si>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</si>
  <si>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</si>
  <si>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</si>
  <si>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</si>
  <si>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</si>
  <si>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</si>
  <si>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</si>
  <si>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</si>
  <si>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</si>
  <si>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</si>
  <si>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</si>
  <si>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</si>
  <si>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</si>
  <si>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</si>
  <si>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</si>
  <si>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</si>
  <si>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</si>
  <si>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</si>
  <si>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</si>
  <si>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</si>
  <si>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</si>
  <si>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</si>
  <si>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</si>
  <si>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</si>
  <si>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</si>
  <si>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</si>
  <si>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</si>
  <si>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</si>
  <si>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</si>
  <si>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</si>
  <si>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</si>
  <si>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</si>
  <si>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</si>
  <si>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</si>
  <si>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</si>
  <si>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</si>
  <si>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</si>
  <si>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</si>
  <si>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</si>
  <si>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</si>
  <si>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</si>
  <si>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</si>
  <si>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</si>
  <si>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</si>
  <si>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</si>
  <si>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</si>
  <si>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</si>
  <si>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</si>
  <si>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</si>
  <si>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</si>
  <si>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</si>
  <si>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</si>
  <si>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</si>
  <si>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</si>
  <si>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</si>
  <si>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</si>
  <si>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</si>
  <si>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</si>
  <si>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</si>
  <si>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</si>
  <si>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</si>
  <si>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</si>
  <si>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</si>
  <si>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</si>
  <si>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</si>
  <si>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</si>
  <si>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</si>
  <si>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</si>
  <si>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</si>
  <si>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</si>
  <si>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</si>
  <si>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</si>
  <si>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</si>
  <si>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</si>
  <si>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</si>
  <si>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</si>
  <si>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</si>
  <si>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</si>
  <si>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</si>
  <si>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</si>
  <si>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</si>
  <si>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</si>
  <si>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</si>
  <si>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</si>
  <si>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</si>
  <si>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</si>
  <si>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</si>
  <si>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</si>
  <si>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</si>
  <si>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</si>
  <si>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</si>
  <si>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</si>
  <si>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</si>
  <si>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</si>
  <si>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</si>
  <si>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</si>
  <si>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</si>
  <si>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</si>
  <si>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</si>
  <si>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</si>
  <si>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</si>
  <si>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</si>
  <si>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</si>
  <si>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</si>
  <si>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</si>
  <si>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</si>
  <si>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</si>
  <si>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</si>
  <si>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</si>
  <si>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</si>
  <si>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</si>
  <si>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</si>
  <si>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</si>
  <si>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</si>
  <si>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</si>
  <si>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</si>
  <si>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</si>
  <si>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</si>
  <si>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</si>
  <si>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</si>
  <si>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</si>
  <si>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</si>
  <si>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</si>
  <si>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</si>
  <si>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</si>
  <si>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</si>
  <si>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</si>
  <si>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</si>
  <si>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</si>
  <si>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</si>
  <si>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</si>
  <si>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</si>
  <si>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</si>
  <si>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</si>
  <si>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</si>
  <si>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</si>
  <si>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</si>
  <si>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</si>
  <si>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</si>
  <si>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</si>
  <si>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</si>
  <si>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</si>
  <si>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</si>
  <si>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</si>
  <si>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</si>
  <si>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</si>
  <si>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</si>
  <si>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</si>
  <si>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</si>
  <si>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</si>
  <si>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</si>
  <si>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</si>
  <si>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</si>
  <si>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</si>
  <si>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</si>
  <si>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</si>
  <si>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</si>
  <si>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</si>
  <si>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</si>
  <si>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</si>
  <si>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</si>
  <si>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</si>
  <si>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</si>
  <si>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</si>
  <si>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</si>
  <si>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</si>
  <si>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</si>
  <si>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</si>
  <si>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</si>
  <si>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</si>
  <si>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</si>
  <si>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</si>
  <si>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</si>
  <si>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</si>
  <si>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</si>
  <si>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</si>
  <si>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</si>
  <si>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</si>
  <si>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</si>
  <si>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</si>
  <si>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</si>
  <si>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</si>
  <si>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</si>
  <si>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</si>
  <si>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</si>
  <si>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</si>
  <si>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</si>
  <si>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</si>
  <si>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</si>
  <si>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</si>
  <si>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</si>
  <si>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</si>
  <si>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</si>
  <si>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</si>
  <si>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</si>
  <si>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</si>
  <si>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</si>
  <si>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</si>
  <si>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</si>
  <si>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</si>
  <si>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</si>
  <si>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</si>
  <si>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</si>
  <si>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</si>
  <si>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</si>
  <si>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</si>
  <si>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</si>
  <si>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</si>
  <si>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</si>
  <si>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</si>
  <si>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</si>
  <si>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</si>
  <si>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</si>
  <si>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</si>
  <si>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</si>
  <si>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</si>
  <si>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</si>
  <si>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</si>
  <si>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</si>
  <si>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</si>
  <si>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</si>
  <si>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</si>
  <si>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</si>
  <si>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</si>
  <si>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</si>
  <si>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</si>
  <si>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</si>
  <si>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</si>
  <si>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</si>
  <si>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</si>
  <si>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</si>
  <si>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</si>
  <si>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</si>
  <si>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</si>
  <si>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</si>
  <si>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[Solar total]</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</si>
  <si>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</si>
  <si>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</si>
  <si>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</si>
  <si>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</si>
  <si>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</si>
  <si>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</si>
  <si>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</si>
  <si>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</si>
  <si>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</si>
  <si>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</si>
  <si>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</si>
  <si>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</si>
  <si>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</si>
  <si>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</si>
  <si>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</si>
  <si>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</si>
  <si>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</si>
  <si>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</si>
  <si>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</si>
  <si>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</si>
  <si>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</si>
  <si>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</si>
  <si>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</si>
  <si>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</si>
  <si>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</si>
  <si>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</si>
  <si>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</si>
  <si>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</si>
  <si>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</si>
  <si>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</si>
  <si>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</si>
  <si>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</si>
  <si>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</si>
  <si>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</si>
  <si>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</si>
  <si>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</si>
  <si>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</si>
  <si>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</si>
  <si>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</si>
  <si>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</si>
  <si>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</si>
  <si>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</si>
  <si>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</si>
  <si>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</si>
  <si>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</si>
  <si>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</si>
  <si>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</si>
  <si>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</si>
  <si>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</si>
  <si>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</si>
  <si>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</si>
  <si>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</si>
  <si>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</si>
  <si>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</si>
  <si>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</si>
  <si>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</si>
  <si>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</si>
  <si>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</si>
  <si>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</si>
  <si>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</si>
  <si>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</si>
  <si>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</si>
  <si>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</si>
  <si>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</si>
  <si>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</si>
  <si>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</si>
  <si>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</si>
  <si>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</si>
  <si>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</si>
  <si>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</si>
  <si>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</si>
  <si>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</si>
  <si>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</si>
  <si>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</si>
  <si>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</si>
  <si>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</si>
  <si>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</si>
  <si>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</si>
  <si>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</si>
  <si>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</si>
  <si>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</si>
  <si>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</si>
  <si>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</si>
  <si>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</si>
  <si>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</si>
  <si>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</si>
  <si>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</si>
  <si>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</si>
  <si>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</si>
  <si>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</si>
  <si>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</si>
  <si>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</si>
  <si>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</si>
  <si>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</si>
  <si>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</si>
  <si>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</si>
  <si>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</si>
  <si>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</si>
  <si>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</si>
  <si>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</si>
  <si>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</si>
  <si>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</si>
  <si>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</si>
  <si>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</si>
  <si>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</si>
  <si>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</si>
  <si>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</si>
  <si>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</si>
  <si>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</si>
  <si>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</si>
  <si>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</si>
  <si>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</si>
  <si>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</si>
  <si>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</si>
  <si>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</si>
  <si>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</si>
  <si>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</si>
  <si>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</si>
  <si>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</si>
  <si>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</si>
  <si>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</si>
  <si>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</si>
  <si>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</si>
  <si>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</si>
  <si>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</si>
  <si>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</si>
  <si>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</si>
  <si>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</si>
  <si>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</si>
  <si>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</si>
  <si>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</si>
  <si>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</si>
  <si>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</si>
  <si>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</si>
  <si>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</si>
  <si>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</si>
  <si>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</si>
  <si>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</si>
  <si>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</si>
  <si>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</si>
  <si>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</si>
  <si>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</si>
  <si>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</si>
  <si>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</si>
  <si>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</si>
  <si>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</si>
  <si>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</si>
  <si>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</si>
  <si>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</si>
  <si>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</si>
  <si>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</si>
  <si>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</si>
  <si>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</si>
  <si>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</si>
  <si>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</si>
  <si>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</si>
  <si>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</si>
  <si>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</si>
  <si>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</si>
  <si>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</si>
  <si>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</si>
  <si>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</si>
  <si>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</si>
  <si>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</si>
  <si>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</si>
  <si>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</si>
  <si>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</si>
  <si>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</si>
  <si>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</si>
  <si>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</si>
  <si>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</si>
  <si>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</si>
  <si>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</si>
  <si>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</si>
  <si>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</si>
  <si>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</si>
  <si>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</si>
  <si>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</si>
  <si>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</si>
  <si>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</si>
  <si>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</si>
  <si>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</si>
  <si>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</si>
  <si>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</si>
  <si>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</si>
  <si>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</si>
  <si>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</si>
  <si>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</si>
  <si>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</si>
  <si>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</si>
  <si>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</si>
  <si>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</si>
  <si>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</si>
  <si>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</si>
  <si>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</si>
  <si>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</si>
  <si>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</si>
  <si>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</si>
  <si>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</si>
  <si>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</si>
  <si>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</si>
  <si>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</si>
  <si>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</si>
  <si>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</si>
  <si>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</si>
  <si>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</si>
  <si>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</si>
  <si>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</si>
  <si>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</si>
  <si>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</si>
  <si>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</si>
  <si>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</si>
  <si>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</si>
  <si>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</si>
  <si>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</si>
  <si>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</si>
  <si>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</si>
  <si>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</si>
  <si>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</si>
  <si>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</si>
  <si>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</si>
  <si>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</si>
  <si>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</si>
  <si>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</si>
  <si>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</si>
  <si>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</si>
  <si>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</si>
  <si>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</si>
  <si>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</si>
  <si>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</si>
  <si>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</si>
  <si>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</si>
  <si>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</si>
  <si>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</si>
  <si>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</si>
  <si>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</si>
  <si>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</si>
  <si>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</si>
  <si>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</si>
  <si>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</si>
  <si>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</si>
  <si>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</si>
  <si>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</si>
  <si>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</si>
  <si>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</si>
  <si>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</si>
  <si>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</si>
  <si>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</si>
  <si>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</si>
  <si>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</si>
  <si>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</si>
  <si>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</si>
  <si>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</si>
  <si>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</si>
  <si>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</si>
  <si>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</si>
  <si>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</si>
  <si>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</si>
  <si>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</si>
  <si>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</si>
  <si>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</si>
  <si>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</si>
  <si>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</si>
  <si>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</si>
  <si>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</si>
  <si>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</si>
  <si>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</si>
  <si>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</si>
  <si>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</si>
  <si>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</si>
  <si>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</si>
  <si>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</si>
  <si>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</si>
  <si>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9/</t>
  </si>
  <si>
    <t>End-Use Sector 7/</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</si>
  <si>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</si>
  <si>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</si>
  <si>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</si>
  <si>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</si>
  <si>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</si>
  <si>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</si>
  <si>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</si>
  <si>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</si>
  <si>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</si>
  <si>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</si>
  <si>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</si>
  <si>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</si>
  <si>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</si>
  <si>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</si>
  <si>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</si>
  <si>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</si>
  <si>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</si>
  <si>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</si>
  <si>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</si>
  <si>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</si>
  <si>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</si>
  <si>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</si>
  <si>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</si>
  <si>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</si>
  <si>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</si>
  <si>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</si>
  <si>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</si>
  <si>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</si>
  <si>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</si>
  <si>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</si>
  <si>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</si>
  <si>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</si>
  <si>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</si>
  <si>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</si>
  <si>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</si>
  <si>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</si>
  <si>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</si>
  <si>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xml:space="preserve">    Wood and Other Biomass 4/</t>
  </si>
  <si>
    <t xml:space="preserve">    Solar 5/</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</si>
  <si>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</si>
  <si>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</si>
  <si>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</si>
  <si>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</si>
  <si>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</si>
  <si>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</si>
  <si>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</si>
  <si>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</si>
  <si>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</si>
  <si>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</si>
  <si>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</si>
  <si>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</si>
  <si>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</si>
  <si>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</si>
  <si>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</si>
  <si>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</si>
  <si>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</si>
  <si>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</si>
  <si>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</si>
  <si>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</si>
  <si>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</si>
  <si>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</si>
  <si>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</si>
  <si>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</si>
  <si>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</si>
  <si>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</si>
  <si>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</si>
  <si>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</si>
  <si>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</si>
  <si>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</si>
  <si>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</si>
  <si>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</si>
  <si>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</si>
  <si>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</si>
  <si>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</si>
  <si>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</si>
  <si>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</si>
  <si>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</si>
  <si>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</si>
  <si>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</si>
  <si>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</si>
  <si>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</si>
  <si>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</si>
  <si>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</si>
  <si>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</si>
  <si>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</si>
  <si>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</si>
  <si>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</si>
  <si>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</si>
  <si>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</si>
  <si>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</si>
  <si>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</si>
  <si>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</si>
  <si>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</si>
  <si>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</si>
  <si>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PSC Staff Summary of the Information Gained from Public Service Commission Workshops on a Renewable Portfolio Standard</t>
  </si>
  <si>
    <t>Study evaluates the objective of RPS for Florida as 15% in 2020</t>
  </si>
  <si>
    <t>None</t>
  </si>
  <si>
    <t>http://www.psc.state.fl.us/utilities/electricgas/RenewableEnergy/2008_03RPSSummaryFinal.pdf</t>
  </si>
  <si>
    <t>Solar PV 2015</t>
  </si>
  <si>
    <t>Solar Foundation 2014</t>
  </si>
  <si>
    <t>Average Employment Over Life of Facility</t>
  </si>
  <si>
    <t>CIM (person-years/
MWp)</t>
  </si>
  <si>
    <t>O&amp;M (jobs/
MWp)</t>
  </si>
  <si>
    <t>O&amp;M and fuel process-
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</si>
</sst>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0"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sz val="8"/>
      <color theme="1"/>
      <name val="TimesNewRoman,Bold"/>
    </font>
    <font>
      <u/>
      <sz val="11"/>
      <color theme="10"/>
      <name val="Calibri"/>
      <family val="2"/>
      <scheme val="minor"/>
    </font>
    <font>
      <u/>
      <sz val="11"/>
      <color theme="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style="thin">
        <color auto="1"/>
      </left>
      <right/>
      <top style="medium">
        <color auto="1"/>
      </top>
      <bottom style="thin">
        <color auto="1"/>
      </bottom>
      <diagonal/>
    </border>
    <border>
      <left/>
      <right/>
      <top style="medium">
        <color auto="1"/>
      </top>
      <bottom style="thin">
        <color auto="1"/>
      </bottom>
      <diagonal/>
    </border>
    <border>
      <left/>
      <right/>
      <top/>
      <bottom style="double">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s>
  <cellStyleXfs count="38">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563">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67" fontId="21" fillId="2" borderId="1" xfId="10" applyNumberFormat="1" applyFont="1" applyFill="1" applyBorder="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25"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2" fillId="7" borderId="0" xfId="0" applyFont="1" applyFill="1"/>
    <xf numFmtId="0" fontId="22" fillId="7" borderId="0" xfId="0" applyFont="1" applyFill="1" applyAlignment="1">
      <alignment horizontal="center"/>
    </xf>
    <xf numFmtId="165" fontId="22" fillId="7" borderId="0" xfId="0" applyNumberFormat="1" applyFont="1" applyFill="1" applyAlignment="1">
      <alignment horizontal="center"/>
    </xf>
    <xf numFmtId="165" fontId="22" fillId="7" borderId="0" xfId="0" applyNumberFormat="1" applyFont="1" applyFill="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25"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65" fontId="22" fillId="7" borderId="5" xfId="0" applyNumberFormat="1" applyFont="1" applyFill="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 fillId="0" borderId="0" xfId="6" applyFont="1" applyBorder="1"/>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3" fontId="43" fillId="2" borderId="31" xfId="0" applyNumberFormat="1" applyFont="1" applyFill="1" applyBorder="1" applyAlignment="1">
      <alignment horizontal="right" vertical="center"/>
    </xf>
    <xf numFmtId="3" fontId="43" fillId="2" borderId="33" xfId="0" applyNumberFormat="1" applyFont="1" applyFill="1" applyBorder="1" applyAlignment="1">
      <alignment horizontal="right" vertical="center"/>
    </xf>
    <xf numFmtId="3" fontId="43" fillId="2" borderId="34" xfId="0" applyNumberFormat="1" applyFont="1" applyFill="1" applyBorder="1" applyAlignment="1">
      <alignment horizontal="right" vertical="center"/>
    </xf>
    <xf numFmtId="3" fontId="44" fillId="2" borderId="0" xfId="0" applyNumberFormat="1" applyFont="1" applyFill="1" applyAlignment="1">
      <alignment horizontal="right" vertical="center"/>
    </xf>
    <xf numFmtId="168" fontId="2" fillId="2" borderId="0" xfId="4" applyNumberFormat="1" applyFont="1" applyFill="1" applyProtection="1"/>
    <xf numFmtId="10" fontId="28" fillId="2" borderId="32" xfId="0" applyNumberFormat="1" applyFont="1" applyFill="1" applyBorder="1" applyAlignment="1">
      <alignment wrapText="1"/>
    </xf>
    <xf numFmtId="10" fontId="33" fillId="2" borderId="32"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166" fontId="2" fillId="2" borderId="0" xfId="4" applyNumberFormat="1" applyFont="1" applyFill="1" applyProtection="1"/>
    <xf numFmtId="4" fontId="43" fillId="2" borderId="35"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0" fontId="8" fillId="2" borderId="0" xfId="4" applyFont="1" applyFill="1" applyAlignment="1" applyProtection="1">
      <alignment horizontal="left"/>
    </xf>
    <xf numFmtId="0" fontId="9" fillId="2" borderId="0" xfId="4" applyFont="1" applyFill="1" applyAlignment="1" applyProtection="1">
      <alignment horizontal="center"/>
    </xf>
    <xf numFmtId="0" fontId="0" fillId="2" borderId="0" xfId="0" applyFill="1"/>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2" borderId="0" xfId="0" applyFont="1" applyFill="1" applyAlignment="1">
      <alignment wrapText="1"/>
    </xf>
    <xf numFmtId="0" fontId="33" fillId="2" borderId="0" xfId="0" applyFont="1" applyFill="1" applyAlignment="1">
      <alignment wrapText="1"/>
    </xf>
    <xf numFmtId="10" fontId="28" fillId="2" borderId="0" xfId="0" applyNumberFormat="1" applyFont="1" applyFill="1" applyAlignment="1">
      <alignment wrapText="1"/>
    </xf>
    <xf numFmtId="10" fontId="33" fillId="2" borderId="0" xfId="0" applyNumberFormat="1" applyFont="1" applyFill="1" applyAlignment="1">
      <alignment wrapText="1"/>
    </xf>
    <xf numFmtId="165" fontId="24" fillId="9" borderId="0" xfId="1" applyNumberFormat="1" applyFont="1" applyFill="1" applyAlignment="1">
      <alignment horizontal="center"/>
    </xf>
    <xf numFmtId="0" fontId="47" fillId="0" borderId="0" xfId="0" applyFont="1"/>
    <xf numFmtId="0" fontId="23" fillId="0" borderId="16" xfId="0" applyFont="1" applyFill="1" applyBorder="1" applyAlignment="1">
      <alignment horizontal="left" vertical="top" wrapText="1"/>
    </xf>
    <xf numFmtId="0" fontId="1" fillId="0" borderId="0" xfId="0" applyFont="1"/>
    <xf numFmtId="2" fontId="1" fillId="0" borderId="0" xfId="0" applyNumberFormat="1" applyFont="1"/>
    <xf numFmtId="0" fontId="0" fillId="0" borderId="0" xfId="0" applyAlignment="1">
      <alignment horizontal="center"/>
    </xf>
    <xf numFmtId="0" fontId="1" fillId="0" borderId="36" xfId="0" applyFont="1" applyBorder="1"/>
    <xf numFmtId="0" fontId="1" fillId="0" borderId="0" xfId="0" applyFont="1" applyAlignment="1">
      <alignment horizontal="center"/>
    </xf>
    <xf numFmtId="0" fontId="28" fillId="0" borderId="0" xfId="0" applyFont="1" applyAlignment="1">
      <alignment horizontal="center" vertical="top"/>
    </xf>
    <xf numFmtId="0" fontId="0" fillId="0" borderId="0" xfId="0" applyAlignment="1">
      <alignment wrapText="1"/>
    </xf>
    <xf numFmtId="0" fontId="0" fillId="0" borderId="25" xfId="0" applyBorder="1" applyAlignment="1">
      <alignment wrapText="1"/>
    </xf>
    <xf numFmtId="0" fontId="15" fillId="5" borderId="17" xfId="6" applyFont="1" applyFill="1" applyBorder="1" applyAlignment="1">
      <alignment horizontal="center" vertical="center" wrapText="1"/>
    </xf>
    <xf numFmtId="0" fontId="15" fillId="5" borderId="21"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3" xfId="6" applyFont="1" applyFill="1" applyBorder="1" applyAlignment="1">
      <alignment horizontal="center" vertical="center" wrapText="1"/>
    </xf>
    <xf numFmtId="0" fontId="15" fillId="5" borderId="24" xfId="6" applyFont="1" applyFill="1" applyBorder="1" applyAlignment="1">
      <alignment horizontal="center" vertical="center" wrapText="1"/>
    </xf>
    <xf numFmtId="0" fontId="15" fillId="5" borderId="19" xfId="6" applyFont="1" applyFill="1" applyBorder="1" applyAlignment="1">
      <alignment horizontal="center"/>
    </xf>
    <xf numFmtId="0" fontId="15" fillId="5" borderId="20" xfId="6" applyFont="1" applyFill="1" applyBorder="1" applyAlignment="1">
      <alignment horizontal="center"/>
    </xf>
    <xf numFmtId="0" fontId="15" fillId="5" borderId="37" xfId="6" applyFont="1" applyFill="1" applyBorder="1" applyAlignment="1">
      <alignment horizontal="center"/>
    </xf>
    <xf numFmtId="0" fontId="15" fillId="5" borderId="15"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22" xfId="6" applyFont="1" applyFill="1" applyBorder="1" applyAlignment="1">
      <alignment horizontal="center" vertical="center" textRotation="90" wrapText="1"/>
    </xf>
    <xf numFmtId="0" fontId="15" fillId="5" borderId="38"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14" xfId="6" applyFont="1" applyFill="1" applyBorder="1" applyAlignment="1">
      <alignment horizontal="center" vertical="center" wrapText="1"/>
    </xf>
    <xf numFmtId="0" fontId="15" fillId="5" borderId="39" xfId="6" applyFont="1" applyFill="1" applyBorder="1" applyAlignment="1">
      <alignment horizontal="center" vertical="center" textRotation="90" wrapText="1"/>
    </xf>
    <xf numFmtId="0" fontId="15" fillId="5" borderId="40" xfId="6" applyFont="1" applyFill="1" applyBorder="1" applyAlignment="1">
      <alignment horizontal="center" vertical="center" wrapText="1"/>
    </xf>
    <xf numFmtId="0" fontId="15" fillId="5" borderId="28" xfId="6" applyFont="1" applyFill="1" applyBorder="1" applyAlignment="1">
      <alignment horizontal="center" vertical="center" wrapText="1"/>
    </xf>
    <xf numFmtId="0" fontId="15" fillId="5" borderId="41" xfId="6" applyFont="1" applyFill="1" applyBorder="1" applyAlignment="1">
      <alignment horizontal="center" vertical="center" wrapText="1"/>
    </xf>
    <xf numFmtId="0" fontId="15" fillId="5" borderId="42" xfId="6"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4"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2" fontId="14" fillId="0" borderId="45" xfId="6" applyNumberFormat="1" applyFont="1" applyFill="1" applyBorder="1" applyAlignment="1">
      <alignment horizontal="center" vertical="center" wrapText="1"/>
    </xf>
    <xf numFmtId="2" fontId="14" fillId="0" borderId="44" xfId="6" applyNumberFormat="1" applyFont="1" applyFill="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15" xfId="6" applyNumberFormat="1" applyFont="1" applyFill="1" applyBorder="1" applyAlignment="1">
      <alignment horizontal="center" vertical="center" wrapText="1"/>
    </xf>
    <xf numFmtId="0" fontId="14" fillId="0" borderId="47" xfId="6" applyFont="1" applyFill="1" applyBorder="1" applyAlignment="1">
      <alignment horizontal="center" vertical="center" wrapText="1"/>
    </xf>
    <xf numFmtId="9" fontId="14" fillId="0" borderId="47" xfId="6" quotePrefix="1" applyNumberFormat="1" applyFont="1" applyFill="1" applyBorder="1" applyAlignment="1">
      <alignment horizontal="center" vertical="center" wrapText="1"/>
    </xf>
    <xf numFmtId="1" fontId="14" fillId="0" borderId="47" xfId="6" applyNumberFormat="1" applyFont="1" applyFill="1" applyBorder="1" applyAlignment="1">
      <alignment horizontal="center" vertical="center" wrapText="1"/>
    </xf>
    <xf numFmtId="2" fontId="14" fillId="0" borderId="47" xfId="6"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0" fontId="14" fillId="0" borderId="51" xfId="6" applyFont="1" applyBorder="1" applyAlignment="1">
      <alignment horizontal="center" vertical="center" wrapText="1"/>
    </xf>
    <xf numFmtId="9" fontId="14" fillId="0" borderId="51" xfId="6" applyNumberFormat="1" applyFont="1" applyBorder="1" applyAlignment="1">
      <alignment horizontal="center" vertical="center" wrapText="1"/>
    </xf>
    <xf numFmtId="1" fontId="14" fillId="0" borderId="51" xfId="6" applyNumberFormat="1" applyFont="1" applyBorder="1" applyAlignment="1">
      <alignment horizontal="center" vertical="center" wrapText="1"/>
    </xf>
    <xf numFmtId="2" fontId="14" fillId="0" borderId="51" xfId="6" applyNumberFormat="1" applyFont="1" applyBorder="1" applyAlignment="1">
      <alignment horizontal="center" vertical="center" wrapText="1"/>
    </xf>
    <xf numFmtId="2" fontId="14" fillId="0" borderId="27"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27" xfId="6" applyNumberFormat="1" applyFont="1" applyFill="1" applyBorder="1" applyAlignment="1">
      <alignment horizontal="center" vertical="center" wrapText="1"/>
    </xf>
    <xf numFmtId="2" fontId="14" fillId="0" borderId="52"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2" fontId="14" fillId="0" borderId="16" xfId="6" applyNumberFormat="1" applyFont="1" applyBorder="1" applyAlignment="1">
      <alignment horizontal="center" vertical="center" wrapText="1"/>
    </xf>
    <xf numFmtId="2" fontId="14" fillId="0" borderId="20" xfId="6" applyNumberFormat="1" applyFont="1" applyBorder="1" applyAlignment="1">
      <alignment horizontal="center" vertical="center" wrapText="1"/>
    </xf>
    <xf numFmtId="2" fontId="14" fillId="0" borderId="19" xfId="6" applyNumberFormat="1" applyFont="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14" fillId="0" borderId="29" xfId="6" applyFont="1" applyBorder="1" applyAlignment="1">
      <alignment horizontal="center" vertical="center" wrapText="1"/>
    </xf>
    <xf numFmtId="9" fontId="14" fillId="0" borderId="29" xfId="6" applyNumberFormat="1" applyFont="1" applyBorder="1" applyAlignment="1">
      <alignment horizontal="center" vertical="center" wrapText="1"/>
    </xf>
    <xf numFmtId="1" fontId="14" fillId="0" borderId="29" xfId="6" applyNumberFormat="1" applyFont="1" applyBorder="1" applyAlignment="1">
      <alignment horizontal="center" vertical="center" wrapText="1"/>
    </xf>
    <xf numFmtId="2" fontId="14" fillId="0" borderId="29" xfId="6" applyNumberFormat="1" applyFont="1" applyBorder="1" applyAlignment="1">
      <alignment horizontal="center" vertical="center" wrapText="1"/>
    </xf>
    <xf numFmtId="2" fontId="14" fillId="0" borderId="13" xfId="6" applyNumberFormat="1" applyFont="1" applyBorder="1" applyAlignment="1">
      <alignment horizontal="center" vertical="center" wrapText="1"/>
    </xf>
    <xf numFmtId="2" fontId="14" fillId="0" borderId="53" xfId="6" applyNumberFormat="1" applyFont="1" applyBorder="1" applyAlignment="1">
      <alignment horizontal="center" vertical="center" wrapText="1"/>
    </xf>
    <xf numFmtId="2" fontId="14" fillId="0" borderId="29"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30" xfId="6" applyNumberFormat="1" applyFont="1" applyFill="1" applyBorder="1" applyAlignment="1">
      <alignment horizontal="center" vertical="center" wrapText="1"/>
    </xf>
    <xf numFmtId="0" fontId="14" fillId="0" borderId="54" xfId="6" applyFont="1" applyBorder="1" applyAlignment="1">
      <alignment horizontal="center" vertical="center" wrapText="1"/>
    </xf>
    <xf numFmtId="9" fontId="14" fillId="0" borderId="54" xfId="6" applyNumberFormat="1" applyFont="1" applyBorder="1" applyAlignment="1">
      <alignment horizontal="center" vertical="center" wrapText="1"/>
    </xf>
    <xf numFmtId="1" fontId="14" fillId="0" borderId="54" xfId="6" applyNumberFormat="1" applyFont="1" applyBorder="1" applyAlignment="1">
      <alignment horizontal="center" vertical="center" wrapText="1"/>
    </xf>
    <xf numFmtId="2" fontId="14" fillId="0" borderId="54" xfId="6" applyNumberFormat="1" applyFont="1" applyBorder="1" applyAlignment="1">
      <alignment horizontal="center" vertical="center" wrapText="1"/>
    </xf>
    <xf numFmtId="2" fontId="14" fillId="0" borderId="55" xfId="6" applyNumberFormat="1" applyFont="1" applyBorder="1" applyAlignment="1">
      <alignment horizontal="center" vertical="center" wrapText="1"/>
    </xf>
    <xf numFmtId="2" fontId="14" fillId="0" borderId="56" xfId="6" applyNumberFormat="1" applyFont="1" applyBorder="1" applyAlignment="1">
      <alignment horizontal="center" vertical="center" wrapText="1"/>
    </xf>
    <xf numFmtId="2" fontId="14" fillId="0" borderId="54" xfId="6" applyNumberFormat="1" applyFont="1" applyFill="1" applyBorder="1" applyAlignment="1">
      <alignment horizontal="center" vertical="center" wrapText="1"/>
    </xf>
    <xf numFmtId="2" fontId="14" fillId="0" borderId="55" xfId="6" applyNumberFormat="1" applyFont="1" applyFill="1" applyBorder="1" applyAlignment="1">
      <alignment horizontal="center" vertical="center" wrapText="1"/>
    </xf>
    <xf numFmtId="2" fontId="14" fillId="0" borderId="57" xfId="6" applyNumberFormat="1" applyFont="1" applyFill="1" applyBorder="1" applyAlignment="1">
      <alignment horizontal="center" vertical="center" wrapText="1"/>
    </xf>
    <xf numFmtId="0" fontId="14" fillId="0" borderId="51" xfId="4" applyFont="1" applyBorder="1" applyAlignment="1">
      <alignment horizontal="center" vertical="center" wrapText="1"/>
    </xf>
    <xf numFmtId="9" fontId="14" fillId="0" borderId="51" xfId="4" applyNumberFormat="1" applyFont="1" applyFill="1" applyBorder="1" applyAlignment="1">
      <alignment horizontal="center" vertical="center" wrapText="1"/>
    </xf>
    <xf numFmtId="1" fontId="14" fillId="0" borderId="51" xfId="4" applyNumberFormat="1" applyFont="1" applyBorder="1" applyAlignment="1">
      <alignment horizontal="center" vertical="center" wrapText="1"/>
    </xf>
    <xf numFmtId="2" fontId="14" fillId="0" borderId="51" xfId="4" applyNumberFormat="1" applyFont="1" applyBorder="1" applyAlignment="1">
      <alignment horizontal="center" vertical="center" wrapText="1"/>
    </xf>
    <xf numFmtId="2" fontId="14" fillId="0" borderId="27" xfId="4" applyNumberFormat="1" applyFont="1" applyBorder="1" applyAlignment="1">
      <alignment horizontal="center" vertical="center" wrapText="1"/>
    </xf>
    <xf numFmtId="2" fontId="14" fillId="0" borderId="26" xfId="4" applyNumberFormat="1" applyFont="1" applyFill="1" applyBorder="1" applyAlignment="1">
      <alignment horizontal="center" vertical="center" wrapText="1"/>
    </xf>
    <xf numFmtId="2" fontId="14" fillId="0" borderId="51" xfId="4" applyNumberFormat="1" applyFont="1" applyFill="1" applyBorder="1" applyAlignment="1">
      <alignment horizontal="center" vertical="center" wrapText="1"/>
    </xf>
    <xf numFmtId="2" fontId="14" fillId="0" borderId="27" xfId="4" applyNumberFormat="1" applyFont="1" applyFill="1" applyBorder="1" applyAlignment="1">
      <alignment horizontal="center" vertical="center" wrapText="1"/>
    </xf>
    <xf numFmtId="2" fontId="14" fillId="0" borderId="52" xfId="4" applyNumberFormat="1" applyFont="1" applyFill="1" applyBorder="1" applyAlignment="1">
      <alignment horizontal="center" vertical="center" wrapText="1"/>
    </xf>
    <xf numFmtId="2" fontId="14" fillId="2" borderId="51" xfId="4" applyNumberFormat="1" applyFont="1" applyFill="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38" xfId="4" applyNumberFormat="1" applyFont="1" applyFill="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0" borderId="29" xfId="4" applyNumberFormat="1" applyFont="1" applyBorder="1" applyAlignment="1">
      <alignment horizontal="center" vertical="center" wrapText="1"/>
    </xf>
    <xf numFmtId="2" fontId="14" fillId="0" borderId="30" xfId="6" applyNumberFormat="1" applyFont="1" applyBorder="1" applyAlignment="1">
      <alignment horizontal="center" vertical="center" wrapText="1"/>
    </xf>
    <xf numFmtId="2" fontId="14" fillId="2" borderId="47" xfId="4" applyNumberFormat="1" applyFont="1" applyFill="1" applyBorder="1" applyAlignment="1">
      <alignment horizontal="center" vertical="center" wrapText="1"/>
    </xf>
    <xf numFmtId="9" fontId="14" fillId="0" borderId="51" xfId="6" applyNumberFormat="1" applyFont="1" applyFill="1" applyBorder="1" applyAlignment="1">
      <alignment horizontal="center" vertical="center" wrapText="1"/>
    </xf>
    <xf numFmtId="0" fontId="14" fillId="0" borderId="16" xfId="6" applyFont="1" applyFill="1" applyBorder="1" applyAlignment="1">
      <alignment horizontal="center" vertical="center" wrapText="1"/>
    </xf>
    <xf numFmtId="9" fontId="14" fillId="0" borderId="16" xfId="6" applyNumberFormat="1"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9" xfId="6" applyNumberFormat="1" applyFont="1" applyFill="1" applyBorder="1" applyAlignment="1">
      <alignment horizontal="center" vertical="center" wrapText="1"/>
    </xf>
    <xf numFmtId="0" fontId="14" fillId="0" borderId="29" xfId="6" applyFont="1" applyFill="1" applyBorder="1" applyAlignment="1">
      <alignment horizontal="center" vertical="center" wrapText="1"/>
    </xf>
    <xf numFmtId="9" fontId="14" fillId="0" borderId="29" xfId="6" applyNumberFormat="1" applyFont="1" applyFill="1" applyBorder="1" applyAlignment="1">
      <alignment horizontal="center" vertical="center" wrapText="1"/>
    </xf>
    <xf numFmtId="2" fontId="14" fillId="0" borderId="53" xfId="6" applyNumberFormat="1" applyFont="1" applyFill="1" applyBorder="1" applyAlignment="1">
      <alignment horizontal="center" vertical="center" wrapText="1"/>
    </xf>
    <xf numFmtId="0" fontId="14" fillId="0" borderId="51" xfId="6"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1" fontId="14" fillId="0" borderId="29" xfId="6" applyNumberFormat="1" applyFont="1" applyFill="1" applyBorder="1" applyAlignment="1">
      <alignment horizontal="center" vertical="center" wrapText="1"/>
    </xf>
    <xf numFmtId="2" fontId="14" fillId="0" borderId="56" xfId="6" applyNumberFormat="1" applyFont="1" applyFill="1" applyBorder="1" applyAlignment="1">
      <alignment horizontal="center" vertical="center" wrapText="1"/>
    </xf>
    <xf numFmtId="0" fontId="14" fillId="0" borderId="54" xfId="6" applyFont="1" applyFill="1" applyBorder="1" applyAlignment="1">
      <alignment horizontal="center" vertical="center" wrapText="1"/>
    </xf>
    <xf numFmtId="9" fontId="14" fillId="0" borderId="54" xfId="6" applyNumberFormat="1" applyFont="1" applyFill="1" applyBorder="1" applyAlignment="1">
      <alignment horizontal="center" vertical="center" wrapText="1"/>
    </xf>
    <xf numFmtId="1" fontId="14" fillId="0" borderId="54" xfId="6" applyNumberFormat="1" applyFont="1" applyFill="1" applyBorder="1" applyAlignment="1">
      <alignment horizontal="center" vertical="center" wrapText="1"/>
    </xf>
    <xf numFmtId="0" fontId="14" fillId="0" borderId="15" xfId="6" applyFont="1" applyFill="1" applyBorder="1" applyAlignment="1">
      <alignment horizontal="center" vertical="center" wrapText="1"/>
    </xf>
    <xf numFmtId="9" fontId="14" fillId="0" borderId="15" xfId="11" applyFont="1" applyBorder="1" applyAlignment="1">
      <alignment horizontal="center" vertical="center" wrapText="1"/>
    </xf>
    <xf numFmtId="1" fontId="14" fillId="0" borderId="15" xfId="6" applyNumberFormat="1" applyFont="1" applyBorder="1" applyAlignment="1">
      <alignment horizontal="center" vertical="center" wrapText="1"/>
    </xf>
    <xf numFmtId="2" fontId="14" fillId="0" borderId="38"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6" xfId="6" applyNumberFormat="1" applyFont="1" applyFill="1" applyBorder="1" applyAlignment="1">
      <alignment horizontal="center" vertical="center" wrapText="1"/>
    </xf>
    <xf numFmtId="2" fontId="14" fillId="0" borderId="15" xfId="4"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2" fontId="14" fillId="0" borderId="19" xfId="6" applyNumberFormat="1" applyFont="1" applyBorder="1" applyAlignment="1">
      <alignment horizontal="center" vertical="center" wrapText="1"/>
    </xf>
    <xf numFmtId="2" fontId="14" fillId="0" borderId="20" xfId="6" applyNumberFormat="1" applyFont="1" applyBorder="1" applyAlignment="1">
      <alignment horizontal="center" vertical="center" wrapText="1"/>
    </xf>
    <xf numFmtId="2" fontId="14" fillId="0" borderId="37" xfId="6" applyNumberFormat="1" applyFont="1" applyBorder="1" applyAlignment="1">
      <alignment horizontal="center" vertical="center" wrapText="1"/>
    </xf>
    <xf numFmtId="2" fontId="14" fillId="0" borderId="16" xfId="4" applyNumberFormat="1" applyFont="1" applyFill="1" applyBorder="1" applyAlignment="1">
      <alignment horizontal="center" vertical="center" wrapText="1"/>
    </xf>
    <xf numFmtId="9" fontId="1" fillId="0" borderId="0" xfId="6" applyNumberFormat="1" applyFont="1"/>
  </cellXfs>
  <cellStyles count="38">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106031320"/>
        <c:axId val="2095231720"/>
      </c:lineChart>
      <c:catAx>
        <c:axId val="210603132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5231720"/>
        <c:crosses val="autoZero"/>
        <c:auto val="1"/>
        <c:lblAlgn val="ctr"/>
        <c:lblOffset val="100"/>
        <c:noMultiLvlLbl val="0"/>
      </c:catAx>
      <c:valAx>
        <c:axId val="2095231720"/>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06031320"/>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095659192"/>
        <c:axId val="2095662248"/>
      </c:lineChart>
      <c:catAx>
        <c:axId val="209565919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5662248"/>
        <c:crosses val="autoZero"/>
        <c:auto val="1"/>
        <c:lblAlgn val="ctr"/>
        <c:lblOffset val="100"/>
        <c:noMultiLvlLbl val="0"/>
      </c:catAx>
      <c:valAx>
        <c:axId val="2095662248"/>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5659192"/>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406400</xdr:colOff>
      <xdr:row>7</xdr:row>
      <xdr:rowOff>38100</xdr:rowOff>
    </xdr:to>
    <xdr:sp macro="" textlink="">
      <xdr:nvSpPr>
        <xdr:cNvPr id="1838486" name="AutoShape 406"/>
        <xdr:cNvSpPr>
          <a:spLocks noChangeAspect="1" noChangeArrowheads="1"/>
        </xdr:cNvSpPr>
      </xdr:nvSpPr>
      <xdr:spPr bwMode="auto">
        <a:xfrm>
          <a:off x="0" y="0"/>
          <a:ext cx="4711700" cy="11049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4</xdr:col>
      <xdr:colOff>419100</xdr:colOff>
      <xdr:row>0</xdr:row>
      <xdr:rowOff>0</xdr:rowOff>
    </xdr:from>
    <xdr:to>
      <xdr:col>11</xdr:col>
      <xdr:colOff>571500</xdr:colOff>
      <xdr:row>7</xdr:row>
      <xdr:rowOff>12700</xdr:rowOff>
    </xdr:to>
    <xdr:sp macro="" textlink="">
      <xdr:nvSpPr>
        <xdr:cNvPr id="1838487" name="AutoShape 407"/>
        <xdr:cNvSpPr>
          <a:spLocks noChangeAspect="1" noChangeArrowheads="1"/>
        </xdr:cNvSpPr>
      </xdr:nvSpPr>
      <xdr:spPr bwMode="auto">
        <a:xfrm>
          <a:off x="4724400" y="0"/>
          <a:ext cx="4686300" cy="1079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1</xdr:col>
      <xdr:colOff>666750</xdr:colOff>
      <xdr:row>0</xdr:row>
      <xdr:rowOff>104775</xdr:rowOff>
    </xdr:from>
    <xdr:to>
      <xdr:col>7</xdr:col>
      <xdr:colOff>333375</xdr:colOff>
      <xdr:row>7</xdr:row>
      <xdr:rowOff>85725</xdr:rowOff>
    </xdr:to>
    <xdr:pic>
      <xdr:nvPicPr>
        <xdr:cNvPr id="5"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381000</xdr:colOff>
      <xdr:row>7</xdr:row>
      <xdr:rowOff>12700</xdr:rowOff>
    </xdr:to>
    <xdr:sp macro="" textlink="">
      <xdr:nvSpPr>
        <xdr:cNvPr id="6" name="AutoShape 406"/>
        <xdr:cNvSpPr>
          <a:spLocks noChangeAspect="1" noChangeArrowheads="1"/>
        </xdr:cNvSpPr>
      </xdr:nvSpPr>
      <xdr:spPr bwMode="auto">
        <a:xfrm>
          <a:off x="0" y="0"/>
          <a:ext cx="4686300" cy="1079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2"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428"/>
      <c r="B1" s="428"/>
      <c r="C1" s="428"/>
      <c r="D1" s="428"/>
      <c r="E1" s="428"/>
      <c r="F1" s="428"/>
      <c r="G1" s="428"/>
      <c r="H1" s="428"/>
      <c r="I1" s="428"/>
      <c r="J1" s="428"/>
      <c r="K1" s="428"/>
      <c r="L1" s="428"/>
      <c r="M1" s="428"/>
      <c r="N1" s="428"/>
      <c r="O1" s="428"/>
      <c r="P1" s="428"/>
      <c r="Q1" s="428"/>
      <c r="R1" s="428"/>
      <c r="S1" s="428"/>
      <c r="T1" s="428"/>
    </row>
    <row r="2" spans="1:20" ht="113.25" customHeight="1">
      <c r="A2" s="428"/>
      <c r="B2" s="428"/>
      <c r="C2" s="428"/>
      <c r="D2" s="428"/>
      <c r="E2" s="428"/>
      <c r="F2" s="428"/>
      <c r="G2" s="428"/>
      <c r="H2" s="428"/>
      <c r="I2" s="428"/>
      <c r="J2" s="428"/>
      <c r="K2" s="428"/>
      <c r="L2" s="428"/>
      <c r="M2" s="428"/>
      <c r="N2" s="428"/>
      <c r="O2" s="428"/>
      <c r="P2" s="119"/>
      <c r="Q2" s="119"/>
      <c r="R2" s="119"/>
      <c r="S2" s="119"/>
      <c r="T2" s="119"/>
    </row>
    <row r="3" spans="1:20" ht="15" thickBot="1">
      <c r="C3" s="110"/>
      <c r="D3"/>
      <c r="E3" s="110"/>
      <c r="F3" s="110"/>
      <c r="G3" s="110"/>
      <c r="H3" s="110"/>
      <c r="I3" s="213"/>
      <c r="J3" s="213"/>
      <c r="K3" s="213"/>
      <c r="L3" s="172"/>
      <c r="M3" s="7" t="s">
        <v>0</v>
      </c>
    </row>
    <row r="4" spans="1:20" ht="15" thickBot="1">
      <c r="C4" s="117" t="s">
        <v>147</v>
      </c>
      <c r="D4" s="124"/>
      <c r="E4" s="119"/>
      <c r="F4" s="110"/>
      <c r="G4" s="110"/>
      <c r="H4" s="163" t="s">
        <v>0</v>
      </c>
      <c r="I4" s="213"/>
      <c r="J4" s="213"/>
      <c r="K4" s="213"/>
      <c r="L4" s="172"/>
      <c r="M4" t="s">
        <v>0</v>
      </c>
      <c r="Q4" t="s">
        <v>0</v>
      </c>
      <c r="R4" t="s">
        <v>0</v>
      </c>
    </row>
    <row r="5" spans="1:20">
      <c r="B5" s="1" t="s">
        <v>1</v>
      </c>
      <c r="C5" s="110" t="s">
        <v>714</v>
      </c>
      <c r="D5" s="1"/>
      <c r="E5" s="110"/>
      <c r="F5" s="110"/>
      <c r="G5" s="110"/>
      <c r="H5"/>
      <c r="I5"/>
      <c r="J5"/>
      <c r="K5"/>
      <c r="L5"/>
      <c r="M5" t="s">
        <v>0</v>
      </c>
      <c r="N5" t="s">
        <v>0</v>
      </c>
      <c r="O5" t="s">
        <v>0</v>
      </c>
      <c r="P5" t="s">
        <v>0</v>
      </c>
    </row>
    <row r="6" spans="1:20" ht="15" thickBot="1">
      <c r="B6" s="1" t="s">
        <v>3</v>
      </c>
      <c r="C6" s="110"/>
      <c r="D6" s="104" t="s">
        <v>348</v>
      </c>
      <c r="E6" s="110"/>
      <c r="F6" s="110"/>
      <c r="G6" s="110"/>
      <c r="H6" s="29" t="s">
        <v>0</v>
      </c>
      <c r="I6" s="29"/>
      <c r="J6" s="29"/>
      <c r="K6" s="29"/>
      <c r="L6" s="29"/>
      <c r="M6" s="7" t="s">
        <v>0</v>
      </c>
      <c r="N6" t="s">
        <v>0</v>
      </c>
      <c r="O6" t="s">
        <v>0</v>
      </c>
      <c r="P6" t="s">
        <v>0</v>
      </c>
    </row>
    <row r="7" spans="1:20" ht="15" thickBot="1">
      <c r="B7" s="4" t="s">
        <v>389</v>
      </c>
      <c r="C7" s="211" t="s">
        <v>561</v>
      </c>
      <c r="D7" s="114">
        <f>'Output - Jobs vs Yr (BAU)'!X4/'Output - Jobs vs Yr (BAU)'!C4-1</f>
        <v>0.10686186945390164</v>
      </c>
      <c r="E7" s="92" t="s">
        <v>525</v>
      </c>
      <c r="F7" s="109"/>
      <c r="G7" s="109"/>
      <c r="H7" s="29" t="s">
        <v>0</v>
      </c>
      <c r="I7" s="29"/>
      <c r="J7" s="29"/>
      <c r="K7" s="29"/>
      <c r="L7" s="29"/>
      <c r="M7" s="7" t="s">
        <v>0</v>
      </c>
      <c r="N7" t="s">
        <v>0</v>
      </c>
      <c r="O7" t="s">
        <v>0</v>
      </c>
      <c r="P7" t="s">
        <v>0</v>
      </c>
    </row>
    <row r="8" spans="1:20" ht="15" thickBot="1">
      <c r="B8" s="1" t="s">
        <v>374</v>
      </c>
      <c r="C8" s="109"/>
      <c r="D8" s="104" t="s">
        <v>348</v>
      </c>
      <c r="E8" s="418" t="s">
        <v>724</v>
      </c>
      <c r="F8" s="109"/>
      <c r="G8" s="418" t="s">
        <v>725</v>
      </c>
      <c r="H8"/>
      <c r="I8"/>
      <c r="J8"/>
      <c r="K8"/>
      <c r="L8"/>
      <c r="M8" t="s">
        <v>0</v>
      </c>
      <c r="N8" t="s">
        <v>0</v>
      </c>
      <c r="O8" s="111" t="s">
        <v>0</v>
      </c>
      <c r="P8" s="31" t="s">
        <v>0</v>
      </c>
    </row>
    <row r="9" spans="1:20" ht="15.75" hidden="1" customHeight="1" thickBot="1">
      <c r="B9" s="43" t="s">
        <v>374</v>
      </c>
      <c r="C9" s="110"/>
      <c r="D9" s="114" t="e">
        <f>'Output - Jobs vs Yr (BAU)'!X6/'Output - Jobs vs Yr (BAU)'!C6-1</f>
        <v>#DIV/0!</v>
      </c>
      <c r="E9" s="109"/>
      <c r="F9" s="109"/>
      <c r="G9" s="109"/>
      <c r="H9"/>
      <c r="I9"/>
      <c r="J9"/>
      <c r="K9"/>
      <c r="L9"/>
      <c r="M9"/>
      <c r="O9" s="102"/>
    </row>
    <row r="10" spans="1:20" ht="15.75" hidden="1" customHeight="1" thickBot="1">
      <c r="B10" s="93" t="s">
        <v>358</v>
      </c>
      <c r="C10" s="110"/>
      <c r="D10" s="43"/>
      <c r="E10" s="109"/>
      <c r="F10" s="109"/>
      <c r="G10" s="109"/>
      <c r="H10"/>
      <c r="I10"/>
      <c r="J10"/>
      <c r="K10"/>
      <c r="L10"/>
      <c r="M10"/>
      <c r="O10" s="102"/>
    </row>
    <row r="11" spans="1:20" ht="15" thickBot="1">
      <c r="B11" t="s">
        <v>386</v>
      </c>
      <c r="C11" s="126">
        <v>0.15</v>
      </c>
      <c r="D11" s="125">
        <f>'Output - Jobs vs Yr (BAU)'!N18/'Output -Jobs vs Yr'!N14</f>
        <v>3.3155184938343893E-2</v>
      </c>
      <c r="E11" s="417"/>
      <c r="F11" s="109"/>
      <c r="G11" s="414"/>
      <c r="H11"/>
      <c r="I11"/>
      <c r="J11"/>
      <c r="K11"/>
      <c r="L11"/>
      <c r="M11" t="s">
        <v>0</v>
      </c>
      <c r="N11" t="s">
        <v>0</v>
      </c>
      <c r="O11" s="111" t="s">
        <v>0</v>
      </c>
      <c r="P11" s="31" t="s">
        <v>0</v>
      </c>
    </row>
    <row r="12" spans="1:20" ht="15" thickBot="1">
      <c r="B12" t="s">
        <v>387</v>
      </c>
      <c r="C12" s="210">
        <v>0.2</v>
      </c>
      <c r="D12" s="125">
        <f>'Output - Jobs vs Yr (BAU)'!X18/'Output -Jobs vs Yr'!X14</f>
        <v>4.2578467220146805E-2</v>
      </c>
      <c r="E12" s="417">
        <f>(D12/D11)^(1/10)</f>
        <v>1.0253304540597408</v>
      </c>
      <c r="F12" s="109"/>
      <c r="G12" s="415">
        <f>(C12/C11)^(1/10)</f>
        <v>1.0291860089647606</v>
      </c>
      <c r="H12"/>
      <c r="I12"/>
      <c r="J12"/>
      <c r="K12"/>
      <c r="L12"/>
      <c r="M12" t="s">
        <v>0</v>
      </c>
      <c r="N12" t="s">
        <v>0</v>
      </c>
      <c r="O12" s="111" t="s">
        <v>0</v>
      </c>
      <c r="P12" s="31" t="s">
        <v>0</v>
      </c>
    </row>
    <row r="13" spans="1:20" ht="15" thickBot="1">
      <c r="B13" t="s">
        <v>580</v>
      </c>
      <c r="C13" s="211">
        <v>0.25</v>
      </c>
      <c r="D13" s="173">
        <f>'Output - Jobs vs Yr (BAU)'!AH18/'Output -Jobs vs Yr'!AH14</f>
        <v>4.6101219166320151E-2</v>
      </c>
      <c r="E13" s="417">
        <f>(D13/D12)^(1/10)</f>
        <v>1.0079807512258676</v>
      </c>
      <c r="F13" s="109"/>
      <c r="G13" s="416">
        <f>(C13/C12)^(1/10)</f>
        <v>1.0225651825635729</v>
      </c>
      <c r="H13"/>
      <c r="I13"/>
      <c r="J13"/>
      <c r="K13"/>
      <c r="L13"/>
      <c r="M13"/>
      <c r="O13" s="111"/>
      <c r="P13" s="31"/>
    </row>
    <row r="14" spans="1:20">
      <c r="B14" t="s">
        <v>581</v>
      </c>
      <c r="C14" s="212"/>
      <c r="D14" s="173"/>
      <c r="E14" s="109"/>
      <c r="F14" s="109"/>
      <c r="G14" s="109"/>
      <c r="H14"/>
      <c r="I14"/>
      <c r="J14"/>
      <c r="K14"/>
      <c r="L14"/>
      <c r="M14"/>
      <c r="O14" s="111"/>
      <c r="P14" s="31"/>
    </row>
    <row r="15" spans="1:20" ht="15" thickBot="1">
      <c r="C15" s="4" t="s">
        <v>0</v>
      </c>
      <c r="D15" s="32"/>
      <c r="E15" s="4"/>
      <c r="F15" s="95" t="s">
        <v>0</v>
      </c>
      <c r="G15" s="95"/>
      <c r="H15" s="4"/>
      <c r="I15" s="4"/>
      <c r="J15" s="4"/>
      <c r="K15" s="4"/>
      <c r="L15" s="4"/>
      <c r="N15" t="s">
        <v>719</v>
      </c>
      <c r="O15" s="31" t="s">
        <v>719</v>
      </c>
      <c r="P15" s="31" t="s">
        <v>720</v>
      </c>
      <c r="Q15" t="s">
        <v>717</v>
      </c>
    </row>
    <row r="16" spans="1:20" ht="15" thickBot="1">
      <c r="B16" s="32" t="s">
        <v>369</v>
      </c>
      <c r="C16" s="106" t="s">
        <v>372</v>
      </c>
      <c r="D16" s="104" t="s">
        <v>541</v>
      </c>
      <c r="E16" s="104" t="s">
        <v>370</v>
      </c>
      <c r="F16" s="104" t="s">
        <v>365</v>
      </c>
      <c r="G16" s="104" t="s">
        <v>551</v>
      </c>
      <c r="H16" s="104" t="s">
        <v>370</v>
      </c>
      <c r="I16" s="104" t="s">
        <v>713</v>
      </c>
      <c r="J16" s="104" t="s">
        <v>712</v>
      </c>
      <c r="K16" s="104" t="s">
        <v>370</v>
      </c>
      <c r="L16" s="104"/>
      <c r="M16" s="44" t="s">
        <v>263</v>
      </c>
      <c r="N16" s="261">
        <v>2020</v>
      </c>
      <c r="O16" s="261">
        <v>2030</v>
      </c>
      <c r="P16" s="261">
        <v>2040</v>
      </c>
      <c r="Q16" s="199">
        <v>2031</v>
      </c>
    </row>
    <row r="17" spans="2:17" ht="15" thickBot="1">
      <c r="B17" t="s">
        <v>359</v>
      </c>
      <c r="C17" s="196">
        <f>D17*$C$11/$D$11</f>
        <v>7.5239807426640243E-2</v>
      </c>
      <c r="D17" s="127">
        <f>'Output - Jobs vs Yr (BAU)'!N10/'Output -Jobs vs Yr'!$N$14</f>
        <v>1.6630598199704253E-2</v>
      </c>
      <c r="E17" s="105">
        <f t="shared" ref="E17:E23" si="0">IF($C$24&lt;&gt;0,C17/$C$24,0)</f>
        <v>0.50159871617760166</v>
      </c>
      <c r="F17" s="173">
        <f>C17*$C$12/$C$11</f>
        <v>0.10031974323552033</v>
      </c>
      <c r="G17" s="105">
        <f>'Output - Jobs vs Yr (BAU)'!X10/'Output - Jobs vs Yr (BAU)'!X24</f>
        <v>2.5708406031744058E-2</v>
      </c>
      <c r="H17" s="105">
        <f t="shared" ref="H17:H23" si="1">G17/$G$24</f>
        <v>0.61176974760589387</v>
      </c>
      <c r="I17" s="173">
        <f>F17*$C$13/$C$12</f>
        <v>0.12539967904440041</v>
      </c>
      <c r="J17" s="105">
        <f>'Output - Jobs vs Yr (BAU)'!AH10/'Output - Jobs vs Yr (BAU)'!AH24</f>
        <v>2.4229967744604248E-2</v>
      </c>
      <c r="K17" s="105">
        <f>J17/$J$24</f>
        <v>0.53402823566340807</v>
      </c>
      <c r="L17" s="105"/>
      <c r="M17" s="45" t="s">
        <v>265</v>
      </c>
      <c r="N17" s="86">
        <f>HLOOKUP(N16,'Output -Jobs vs Yr'!$H$175:$AH$184,9)</f>
        <v>3891.3014286127072</v>
      </c>
      <c r="O17" s="86">
        <f>HLOOKUP(O16,'Output -Jobs vs Yr'!$H$175:$AH$184,9)</f>
        <v>6092.1873564070629</v>
      </c>
      <c r="P17" s="86">
        <f>HLOOKUP(P16,'Output -Jobs vs Yr'!$H$175:$AH$184,9)</f>
        <v>8272.3562938560935</v>
      </c>
      <c r="Q17" s="86">
        <f>HLOOKUP(Q16,'Output -Jobs vs Yr'!$H$175:$AH$184,9)</f>
        <v>6308.2647883420432</v>
      </c>
    </row>
    <row r="18" spans="2:17" ht="15" thickBot="1">
      <c r="B18" s="4" t="s">
        <v>360</v>
      </c>
      <c r="C18" s="196">
        <f>D18*$C$11/$D$11</f>
        <v>2.1778995149396718E-9</v>
      </c>
      <c r="D18" s="127">
        <f>'Output - Jobs vs Yr (BAU)'!N15/'Output -Jobs vs Yr'!$N$14</f>
        <v>4.8139107463302852E-10</v>
      </c>
      <c r="E18" s="105">
        <f t="shared" si="0"/>
        <v>1.4519330099597812E-8</v>
      </c>
      <c r="F18" s="173">
        <f t="shared" ref="F18:F23" si="2">C18*$C$12/$C$11</f>
        <v>2.9038660199195628E-9</v>
      </c>
      <c r="G18" s="105">
        <f>'Output - Jobs vs Yr (BAU)'!X15/'Output - Jobs vs Yr (BAU)'!X24</f>
        <v>4.0912385304531404E-10</v>
      </c>
      <c r="H18" s="105">
        <f t="shared" si="1"/>
        <v>9.7357104134745495E-9</v>
      </c>
      <c r="I18" s="173">
        <f t="shared" ref="I18:I24" si="3">F18*$C$13/$C$12</f>
        <v>3.6298325248994533E-9</v>
      </c>
      <c r="J18" s="105">
        <f>'Output - Jobs vs Yr (BAU)'!AH15/'Output - Jobs vs Yr (BAU)'!AH24</f>
        <v>3.6447310242992798E-10</v>
      </c>
      <c r="K18" s="105">
        <f t="shared" ref="K18:K24" si="4">J18/$J$24</f>
        <v>8.0329833654346082E-9</v>
      </c>
      <c r="L18" s="105"/>
      <c r="M18" s="46" t="s">
        <v>266</v>
      </c>
      <c r="N18" s="87">
        <f>HLOOKUP(N16,'Output -Jobs vs Yr'!$H$175:$AH$184,10)</f>
        <v>3502.1712735361543</v>
      </c>
      <c r="O18" s="87">
        <f>HLOOKUP(O16,'Output -Jobs vs Yr'!$H$175:$AH$184,10)</f>
        <v>5482.9686018523826</v>
      </c>
      <c r="P18" s="87">
        <f>HLOOKUP(P16,'Output -Jobs vs Yr'!$H$175:$AH$184,10)</f>
        <v>7445.1206380061485</v>
      </c>
      <c r="Q18" s="87">
        <f>HLOOKUP(Q16,'Output -Jobs vs Yr'!$H$175:$AH$184,10)</f>
        <v>5677.4382899760603</v>
      </c>
    </row>
    <row r="19" spans="2:17" ht="15" thickBot="1">
      <c r="B19" s="4" t="s">
        <v>361</v>
      </c>
      <c r="C19" s="196">
        <f>D19*$C$11/$D$11</f>
        <v>2.1778995149396717E-6</v>
      </c>
      <c r="D19" s="127">
        <f>'Output - Jobs vs Yr (BAU)'!N11/'Output -Jobs vs Yr'!$N$14</f>
        <v>4.8139107463302857E-7</v>
      </c>
      <c r="E19" s="105">
        <f t="shared" si="0"/>
        <v>1.4519330099597812E-5</v>
      </c>
      <c r="F19" s="173">
        <f t="shared" si="2"/>
        <v>2.9038660199195626E-6</v>
      </c>
      <c r="G19" s="105">
        <f>'Output - Jobs vs Yr (BAU)'!X11/'Output - Jobs vs Yr (BAU)'!X24</f>
        <v>4.0912385304531404E-7</v>
      </c>
      <c r="H19" s="105">
        <f t="shared" si="1"/>
        <v>9.7357104134745504E-6</v>
      </c>
      <c r="I19" s="173">
        <f t="shared" si="3"/>
        <v>3.6298325248994531E-6</v>
      </c>
      <c r="J19" s="105">
        <f>'Output - Jobs vs Yr (BAU)'!AH11/'Output - Jobs vs Yr (BAU)'!AH24</f>
        <v>3.6447310242992799E-7</v>
      </c>
      <c r="K19" s="105">
        <f t="shared" si="4"/>
        <v>8.0329833654346089E-6</v>
      </c>
      <c r="L19" s="105"/>
      <c r="M19" s="46" t="s">
        <v>267</v>
      </c>
      <c r="N19" s="87">
        <f>HLOOKUP(N16,'Output -Jobs vs Yr'!$H$175:$AH$184,8)</f>
        <v>7393.4727021488652</v>
      </c>
      <c r="O19" s="87">
        <f>HLOOKUP(O16,'Output -Jobs vs Yr'!$H$175:$AH$184,8)</f>
        <v>11575.155958259449</v>
      </c>
      <c r="P19" s="87">
        <f>HLOOKUP(P16,'Output -Jobs vs Yr'!$H$175:$AH$184,8)</f>
        <v>15717.476931862242</v>
      </c>
      <c r="Q19" s="87">
        <f>HLOOKUP(Q16,'Output -Jobs vs Yr'!$H$175:$AH$184,8)</f>
        <v>11985.703078318104</v>
      </c>
    </row>
    <row r="20" spans="2:17" ht="15" thickBot="1">
      <c r="B20" s="4" t="s">
        <v>53</v>
      </c>
      <c r="C20" s="196">
        <f>D20*$C$11/$D$11</f>
        <v>5.0906288599185341E-2</v>
      </c>
      <c r="D20" s="127">
        <f>'Output - Jobs vs Yr (BAU)'!N12/'Output -Jobs vs Yr'!$N$14</f>
        <v>1.1252049420204649E-2</v>
      </c>
      <c r="E20" s="105">
        <f t="shared" si="0"/>
        <v>0.3393752573279023</v>
      </c>
      <c r="F20" s="173">
        <f t="shared" si="2"/>
        <v>6.7875051465580469E-2</v>
      </c>
      <c r="G20" s="105">
        <f>'Output - Jobs vs Yr (BAU)'!X12/'Output - Jobs vs Yr (BAU)'!X24</f>
        <v>9.5446099259968199E-3</v>
      </c>
      <c r="H20" s="105">
        <f t="shared" si="1"/>
        <v>0.22712818516300906</v>
      </c>
      <c r="I20" s="173">
        <f t="shared" si="3"/>
        <v>8.4843814331975576E-2</v>
      </c>
      <c r="J20" s="105">
        <f>'Output - Jobs vs Yr (BAU)'!AH12/'Output - Jobs vs Yr (BAU)'!AH24</f>
        <v>1.0020761517781026E-2</v>
      </c>
      <c r="K20" s="105">
        <f t="shared" si="4"/>
        <v>0.220857479042087</v>
      </c>
      <c r="L20" s="105"/>
      <c r="M20" s="47" t="s">
        <v>465</v>
      </c>
      <c r="N20" s="88">
        <f>HLOOKUP(N16,'Output -Jobs vs Yr'!$H$175:$AH$188,11)-HLOOKUP(N16,'Output -Jobs vs Yr'!$H$175:$AH$188,14)</f>
        <v>15083.088632103078</v>
      </c>
      <c r="O20" s="88">
        <f>HLOOKUP(O16,'Output -Jobs vs Yr'!$H$175:$AH$188,11)-HLOOKUP(O16,'Output -Jobs vs Yr'!$H$175:$AH$188,14)</f>
        <v>111389.24169288744</v>
      </c>
      <c r="P20" s="88">
        <f>HLOOKUP(P16,'Output -Jobs vs Yr'!$H$175:$AH$188,11)-HLOOKUP(P16,'Output -Jobs vs Yr'!$H$175:$AH$188,14)</f>
        <v>250274.35763578877</v>
      </c>
      <c r="Q20" s="88">
        <f>HLOOKUP(Q16,'Output -Jobs vs Yr'!$H$175:$AH$188,11)-HLOOKUP(Q16,'Output -Jobs vs Yr'!$H$175:$AH$188,14)</f>
        <v>123374.94477120554</v>
      </c>
    </row>
    <row r="21" spans="2:17" ht="15" thickBot="1">
      <c r="B21" t="s">
        <v>362</v>
      </c>
      <c r="C21" s="196">
        <f t="shared" ref="C21:C23" si="5">D21*$C$11/$D$11</f>
        <v>2.3849437102269267E-2</v>
      </c>
      <c r="D21" s="127">
        <f>'Output - Jobs vs Yr (BAU)'!N13/'Output -Jobs vs Yr'!$N$14</f>
        <v>5.2715499853409203E-3</v>
      </c>
      <c r="E21" s="105">
        <f t="shared" si="0"/>
        <v>0.15899624734846179</v>
      </c>
      <c r="F21" s="173">
        <f t="shared" si="2"/>
        <v>3.1799249469692356E-2</v>
      </c>
      <c r="G21" s="105">
        <f>'Output - Jobs vs Yr (BAU)'!X13/'Output - Jobs vs Yr (BAU)'!X24</f>
        <v>6.769150528084183E-3</v>
      </c>
      <c r="H21" s="105">
        <f t="shared" si="1"/>
        <v>0.16108200193193492</v>
      </c>
      <c r="I21" s="173">
        <f t="shared" si="3"/>
        <v>3.9749061837115442E-2</v>
      </c>
      <c r="J21" s="105">
        <f>'Output - Jobs vs Yr (BAU)'!AH13/'Output - Jobs vs Yr (BAU)'!AH24</f>
        <v>1.1119316251084048E-2</v>
      </c>
      <c r="K21" s="105">
        <f t="shared" si="4"/>
        <v>0.2450696138740098</v>
      </c>
      <c r="L21" s="105"/>
      <c r="N21" s="161"/>
    </row>
    <row r="22" spans="2:17" ht="15" thickBot="1">
      <c r="B22" s="4" t="s">
        <v>363</v>
      </c>
      <c r="C22" s="196">
        <f t="shared" si="5"/>
        <v>2.1778995149396717E-6</v>
      </c>
      <c r="D22" s="127">
        <f>'Output - Jobs vs Yr (BAU)'!N14/'Output -Jobs vs Yr'!$N$14</f>
        <v>4.8139107463302857E-7</v>
      </c>
      <c r="E22" s="105">
        <f t="shared" si="0"/>
        <v>1.4519330099597812E-5</v>
      </c>
      <c r="F22" s="173">
        <f t="shared" si="2"/>
        <v>2.9038660199195626E-6</v>
      </c>
      <c r="G22" s="105">
        <f>'Output - Jobs vs Yr (BAU)'!X14/'Output - Jobs vs Yr (BAU)'!X24</f>
        <v>4.0912385304531404E-7</v>
      </c>
      <c r="H22" s="105">
        <f t="shared" si="1"/>
        <v>9.7357104134745504E-6</v>
      </c>
      <c r="I22" s="173">
        <f t="shared" si="3"/>
        <v>3.6298325248994531E-6</v>
      </c>
      <c r="J22" s="105">
        <f>'Output - Jobs vs Yr (BAU)'!AH14/'Output - Jobs vs Yr (BAU)'!AH24</f>
        <v>3.6447310242992799E-7</v>
      </c>
      <c r="K22" s="105">
        <f t="shared" si="4"/>
        <v>8.0329833654346089E-6</v>
      </c>
      <c r="L22" s="105"/>
      <c r="O22" t="s">
        <v>0</v>
      </c>
    </row>
    <row r="23" spans="2:17" ht="15" thickBot="1">
      <c r="B23" t="s">
        <v>364</v>
      </c>
      <c r="C23" s="196">
        <f t="shared" si="5"/>
        <v>1.0889497574698358E-7</v>
      </c>
      <c r="D23" s="127">
        <f>'Output - Jobs vs Yr (BAU)'!N16/'Output -Jobs vs Yr'!$N$14</f>
        <v>2.4069553731651426E-8</v>
      </c>
      <c r="E23" s="105">
        <f t="shared" si="0"/>
        <v>7.2596650497989055E-7</v>
      </c>
      <c r="F23" s="173">
        <f t="shared" si="2"/>
        <v>1.4519330099597813E-7</v>
      </c>
      <c r="G23" s="105">
        <f>'Output - Jobs vs Yr (BAU)'!X16/'Output - Jobs vs Yr (BAU)'!X24</f>
        <v>2.454743118271884E-8</v>
      </c>
      <c r="H23" s="105">
        <f t="shared" si="1"/>
        <v>5.8414262480847291E-7</v>
      </c>
      <c r="I23" s="173">
        <f t="shared" si="3"/>
        <v>1.8149162624497266E-7</v>
      </c>
      <c r="J23" s="105">
        <f>'Output - Jobs vs Yr (BAU)'!AH16/'Output - Jobs vs Yr (BAU)'!AH24</f>
        <v>1.2975242446505435E-6</v>
      </c>
      <c r="K23" s="105">
        <f t="shared" si="4"/>
        <v>2.8597420780947203E-5</v>
      </c>
      <c r="L23" s="105"/>
      <c r="M23" s="44"/>
      <c r="N23" s="198"/>
      <c r="O23" t="s">
        <v>0</v>
      </c>
    </row>
    <row r="24" spans="2:17">
      <c r="B24" s="108" t="s">
        <v>376</v>
      </c>
      <c r="C24" s="138">
        <f t="shared" ref="C24:H24" si="6">SUM(C17:C23)</f>
        <v>0.15</v>
      </c>
      <c r="D24" s="206">
        <f t="shared" si="6"/>
        <v>3.31551849383439E-2</v>
      </c>
      <c r="E24" s="201">
        <f t="shared" si="6"/>
        <v>0.99999999999999989</v>
      </c>
      <c r="F24" s="201">
        <f t="shared" si="6"/>
        <v>0.2</v>
      </c>
      <c r="G24" s="201">
        <f t="shared" si="6"/>
        <v>4.202300969008619E-2</v>
      </c>
      <c r="H24" s="105">
        <f t="shared" si="6"/>
        <v>1</v>
      </c>
      <c r="I24" s="173">
        <f t="shared" si="3"/>
        <v>0.25</v>
      </c>
      <c r="J24" s="105">
        <f>SUM(J17:J23)</f>
        <v>4.5372072348391933E-2</v>
      </c>
      <c r="K24" s="105">
        <f t="shared" si="4"/>
        <v>1</v>
      </c>
      <c r="L24" s="105"/>
      <c r="M24" s="44"/>
      <c r="N24" s="44"/>
      <c r="O24" t="s">
        <v>0</v>
      </c>
    </row>
    <row r="25" spans="2:17">
      <c r="B25" s="108"/>
      <c r="C25" s="138" t="str">
        <f>IF(ROUND(C24,3)=ROUND(C11,3),"Great, "&amp;ROUND(C24,3)*100&amp;"% agrees with 2020 RPS % entered above","Please re-adust RPS portfolio to total "&amp;ROUND(C11,3)*100&amp;"% or change 2020 RPS % entered above")</f>
        <v>Great, 15%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379</v>
      </c>
      <c r="C27" s="107"/>
      <c r="D27" s="201" t="s">
        <v>348</v>
      </c>
      <c r="E27" s="107"/>
      <c r="F27" s="98"/>
      <c r="G27" s="135" t="s">
        <v>0</v>
      </c>
      <c r="H27" s="136" t="s">
        <v>0</v>
      </c>
      <c r="I27" s="136"/>
      <c r="J27" s="136"/>
      <c r="K27" s="136"/>
      <c r="L27" s="136"/>
      <c r="M27"/>
    </row>
    <row r="28" spans="2:17" ht="15" thickBot="1">
      <c r="B28" t="s">
        <v>377</v>
      </c>
      <c r="C28" s="209">
        <f>D28</f>
        <v>0.12112949432905189</v>
      </c>
      <c r="D28" s="105">
        <f>('Output - Jobs vs Yr (BAU)'!N8+'Output - Jobs vs Yr (BAU)'!N7)/'Output -Jobs vs Yr'!N14</f>
        <v>0.12112949432905189</v>
      </c>
      <c r="E28" s="137" t="s">
        <v>0</v>
      </c>
      <c r="F28" s="98"/>
      <c r="G28" s="98" t="s">
        <v>0</v>
      </c>
      <c r="H28" s="136" t="s">
        <v>0</v>
      </c>
      <c r="I28" s="136"/>
      <c r="J28" s="136"/>
      <c r="K28" s="136"/>
      <c r="L28" s="136"/>
      <c r="M28"/>
    </row>
    <row r="29" spans="2:17" ht="15" thickBot="1">
      <c r="B29" t="s">
        <v>378</v>
      </c>
      <c r="C29" s="244">
        <f>D29</f>
        <v>0.11472666383533275</v>
      </c>
      <c r="D29" s="105">
        <f>('Output - Jobs vs Yr (BAU)'!X8+'Output - Jobs vs Yr (BAU)'!X7)/'Output -Jobs vs Yr'!X14</f>
        <v>0.11472666383533275</v>
      </c>
      <c r="E29" s="107"/>
      <c r="F29" s="98"/>
      <c r="G29" s="96"/>
      <c r="H29"/>
      <c r="I29"/>
      <c r="J29"/>
      <c r="K29"/>
      <c r="L29"/>
    </row>
    <row r="30" spans="2:17" ht="15" thickBot="1">
      <c r="B30" t="s">
        <v>582</v>
      </c>
      <c r="C30" s="211">
        <f>D30</f>
        <v>0.20546418286363446</v>
      </c>
      <c r="D30" s="105">
        <f>('Output - Jobs vs Yr (BAU)'!AH8+'Output - Jobs vs Yr (BAU)'!AH7)/'Output -Jobs vs Yr'!AH14</f>
        <v>0.20546418286363446</v>
      </c>
      <c r="E30" s="107"/>
      <c r="F30" s="98"/>
      <c r="G30" s="96"/>
      <c r="H30"/>
      <c r="I30"/>
      <c r="J30"/>
      <c r="K30"/>
      <c r="L30"/>
    </row>
    <row r="31" spans="2:17">
      <c r="B31" t="s">
        <v>583</v>
      </c>
      <c r="C31" s="212"/>
      <c r="D31" s="105"/>
      <c r="E31" s="107"/>
      <c r="F31" s="98"/>
      <c r="G31" s="96"/>
      <c r="H31"/>
      <c r="I31"/>
      <c r="J31"/>
      <c r="K31"/>
      <c r="L31"/>
    </row>
    <row r="32" spans="2:17">
      <c r="B32" s="108"/>
      <c r="C32" s="107" t="s">
        <v>0</v>
      </c>
      <c r="D32" s="107"/>
      <c r="E32" s="107"/>
      <c r="F32" s="98"/>
      <c r="G32" s="96"/>
      <c r="H32"/>
      <c r="I32"/>
      <c r="J32"/>
      <c r="K32"/>
      <c r="L32"/>
    </row>
    <row r="33" spans="1:18" ht="15" thickBot="1">
      <c r="B33" s="108" t="s">
        <v>380</v>
      </c>
      <c r="C33" s="107"/>
      <c r="D33" s="201" t="s">
        <v>348</v>
      </c>
      <c r="E33" s="201" t="s">
        <v>543</v>
      </c>
      <c r="F33" s="202" t="s">
        <v>365</v>
      </c>
      <c r="G33" s="203" t="s">
        <v>348</v>
      </c>
      <c r="H33" s="202" t="s">
        <v>713</v>
      </c>
      <c r="I33" s="203" t="s">
        <v>348</v>
      </c>
      <c r="J33" s="164"/>
      <c r="K33" s="164"/>
      <c r="L33" s="164"/>
      <c r="M33" s="7" t="s">
        <v>0</v>
      </c>
    </row>
    <row r="34" spans="1:18" ht="15" thickBot="1">
      <c r="B34" s="4" t="s">
        <v>373</v>
      </c>
      <c r="C34" s="210">
        <f>D34</f>
        <v>0</v>
      </c>
      <c r="D34" s="105">
        <v>0</v>
      </c>
      <c r="E34" s="204">
        <f>'Output -Jobs vs Yr'!N30/'Output -Jobs vs Yr'!N49</f>
        <v>0</v>
      </c>
      <c r="F34" s="201">
        <f>C34*$C$29/$C$28</f>
        <v>0</v>
      </c>
      <c r="G34" s="205">
        <v>0</v>
      </c>
      <c r="H34" s="201">
        <f>F34*$C$30/$C$29</f>
        <v>0</v>
      </c>
      <c r="I34" s="205">
        <v>0</v>
      </c>
      <c r="J34" s="139"/>
      <c r="K34" s="139"/>
      <c r="L34" s="139"/>
    </row>
    <row r="35" spans="1:18" ht="15" thickBot="1">
      <c r="B35" s="4" t="s">
        <v>51</v>
      </c>
      <c r="C35" s="210">
        <f>D35</f>
        <v>1.9159316631287072E-4</v>
      </c>
      <c r="D35" s="105">
        <f>'Output - Jobs vs Yr (BAU)'!N7/'Output -Jobs vs Yr'!N14</f>
        <v>1.9159316631287072E-4</v>
      </c>
      <c r="E35" s="204">
        <f>C35</f>
        <v>1.9159316631287072E-4</v>
      </c>
      <c r="F35" s="201">
        <f>C35*$C$29/$C$28</f>
        <v>1.8146566950087397E-4</v>
      </c>
      <c r="G35" s="205">
        <f>'Output - Jobs vs Yr (BAU)'!X7/'Output - Jobs vs Yr (BAU)'!X24</f>
        <v>1.6283088438818195E-4</v>
      </c>
      <c r="H35" s="201">
        <f>F35*$C$30/$C$29</f>
        <v>3.2498718480399789E-4</v>
      </c>
      <c r="I35" s="205">
        <f>'Output - Jobs vs Yr (BAU)'!AH7/'Output - Jobs vs Yr (BAU)'!AH24</f>
        <v>1.4505993029400891E-4</v>
      </c>
      <c r="J35"/>
      <c r="K35"/>
      <c r="L35"/>
    </row>
    <row r="36" spans="1:18" ht="15" thickBot="1">
      <c r="B36" s="4" t="s">
        <v>371</v>
      </c>
      <c r="C36" s="210">
        <f>D36</f>
        <v>0.120937901162739</v>
      </c>
      <c r="D36" s="105">
        <f>'Output - Jobs vs Yr (BAU)'!N8/'Output -Jobs vs Yr'!N14</f>
        <v>0.120937901162739</v>
      </c>
      <c r="E36" s="204">
        <f>C36</f>
        <v>0.120937901162739</v>
      </c>
      <c r="F36" s="201">
        <f>C36*$C$29/$C$28</f>
        <v>0.11454519816583186</v>
      </c>
      <c r="G36" s="205">
        <f>'Output - Jobs vs Yr (BAU)'!X8/'Output - Jobs vs Yr (BAU)'!X24</f>
        <v>0.11306716589159313</v>
      </c>
      <c r="H36" s="201">
        <f>F36*$C$30/$C$29</f>
        <v>0.20513919567883043</v>
      </c>
      <c r="I36" s="205">
        <f>'Output - Jobs vs Yr (BAU)'!AH8/'Output - Jobs vs Yr (BAU)'!AH24</f>
        <v>0.20206945713615718</v>
      </c>
      <c r="J36"/>
      <c r="K36"/>
      <c r="L36"/>
    </row>
    <row r="37" spans="1:18">
      <c r="B37" s="4" t="s">
        <v>375</v>
      </c>
      <c r="C37" s="139">
        <f>SUM(C35:C36)+'Output -Jobs vs Yr'!N30/'Output -Jobs vs Yr'!N49</f>
        <v>0.12112949432905187</v>
      </c>
      <c r="D37" s="105">
        <f>SUM(D34:D36)</f>
        <v>0.12112949432905187</v>
      </c>
      <c r="E37" s="204">
        <f>SUM(E34:E36)</f>
        <v>0.12112949432905187</v>
      </c>
      <c r="F37" s="204">
        <f>SUM(F34:F36)</f>
        <v>0.11472666383533274</v>
      </c>
      <c r="G37" s="204">
        <f>SUM(G34:G36)</f>
        <v>0.11322999677598131</v>
      </c>
      <c r="H37" s="201">
        <f>C37*$C$30/$C$28</f>
        <v>0.20546418286363444</v>
      </c>
      <c r="I37" s="204">
        <f>SUM(I34:I36)</f>
        <v>0.20221451706645119</v>
      </c>
      <c r="J37" s="139"/>
      <c r="K37" s="139"/>
      <c r="L37" s="139"/>
    </row>
    <row r="38" spans="1:18">
      <c r="B38" s="4"/>
      <c r="C38" s="138" t="str">
        <f>IF(ROUND(C37,3)=ROUND(C28,3), "Great, " &amp; ROUND(C37,3)*100 &amp; "% agrees with 2020 Low Carbon % entered above", "Please re-adust Low Carbon portfolio to " &amp; ROUND(C28,3)*100 &amp; "% or change 2020 Low Carbon % above" )</f>
        <v>Great, 12,1%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382</v>
      </c>
      <c r="C40" s="105">
        <f>C24</f>
        <v>0.15</v>
      </c>
      <c r="D40" s="105" t="s">
        <v>0</v>
      </c>
      <c r="E40" s="105" t="s">
        <v>0</v>
      </c>
      <c r="F40" s="105" t="s">
        <v>0</v>
      </c>
      <c r="G40" s="103" t="s">
        <v>0</v>
      </c>
      <c r="H40"/>
      <c r="I40"/>
      <c r="J40"/>
      <c r="K40"/>
      <c r="L40"/>
    </row>
    <row r="41" spans="1:18">
      <c r="B41" s="4" t="s">
        <v>381</v>
      </c>
      <c r="C41" s="105">
        <f>C24+C37</f>
        <v>0.27112949432905187</v>
      </c>
      <c r="D41" s="105" t="s">
        <v>0</v>
      </c>
      <c r="E41" s="105"/>
      <c r="F41" s="105" t="s">
        <v>0</v>
      </c>
      <c r="G41" s="103" t="s">
        <v>0</v>
      </c>
      <c r="H41"/>
      <c r="I41"/>
      <c r="J41"/>
      <c r="K41"/>
      <c r="L41"/>
    </row>
    <row r="42" spans="1:18">
      <c r="C42" s="110"/>
      <c r="D42"/>
      <c r="E42" s="13"/>
      <c r="F42" s="13"/>
      <c r="G42" s="13"/>
      <c r="M42"/>
    </row>
    <row r="43" spans="1:18" ht="15" thickBot="1">
      <c r="B43" s="1" t="s">
        <v>2</v>
      </c>
      <c r="C43" s="13" t="s">
        <v>144</v>
      </c>
      <c r="D43" s="1"/>
      <c r="E43" s="7"/>
      <c r="F43" s="7"/>
      <c r="G43" s="1"/>
      <c r="H43" s="13" t="s">
        <v>200</v>
      </c>
      <c r="I43" s="13"/>
      <c r="J43" s="13"/>
      <c r="K43" s="13"/>
      <c r="L43" s="13"/>
      <c r="M43" s="13" t="s">
        <v>313</v>
      </c>
      <c r="N43" s="7"/>
    </row>
    <row r="44" spans="1:18" ht="15" thickBot="1">
      <c r="B44" s="4" t="s">
        <v>215</v>
      </c>
      <c r="C44" s="42">
        <v>3.7999999999999999E-2</v>
      </c>
      <c r="D44" s="4"/>
      <c r="E44" s="28" t="s">
        <v>529</v>
      </c>
      <c r="F44" s="28"/>
      <c r="G44" s="1"/>
      <c r="H44" s="49">
        <v>9</v>
      </c>
      <c r="I44" s="243"/>
      <c r="J44" s="243"/>
      <c r="K44" s="243"/>
      <c r="L44"/>
      <c r="M44" s="12">
        <f t="shared" ref="M44:M61" si="7">C44+H44*C44</f>
        <v>0.37999999999999995</v>
      </c>
      <c r="N44" s="28" t="s">
        <v>529</v>
      </c>
    </row>
    <row r="45" spans="1:18" ht="15.75" hidden="1" customHeight="1" thickBot="1">
      <c r="B45" s="4" t="s">
        <v>216</v>
      </c>
      <c r="C45" s="41" t="e">
        <f>0.1*#REF!</f>
        <v>#REF!</v>
      </c>
      <c r="D45" s="4"/>
      <c r="E45" s="28" t="s">
        <v>212</v>
      </c>
      <c r="F45" s="28"/>
      <c r="G45" s="110"/>
      <c r="H45" s="49">
        <v>9</v>
      </c>
      <c r="I45" s="243"/>
      <c r="J45" s="243"/>
      <c r="K45" s="243"/>
      <c r="L45"/>
      <c r="M45" s="12" t="e">
        <f t="shared" si="7"/>
        <v>#REF!</v>
      </c>
      <c r="N45" s="28" t="s">
        <v>529</v>
      </c>
    </row>
    <row r="46" spans="1:18" s="1" customFormat="1" ht="15" thickBot="1">
      <c r="A46"/>
      <c r="B46" s="4" t="s">
        <v>127</v>
      </c>
      <c r="C46" s="84">
        <v>0.21</v>
      </c>
      <c r="D46" s="4" t="s">
        <v>0</v>
      </c>
      <c r="E46" s="28" t="s">
        <v>530</v>
      </c>
      <c r="F46" s="28"/>
      <c r="H46" s="49">
        <v>0.9</v>
      </c>
      <c r="I46" s="243"/>
      <c r="J46" s="243"/>
      <c r="K46" s="243"/>
      <c r="L46"/>
      <c r="M46" s="12">
        <f t="shared" si="7"/>
        <v>0.39900000000000002</v>
      </c>
      <c r="N46" s="28" t="s">
        <v>530</v>
      </c>
      <c r="O46"/>
      <c r="P46"/>
      <c r="Q46"/>
      <c r="R46"/>
    </row>
    <row r="47" spans="1:18" s="1" customFormat="1" ht="15" thickBot="1">
      <c r="A47"/>
      <c r="B47" s="4" t="s">
        <v>124</v>
      </c>
      <c r="C47" s="42">
        <v>0.18</v>
      </c>
      <c r="D47" s="4"/>
      <c r="E47" s="28" t="s">
        <v>530</v>
      </c>
      <c r="F47" s="28"/>
      <c r="H47" s="49">
        <v>0.9</v>
      </c>
      <c r="I47" s="243"/>
      <c r="J47" s="243"/>
      <c r="K47" s="243"/>
      <c r="L47"/>
      <c r="M47" s="12">
        <f t="shared" si="7"/>
        <v>0.34199999999999997</v>
      </c>
      <c r="N47" s="28" t="s">
        <v>530</v>
      </c>
      <c r="O47"/>
      <c r="P47"/>
      <c r="Q47"/>
    </row>
    <row r="48" spans="1:18" ht="15" thickBot="1">
      <c r="B48" s="4" t="s">
        <v>51</v>
      </c>
      <c r="C48" s="42">
        <v>0.15</v>
      </c>
      <c r="D48" s="4"/>
      <c r="E48" s="28" t="s">
        <v>530</v>
      </c>
      <c r="F48" s="28"/>
      <c r="G48" s="1"/>
      <c r="H48" s="49">
        <v>0.9</v>
      </c>
      <c r="I48" s="243"/>
      <c r="J48" s="243"/>
      <c r="K48" s="243"/>
      <c r="L48"/>
      <c r="M48" s="12">
        <f t="shared" si="7"/>
        <v>0.28500000000000003</v>
      </c>
      <c r="N48" s="28" t="s">
        <v>530</v>
      </c>
    </row>
    <row r="49" spans="1:17" s="1" customFormat="1" ht="15" thickBot="1">
      <c r="A49"/>
      <c r="B49" s="4" t="s">
        <v>52</v>
      </c>
      <c r="C49" s="42">
        <v>0.25</v>
      </c>
      <c r="D49" s="4" t="s">
        <v>0</v>
      </c>
      <c r="E49" s="28" t="s">
        <v>530</v>
      </c>
      <c r="F49" s="28"/>
      <c r="H49" s="49">
        <v>0.9</v>
      </c>
      <c r="I49" s="243"/>
      <c r="J49" s="243"/>
      <c r="K49" s="243"/>
      <c r="L49"/>
      <c r="M49" s="12">
        <f t="shared" si="7"/>
        <v>0.47499999999999998</v>
      </c>
      <c r="N49" s="28" t="s">
        <v>530</v>
      </c>
      <c r="O49" t="s">
        <v>0</v>
      </c>
      <c r="P49"/>
      <c r="Q49"/>
    </row>
    <row r="50" spans="1:17" s="1" customFormat="1" ht="15.75" hidden="1" customHeight="1" thickBot="1">
      <c r="A50"/>
      <c r="B50" s="4" t="s">
        <v>125</v>
      </c>
      <c r="C50" s="42">
        <v>0.11</v>
      </c>
      <c r="D50" s="4"/>
      <c r="E50" s="28" t="s">
        <v>530</v>
      </c>
      <c r="F50" s="28"/>
      <c r="G50" s="110"/>
      <c r="H50" s="49">
        <v>0.8</v>
      </c>
      <c r="I50" s="243"/>
      <c r="J50" s="243"/>
      <c r="K50" s="243"/>
      <c r="L50"/>
      <c r="M50" s="12">
        <f t="shared" si="7"/>
        <v>0.19800000000000001</v>
      </c>
      <c r="N50" s="28" t="s">
        <v>530</v>
      </c>
      <c r="O50" t="s">
        <v>0</v>
      </c>
      <c r="P50"/>
      <c r="Q50"/>
    </row>
    <row r="51" spans="1:17" s="1" customFormat="1" ht="15" thickBot="1">
      <c r="A51"/>
      <c r="B51" s="4" t="s">
        <v>349</v>
      </c>
      <c r="C51" s="42">
        <v>0.27</v>
      </c>
      <c r="D51" s="4"/>
      <c r="E51" s="28" t="s">
        <v>530</v>
      </c>
      <c r="F51" s="28"/>
      <c r="G51" s="110"/>
      <c r="H51" s="49">
        <v>0.9</v>
      </c>
      <c r="I51" s="243"/>
      <c r="J51" s="243"/>
      <c r="K51" s="243"/>
      <c r="L51"/>
      <c r="M51" s="12">
        <f t="shared" si="7"/>
        <v>0.51300000000000001</v>
      </c>
      <c r="N51" s="28" t="s">
        <v>530</v>
      </c>
      <c r="O51" t="s">
        <v>0</v>
      </c>
      <c r="P51"/>
      <c r="Q51"/>
    </row>
    <row r="52" spans="1:17" s="1" customFormat="1" ht="15" thickBot="1">
      <c r="A52"/>
      <c r="B52" s="4" t="s">
        <v>53</v>
      </c>
      <c r="C52" s="42">
        <v>0.15</v>
      </c>
      <c r="D52" s="4"/>
      <c r="E52" s="28" t="s">
        <v>530</v>
      </c>
      <c r="F52" s="28"/>
      <c r="G52" s="110"/>
      <c r="H52" s="49">
        <v>0.9</v>
      </c>
      <c r="I52" s="243"/>
      <c r="J52" s="243"/>
      <c r="K52" s="243"/>
      <c r="L52"/>
      <c r="M52" s="12">
        <f t="shared" si="7"/>
        <v>0.28500000000000003</v>
      </c>
      <c r="N52" s="28" t="s">
        <v>530</v>
      </c>
      <c r="O52" t="s">
        <v>0</v>
      </c>
      <c r="P52"/>
      <c r="Q52"/>
    </row>
    <row r="53" spans="1:17" ht="15" thickBot="1">
      <c r="B53" s="4" t="s">
        <v>61</v>
      </c>
      <c r="C53" s="42">
        <v>0.14000000000000001</v>
      </c>
      <c r="D53" s="4"/>
      <c r="E53" s="28" t="s">
        <v>530</v>
      </c>
      <c r="F53" s="28"/>
      <c r="G53" s="110"/>
      <c r="H53" s="49">
        <v>0.9</v>
      </c>
      <c r="I53" s="243"/>
      <c r="J53" s="243"/>
      <c r="K53" s="243"/>
      <c r="L53"/>
      <c r="M53" s="162">
        <f t="shared" si="7"/>
        <v>0.26600000000000001</v>
      </c>
      <c r="N53" s="28" t="s">
        <v>530</v>
      </c>
    </row>
    <row r="54" spans="1:17" ht="15" thickBot="1">
      <c r="B54" s="4" t="s">
        <v>353</v>
      </c>
      <c r="C54" s="84">
        <v>0.79</v>
      </c>
      <c r="D54" s="4" t="s">
        <v>0</v>
      </c>
      <c r="E54" s="28" t="s">
        <v>530</v>
      </c>
      <c r="F54" s="28"/>
      <c r="G54" s="110"/>
      <c r="H54" s="49">
        <v>0.9</v>
      </c>
      <c r="I54" s="243"/>
      <c r="J54" s="243"/>
      <c r="K54" s="243"/>
      <c r="L54"/>
      <c r="M54" s="12">
        <f t="shared" si="7"/>
        <v>1.5010000000000001</v>
      </c>
      <c r="N54" s="28" t="s">
        <v>530</v>
      </c>
    </row>
    <row r="55" spans="1:17" ht="15" thickBot="1">
      <c r="B55" s="4" t="s">
        <v>354</v>
      </c>
      <c r="C55" s="84">
        <v>0.23</v>
      </c>
      <c r="D55" s="4"/>
      <c r="E55" s="28" t="s">
        <v>530</v>
      </c>
      <c r="F55" s="28"/>
      <c r="G55" s="110"/>
      <c r="H55" s="49">
        <v>0.9</v>
      </c>
      <c r="I55" s="243"/>
      <c r="J55" s="243"/>
      <c r="K55" s="243"/>
      <c r="L55"/>
      <c r="M55" s="12">
        <f t="shared" si="7"/>
        <v>0.43700000000000006</v>
      </c>
      <c r="N55" s="28" t="s">
        <v>530</v>
      </c>
    </row>
    <row r="56" spans="1:17" ht="15.75" hidden="1" customHeight="1" thickBot="1">
      <c r="B56" s="4" t="s">
        <v>126</v>
      </c>
      <c r="C56" s="42">
        <v>0.11</v>
      </c>
      <c r="D56" s="4"/>
      <c r="E56" s="28" t="s">
        <v>530</v>
      </c>
      <c r="F56" s="28"/>
      <c r="G56" s="110"/>
      <c r="H56" s="49">
        <v>0.8</v>
      </c>
      <c r="I56" s="243"/>
      <c r="J56" s="243"/>
      <c r="K56" s="243"/>
      <c r="L56"/>
      <c r="M56" s="12">
        <f t="shared" si="7"/>
        <v>0.19800000000000001</v>
      </c>
      <c r="N56" s="28"/>
    </row>
    <row r="57" spans="1:17" ht="15" thickBot="1">
      <c r="B57" s="4" t="s">
        <v>55</v>
      </c>
      <c r="C57" s="84">
        <v>0.17</v>
      </c>
      <c r="D57" s="4" t="s">
        <v>0</v>
      </c>
      <c r="E57" s="28" t="s">
        <v>530</v>
      </c>
      <c r="F57" s="28"/>
      <c r="G57" s="110"/>
      <c r="H57" s="49">
        <v>0.9</v>
      </c>
      <c r="I57" s="243"/>
      <c r="J57" s="243"/>
      <c r="K57" s="243"/>
      <c r="L57"/>
      <c r="M57" s="12">
        <f t="shared" si="7"/>
        <v>0.32300000000000006</v>
      </c>
      <c r="N57" s="28" t="s">
        <v>530</v>
      </c>
    </row>
    <row r="58" spans="1:17" ht="15.75" hidden="1" customHeight="1" thickBot="1">
      <c r="B58" s="4" t="s">
        <v>197</v>
      </c>
      <c r="C58" s="41" t="e">
        <f xml:space="preserve"> 0.693 *#REF!</f>
        <v>#REF!</v>
      </c>
      <c r="D58" s="4"/>
      <c r="E58" s="28" t="s">
        <v>212</v>
      </c>
      <c r="F58" s="28"/>
      <c r="G58" s="110"/>
      <c r="H58" s="49">
        <v>0.8</v>
      </c>
      <c r="I58" s="243"/>
      <c r="J58" s="243"/>
      <c r="K58" s="243"/>
      <c r="L58"/>
      <c r="M58" s="12" t="e">
        <f t="shared" si="7"/>
        <v>#REF!</v>
      </c>
      <c r="N58" s="28" t="s">
        <v>530</v>
      </c>
    </row>
    <row r="59" spans="1:17" ht="15.75" hidden="1" customHeight="1" thickBot="1">
      <c r="B59" s="4" t="s">
        <v>252</v>
      </c>
      <c r="C59" s="49" t="e">
        <f xml:space="preserve"> (1/6) *#REF!</f>
        <v>#REF!</v>
      </c>
      <c r="D59" s="4"/>
      <c r="E59" s="28" t="s">
        <v>253</v>
      </c>
      <c r="F59" s="28"/>
      <c r="G59" s="110"/>
      <c r="H59" s="49">
        <v>0.8</v>
      </c>
      <c r="I59" s="243"/>
      <c r="J59" s="243"/>
      <c r="K59" s="243"/>
      <c r="L59"/>
      <c r="M59" s="12" t="e">
        <f t="shared" si="7"/>
        <v>#REF!</v>
      </c>
      <c r="N59" s="28" t="s">
        <v>212</v>
      </c>
    </row>
    <row r="60" spans="1:17" ht="15" thickBot="1">
      <c r="B60" s="4" t="s">
        <v>70</v>
      </c>
      <c r="C60" s="42">
        <v>0.11</v>
      </c>
      <c r="D60" s="4"/>
      <c r="E60" s="28" t="s">
        <v>530</v>
      </c>
      <c r="F60" s="28"/>
      <c r="G60" s="110"/>
      <c r="H60" s="49">
        <v>0.9</v>
      </c>
      <c r="I60" s="243"/>
      <c r="J60" s="243"/>
      <c r="K60" s="243"/>
      <c r="L60"/>
      <c r="M60" s="162">
        <f t="shared" si="7"/>
        <v>0.20900000000000002</v>
      </c>
      <c r="N60" s="28" t="s">
        <v>530</v>
      </c>
    </row>
    <row r="61" spans="1:17" ht="15" thickBot="1">
      <c r="B61" s="4" t="s">
        <v>78</v>
      </c>
      <c r="C61" s="42">
        <v>0.11</v>
      </c>
      <c r="D61" s="4"/>
      <c r="E61" s="28" t="s">
        <v>530</v>
      </c>
      <c r="F61" s="28"/>
      <c r="G61" s="110"/>
      <c r="H61" s="49">
        <v>0.9</v>
      </c>
      <c r="I61" s="243"/>
      <c r="J61" s="243"/>
      <c r="K61" s="243"/>
      <c r="L61"/>
      <c r="M61" s="12">
        <f t="shared" si="7"/>
        <v>0.20900000000000002</v>
      </c>
      <c r="N61" s="28" t="s">
        <v>530</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topLeftCell="A28"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14"/>
    <col min="6" max="6" width="12.5" style="315"/>
    <col min="7" max="37" width="12.5" style="269"/>
    <col min="38" max="16384" width="12.5" style="5"/>
  </cols>
  <sheetData>
    <row r="1" spans="1:37">
      <c r="A1" s="238" t="s">
        <v>711</v>
      </c>
    </row>
    <row r="2" spans="1:37">
      <c r="A2" s="238" t="s">
        <v>661</v>
      </c>
    </row>
    <row r="3" spans="1:37">
      <c r="A3" s="238" t="s">
        <v>662</v>
      </c>
    </row>
    <row r="5" spans="1:37">
      <c r="A5" s="6" t="s">
        <v>191</v>
      </c>
    </row>
    <row r="6" spans="1:37">
      <c r="A6" s="6" t="s">
        <v>190</v>
      </c>
    </row>
    <row r="9" spans="1:37">
      <c r="AK9" s="270" t="s">
        <v>721</v>
      </c>
    </row>
    <row r="10" spans="1:37">
      <c r="B10" s="316" t="s">
        <v>7</v>
      </c>
      <c r="C10" s="316" t="s">
        <v>8</v>
      </c>
      <c r="D10" s="316" t="s">
        <v>9</v>
      </c>
      <c r="E10" s="316" t="s">
        <v>10</v>
      </c>
      <c r="F10" s="317" t="s">
        <v>11</v>
      </c>
      <c r="G10" s="270" t="s">
        <v>12</v>
      </c>
      <c r="H10" s="270" t="s">
        <v>13</v>
      </c>
      <c r="I10" s="270" t="s">
        <v>14</v>
      </c>
      <c r="J10" s="270" t="s">
        <v>15</v>
      </c>
      <c r="K10" s="270" t="s">
        <v>16</v>
      </c>
      <c r="L10" s="270" t="s">
        <v>17</v>
      </c>
      <c r="M10" s="270" t="s">
        <v>18</v>
      </c>
      <c r="N10" s="270" t="s">
        <v>19</v>
      </c>
      <c r="O10" s="270" t="s">
        <v>20</v>
      </c>
      <c r="P10" s="270" t="s">
        <v>21</v>
      </c>
      <c r="Q10" s="270" t="s">
        <v>22</v>
      </c>
      <c r="R10" s="270" t="s">
        <v>23</v>
      </c>
      <c r="S10" s="270" t="s">
        <v>24</v>
      </c>
      <c r="T10" s="270" t="s">
        <v>25</v>
      </c>
      <c r="U10" s="270" t="s">
        <v>26</v>
      </c>
      <c r="V10" s="270" t="s">
        <v>27</v>
      </c>
      <c r="W10" s="270" t="s">
        <v>28</v>
      </c>
      <c r="X10" s="270" t="s">
        <v>29</v>
      </c>
      <c r="Y10" s="270" t="s">
        <v>30</v>
      </c>
      <c r="Z10" s="270" t="s">
        <v>31</v>
      </c>
      <c r="AA10" s="270" t="s">
        <v>584</v>
      </c>
      <c r="AB10" s="270" t="s">
        <v>585</v>
      </c>
      <c r="AC10" s="270" t="s">
        <v>586</v>
      </c>
      <c r="AD10" s="270" t="s">
        <v>587</v>
      </c>
      <c r="AE10" s="270" t="s">
        <v>588</v>
      </c>
      <c r="AF10" s="270" t="s">
        <v>589</v>
      </c>
      <c r="AG10" s="270" t="s">
        <v>590</v>
      </c>
      <c r="AH10" s="270" t="s">
        <v>591</v>
      </c>
      <c r="AI10" s="270" t="s">
        <v>592</v>
      </c>
      <c r="AJ10" s="270" t="s">
        <v>593</v>
      </c>
      <c r="AK10" s="270">
        <v>2040</v>
      </c>
    </row>
    <row r="13" spans="1:37">
      <c r="A13" s="6" t="s">
        <v>189</v>
      </c>
    </row>
    <row r="14" spans="1:37">
      <c r="A14" s="6" t="s">
        <v>188</v>
      </c>
      <c r="B14" s="318">
        <v>5.1020002365112296</v>
      </c>
      <c r="C14" s="318">
        <v>5.0669999122619602</v>
      </c>
      <c r="D14" s="318">
        <v>4.9539995193481401</v>
      </c>
      <c r="E14" s="318">
        <v>5.3799490928649902</v>
      </c>
      <c r="F14" s="319">
        <v>5.6095256805419904</v>
      </c>
      <c r="G14" s="263">
        <v>5.6580000000000004</v>
      </c>
      <c r="H14" s="263">
        <v>6.4939989999999996</v>
      </c>
      <c r="I14" s="263">
        <v>7.7220000000000004</v>
      </c>
      <c r="J14" s="263">
        <v>8.5288000000000004</v>
      </c>
      <c r="K14" s="263">
        <v>9.0378019999999992</v>
      </c>
      <c r="L14" s="263">
        <v>9.5417810000000003</v>
      </c>
      <c r="M14" s="263">
        <v>9.5568039999999996</v>
      </c>
      <c r="N14" s="263">
        <v>9.5754859999999997</v>
      </c>
      <c r="O14" s="263">
        <v>9.6082459999999994</v>
      </c>
      <c r="P14" s="263">
        <v>9.5525409999999997</v>
      </c>
      <c r="Q14" s="263">
        <v>9.4165030000000005</v>
      </c>
      <c r="R14" s="263">
        <v>9.2888249999999992</v>
      </c>
      <c r="S14" s="263">
        <v>9.1907350000000001</v>
      </c>
      <c r="T14" s="263">
        <v>9.0728480000000005</v>
      </c>
      <c r="U14" s="263">
        <v>9.0041829999999994</v>
      </c>
      <c r="V14" s="263">
        <v>8.8329439999999995</v>
      </c>
      <c r="W14" s="263">
        <v>8.6696600000000004</v>
      </c>
      <c r="X14" s="263">
        <v>8.5159219999999998</v>
      </c>
      <c r="Y14" s="263">
        <v>8.3804160000000003</v>
      </c>
      <c r="Z14" s="263">
        <v>8.3047140000000006</v>
      </c>
      <c r="AA14" s="263">
        <v>8.1595440000000004</v>
      </c>
      <c r="AB14" s="263">
        <v>8.0727349999999998</v>
      </c>
      <c r="AC14" s="263">
        <v>8.0446790000000004</v>
      </c>
      <c r="AD14" s="263">
        <v>7.984591</v>
      </c>
      <c r="AE14" s="263">
        <v>7.8722690000000002</v>
      </c>
      <c r="AF14" s="263">
        <v>7.7546290000000004</v>
      </c>
      <c r="AG14" s="263">
        <v>7.6994870000000004</v>
      </c>
      <c r="AH14" s="263">
        <v>7.5588430000000004</v>
      </c>
      <c r="AI14" s="263">
        <v>7.5302829999999998</v>
      </c>
      <c r="AJ14" s="263">
        <v>7.4801669999999998</v>
      </c>
      <c r="AK14" s="264">
        <v>5.0000000000000001E-3</v>
      </c>
    </row>
    <row r="15" spans="1:37">
      <c r="A15" s="6" t="s">
        <v>187</v>
      </c>
      <c r="B15" s="318">
        <v>0.74099999666214</v>
      </c>
      <c r="C15" s="318">
        <v>0.71899998188018799</v>
      </c>
      <c r="D15" s="318">
        <v>0.68000000715255704</v>
      </c>
      <c r="E15" s="318">
        <v>0.73478877544403098</v>
      </c>
      <c r="F15" s="319">
        <v>0.68565064668655396</v>
      </c>
      <c r="G15" s="263">
        <v>0.57199999999999995</v>
      </c>
      <c r="H15" s="263">
        <v>0.53</v>
      </c>
      <c r="I15" s="263">
        <v>0.51</v>
      </c>
      <c r="J15" s="263">
        <v>0.4738</v>
      </c>
      <c r="K15" s="263">
        <v>0.462835</v>
      </c>
      <c r="L15" s="263">
        <v>0.46215800000000001</v>
      </c>
      <c r="M15" s="263">
        <v>0.46993800000000002</v>
      </c>
      <c r="N15" s="263">
        <v>0.47195500000000001</v>
      </c>
      <c r="O15" s="263">
        <v>0.45399899999999999</v>
      </c>
      <c r="P15" s="263">
        <v>0.43714199999999998</v>
      </c>
      <c r="Q15" s="263">
        <v>0.41283700000000001</v>
      </c>
      <c r="R15" s="263">
        <v>0.388714</v>
      </c>
      <c r="S15" s="263">
        <v>0.36631000000000002</v>
      </c>
      <c r="T15" s="263">
        <v>0.34568500000000002</v>
      </c>
      <c r="U15" s="263">
        <v>0.32666899999999999</v>
      </c>
      <c r="V15" s="263">
        <v>0.30766500000000002</v>
      </c>
      <c r="W15" s="263">
        <v>0.28877399999999998</v>
      </c>
      <c r="X15" s="263">
        <v>0.27134900000000001</v>
      </c>
      <c r="Y15" s="263">
        <v>0.25525500000000001</v>
      </c>
      <c r="Z15" s="263">
        <v>0.240371</v>
      </c>
      <c r="AA15" s="263">
        <v>0.22658700000000001</v>
      </c>
      <c r="AB15" s="263">
        <v>0.273065</v>
      </c>
      <c r="AC15" s="263">
        <v>0.34021099999999999</v>
      </c>
      <c r="AD15" s="263">
        <v>0.38843800000000001</v>
      </c>
      <c r="AE15" s="263">
        <v>0.378168</v>
      </c>
      <c r="AF15" s="263">
        <v>0.36859700000000001</v>
      </c>
      <c r="AG15" s="263">
        <v>0.35966500000000001</v>
      </c>
      <c r="AH15" s="263">
        <v>0.321691</v>
      </c>
      <c r="AI15" s="263">
        <v>0.28870200000000001</v>
      </c>
      <c r="AJ15" s="263">
        <v>0.25998700000000002</v>
      </c>
      <c r="AK15" s="264">
        <v>-2.5000000000000001E-2</v>
      </c>
    </row>
    <row r="16" spans="1:37">
      <c r="A16" s="6" t="s">
        <v>186</v>
      </c>
      <c r="B16" s="318">
        <v>4.3610000610351598</v>
      </c>
      <c r="C16" s="318">
        <v>4.34800004959106</v>
      </c>
      <c r="D16" s="318">
        <v>4.2739996910095197</v>
      </c>
      <c r="E16" s="318">
        <v>4.6451601982116699</v>
      </c>
      <c r="F16" s="319">
        <v>4.9238753318786603</v>
      </c>
      <c r="G16" s="263">
        <v>5.0860000000000003</v>
      </c>
      <c r="H16" s="263">
        <v>5.9640000000000004</v>
      </c>
      <c r="I16" s="263">
        <v>7.2119999999999997</v>
      </c>
      <c r="J16" s="263">
        <v>8.0549999999999997</v>
      </c>
      <c r="K16" s="263">
        <v>8.5749659999999999</v>
      </c>
      <c r="L16" s="263">
        <v>9.0796240000000008</v>
      </c>
      <c r="M16" s="263">
        <v>9.0868660000000006</v>
      </c>
      <c r="N16" s="263">
        <v>9.1035310000000003</v>
      </c>
      <c r="O16" s="263">
        <v>9.1542469999999998</v>
      </c>
      <c r="P16" s="263">
        <v>9.1153980000000008</v>
      </c>
      <c r="Q16" s="263">
        <v>9.0036670000000001</v>
      </c>
      <c r="R16" s="263">
        <v>8.9001110000000008</v>
      </c>
      <c r="S16" s="263">
        <v>8.8244249999999997</v>
      </c>
      <c r="T16" s="263">
        <v>8.7271629999999991</v>
      </c>
      <c r="U16" s="263">
        <v>8.6775140000000004</v>
      </c>
      <c r="V16" s="263">
        <v>8.5252789999999994</v>
      </c>
      <c r="W16" s="263">
        <v>8.3808860000000003</v>
      </c>
      <c r="X16" s="263">
        <v>8.2445730000000008</v>
      </c>
      <c r="Y16" s="263">
        <v>8.1251610000000003</v>
      </c>
      <c r="Z16" s="263">
        <v>8.0643429999999992</v>
      </c>
      <c r="AA16" s="263">
        <v>7.932957</v>
      </c>
      <c r="AB16" s="263">
        <v>7.7996699999999999</v>
      </c>
      <c r="AC16" s="263">
        <v>7.7044680000000003</v>
      </c>
      <c r="AD16" s="263">
        <v>7.5961540000000003</v>
      </c>
      <c r="AE16" s="263">
        <v>7.4941009999999997</v>
      </c>
      <c r="AF16" s="263">
        <v>7.3860330000000003</v>
      </c>
      <c r="AG16" s="263">
        <v>7.3398209999999997</v>
      </c>
      <c r="AH16" s="263">
        <v>7.2371509999999999</v>
      </c>
      <c r="AI16" s="263">
        <v>7.241581</v>
      </c>
      <c r="AJ16" s="263">
        <v>7.2201810000000002</v>
      </c>
      <c r="AK16" s="264">
        <v>7.0000000000000001E-3</v>
      </c>
    </row>
    <row r="17" spans="1:38">
      <c r="A17" s="6" t="s">
        <v>185</v>
      </c>
      <c r="B17" s="318">
        <v>10.093000411987299</v>
      </c>
      <c r="C17" s="318">
        <v>10.003999710083001</v>
      </c>
      <c r="D17" s="318">
        <v>9.7010002136230504</v>
      </c>
      <c r="E17" s="318">
        <v>8.9919996261596697</v>
      </c>
      <c r="F17" s="319">
        <v>8.3191394805908203</v>
      </c>
      <c r="G17" s="263">
        <v>8.8879999999999999</v>
      </c>
      <c r="H17" s="263">
        <v>8.4319989999999994</v>
      </c>
      <c r="I17" s="263">
        <v>7.3609999999999998</v>
      </c>
      <c r="J17" s="263">
        <v>6.452</v>
      </c>
      <c r="K17" s="263">
        <v>6.1656769999999996</v>
      </c>
      <c r="L17" s="263">
        <v>5.7677230000000002</v>
      </c>
      <c r="M17" s="263">
        <v>5.8143669999999998</v>
      </c>
      <c r="N17" s="263">
        <v>5.8087150000000003</v>
      </c>
      <c r="O17" s="263">
        <v>5.7589199999999998</v>
      </c>
      <c r="P17" s="263">
        <v>5.7870730000000004</v>
      </c>
      <c r="Q17" s="263">
        <v>5.8889449999999997</v>
      </c>
      <c r="R17" s="263">
        <v>5.9421790000000003</v>
      </c>
      <c r="S17" s="263">
        <v>5.9748789999999996</v>
      </c>
      <c r="T17" s="263">
        <v>6.0359290000000003</v>
      </c>
      <c r="U17" s="263">
        <v>6.0526869999999997</v>
      </c>
      <c r="V17" s="263">
        <v>6.1879960000000001</v>
      </c>
      <c r="W17" s="263">
        <v>6.3329610000000001</v>
      </c>
      <c r="X17" s="263">
        <v>6.455387</v>
      </c>
      <c r="Y17" s="263">
        <v>6.5668860000000002</v>
      </c>
      <c r="Z17" s="263">
        <v>6.635491</v>
      </c>
      <c r="AA17" s="263">
        <v>6.7795449999999997</v>
      </c>
      <c r="AB17" s="263">
        <v>6.8623289999999999</v>
      </c>
      <c r="AC17" s="263">
        <v>6.8977040000000001</v>
      </c>
      <c r="AD17" s="263">
        <v>6.9983430000000002</v>
      </c>
      <c r="AE17" s="263">
        <v>7.1493440000000001</v>
      </c>
      <c r="AF17" s="263">
        <v>7.303795</v>
      </c>
      <c r="AG17" s="263">
        <v>7.4063970000000001</v>
      </c>
      <c r="AH17" s="263">
        <v>7.6181229999999998</v>
      </c>
      <c r="AI17" s="263">
        <v>7.6624980000000003</v>
      </c>
      <c r="AJ17" s="263">
        <v>7.742801</v>
      </c>
      <c r="AK17" s="264">
        <v>-3.0000000000000001E-3</v>
      </c>
    </row>
    <row r="18" spans="1:38">
      <c r="A18" s="6" t="s">
        <v>184</v>
      </c>
      <c r="B18" s="318">
        <v>10.118000030517599</v>
      </c>
      <c r="C18" s="318">
        <v>10.0310001373291</v>
      </c>
      <c r="D18" s="318">
        <v>9.7280006408691406</v>
      </c>
      <c r="E18" s="318">
        <v>9.0190000534057599</v>
      </c>
      <c r="F18" s="319">
        <v>8.3490304946899396</v>
      </c>
      <c r="G18" s="263">
        <v>8.9350000000000005</v>
      </c>
      <c r="H18" s="263">
        <v>8.4920000000000009</v>
      </c>
      <c r="I18" s="263">
        <v>7.4809999999999999</v>
      </c>
      <c r="J18" s="263">
        <v>6.585</v>
      </c>
      <c r="K18" s="263">
        <v>6.3116139999999996</v>
      </c>
      <c r="L18" s="263">
        <v>5.9214209999999996</v>
      </c>
      <c r="M18" s="263">
        <v>5.9680070000000001</v>
      </c>
      <c r="N18" s="263">
        <v>5.9630130000000001</v>
      </c>
      <c r="O18" s="263">
        <v>5.9123679999999998</v>
      </c>
      <c r="P18" s="263">
        <v>5.9393659999999997</v>
      </c>
      <c r="Q18" s="263">
        <v>6.0361729999999998</v>
      </c>
      <c r="R18" s="263">
        <v>6.0801559999999997</v>
      </c>
      <c r="S18" s="263">
        <v>6.1090929999999997</v>
      </c>
      <c r="T18" s="263">
        <v>6.1684799999999997</v>
      </c>
      <c r="U18" s="263">
        <v>6.1836919999999997</v>
      </c>
      <c r="V18" s="263">
        <v>6.31792</v>
      </c>
      <c r="W18" s="263">
        <v>6.4623739999999996</v>
      </c>
      <c r="X18" s="263">
        <v>6.5838710000000003</v>
      </c>
      <c r="Y18" s="263">
        <v>6.6953279999999999</v>
      </c>
      <c r="Z18" s="263">
        <v>6.7654339999999999</v>
      </c>
      <c r="AA18" s="263">
        <v>6.9090009999999999</v>
      </c>
      <c r="AB18" s="263">
        <v>6.9898129999999998</v>
      </c>
      <c r="AC18" s="263">
        <v>7.0234620000000003</v>
      </c>
      <c r="AD18" s="263">
        <v>7.1230440000000002</v>
      </c>
      <c r="AE18" s="263">
        <v>7.2727890000000004</v>
      </c>
      <c r="AF18" s="263">
        <v>7.4277439999999997</v>
      </c>
      <c r="AG18" s="263">
        <v>7.5305350000000004</v>
      </c>
      <c r="AH18" s="263">
        <v>7.7422449999999996</v>
      </c>
      <c r="AI18" s="263">
        <v>7.7863189999999998</v>
      </c>
      <c r="AJ18" s="263">
        <v>7.866511</v>
      </c>
      <c r="AK18" s="264">
        <v>-3.0000000000000001E-3</v>
      </c>
    </row>
    <row r="19" spans="1:38">
      <c r="A19" s="6" t="s">
        <v>175</v>
      </c>
      <c r="B19" s="318">
        <v>2.5000000372528999E-2</v>
      </c>
      <c r="C19" s="318">
        <v>2.70000007003546E-2</v>
      </c>
      <c r="D19" s="318">
        <v>2.70000007003546E-2</v>
      </c>
      <c r="E19" s="318">
        <v>2.70000007003546E-2</v>
      </c>
      <c r="F19" s="319">
        <v>2.9890902340412102E-2</v>
      </c>
      <c r="G19" s="263">
        <v>4.7E-2</v>
      </c>
      <c r="H19" s="263">
        <v>0.06</v>
      </c>
      <c r="I19" s="263">
        <v>0.12</v>
      </c>
      <c r="J19" s="263">
        <v>0.13300000000000001</v>
      </c>
      <c r="K19" s="263">
        <v>0.14593700000000001</v>
      </c>
      <c r="L19" s="263">
        <v>0.153697</v>
      </c>
      <c r="M19" s="263">
        <v>0.15364</v>
      </c>
      <c r="N19" s="263">
        <v>0.15429799999999999</v>
      </c>
      <c r="O19" s="263">
        <v>0.153447</v>
      </c>
      <c r="P19" s="263">
        <v>0.15229300000000001</v>
      </c>
      <c r="Q19" s="263">
        <v>0.147228</v>
      </c>
      <c r="R19" s="263">
        <v>0.13797699999999999</v>
      </c>
      <c r="S19" s="263">
        <v>0.134215</v>
      </c>
      <c r="T19" s="263">
        <v>0.132551</v>
      </c>
      <c r="U19" s="263">
        <v>0.13100500000000001</v>
      </c>
      <c r="V19" s="263">
        <v>0.12992400000000001</v>
      </c>
      <c r="W19" s="263">
        <v>0.129414</v>
      </c>
      <c r="X19" s="263">
        <v>0.12848499999999999</v>
      </c>
      <c r="Y19" s="263">
        <v>0.128441</v>
      </c>
      <c r="Z19" s="263">
        <v>0.129943</v>
      </c>
      <c r="AA19" s="263">
        <v>0.12945599999999999</v>
      </c>
      <c r="AB19" s="263">
        <v>0.12748399999999999</v>
      </c>
      <c r="AC19" s="263">
        <v>0.12575900000000001</v>
      </c>
      <c r="AD19" s="263">
        <v>0.12470100000000001</v>
      </c>
      <c r="AE19" s="263">
        <v>0.123445</v>
      </c>
      <c r="AF19" s="263">
        <v>0.123949</v>
      </c>
      <c r="AG19" s="263">
        <v>0.124137</v>
      </c>
      <c r="AH19" s="263">
        <v>0.124122</v>
      </c>
      <c r="AI19" s="263">
        <v>0.123821</v>
      </c>
      <c r="AJ19" s="263">
        <v>0.12371</v>
      </c>
      <c r="AK19" s="264">
        <v>2.5999999999999999E-2</v>
      </c>
    </row>
    <row r="20" spans="1:38">
      <c r="A20" s="6" t="s">
        <v>183</v>
      </c>
      <c r="B20" s="318">
        <v>4.80000004172325E-2</v>
      </c>
      <c r="C20" s="318">
        <v>8.79999995231628E-2</v>
      </c>
      <c r="D20" s="318">
        <v>-2.9999997466802601E-2</v>
      </c>
      <c r="E20" s="318">
        <v>1.9999999552965199E-2</v>
      </c>
      <c r="F20" s="319">
        <v>0</v>
      </c>
      <c r="G20" s="263">
        <v>0.26600000000000001</v>
      </c>
      <c r="H20" s="263">
        <v>8.6999999999999994E-2</v>
      </c>
      <c r="I20" s="263">
        <v>0.23400000000000001</v>
      </c>
      <c r="J20" s="263">
        <v>0.161</v>
      </c>
      <c r="K20" s="263">
        <v>0</v>
      </c>
      <c r="L20" s="263">
        <v>0</v>
      </c>
      <c r="M20" s="263">
        <v>0</v>
      </c>
      <c r="N20" s="263">
        <v>0</v>
      </c>
      <c r="O20" s="263">
        <v>0</v>
      </c>
      <c r="P20" s="263">
        <v>0</v>
      </c>
      <c r="Q20" s="263">
        <v>0</v>
      </c>
      <c r="R20" s="263">
        <v>0</v>
      </c>
      <c r="S20" s="263">
        <v>0</v>
      </c>
      <c r="T20" s="263">
        <v>0</v>
      </c>
      <c r="U20" s="263">
        <v>0</v>
      </c>
      <c r="V20" s="263">
        <v>0</v>
      </c>
      <c r="W20" s="263">
        <v>0</v>
      </c>
      <c r="X20" s="263">
        <v>0</v>
      </c>
      <c r="Y20" s="263">
        <v>0</v>
      </c>
      <c r="Z20" s="263">
        <v>0</v>
      </c>
      <c r="AA20" s="263">
        <v>0</v>
      </c>
      <c r="AB20" s="263">
        <v>0</v>
      </c>
      <c r="AC20" s="263">
        <v>0</v>
      </c>
      <c r="AD20" s="263">
        <v>0</v>
      </c>
      <c r="AE20" s="263">
        <v>0</v>
      </c>
      <c r="AF20" s="263">
        <v>0</v>
      </c>
      <c r="AG20" s="263">
        <v>0</v>
      </c>
      <c r="AH20" s="263">
        <v>0</v>
      </c>
      <c r="AI20" s="263">
        <v>0</v>
      </c>
      <c r="AJ20" s="263">
        <v>0</v>
      </c>
      <c r="AK20" s="263" t="s">
        <v>41</v>
      </c>
    </row>
    <row r="21" spans="1:38">
      <c r="A21" s="6" t="s">
        <v>182</v>
      </c>
      <c r="B21" s="318">
        <v>15.2430009841919</v>
      </c>
      <c r="C21" s="318">
        <v>15.158999443054199</v>
      </c>
      <c r="D21" s="318">
        <v>14.625</v>
      </c>
      <c r="E21" s="318">
        <v>14.3919486999512</v>
      </c>
      <c r="F21" s="319">
        <v>13.9286651611328</v>
      </c>
      <c r="G21" s="214">
        <v>14.811999999999999</v>
      </c>
      <c r="H21" s="214">
        <v>15.012999000000001</v>
      </c>
      <c r="I21" s="214">
        <v>15.317</v>
      </c>
      <c r="J21" s="214">
        <v>15.141800999999999</v>
      </c>
      <c r="K21" s="214">
        <v>15.203478</v>
      </c>
      <c r="L21" s="214">
        <v>15.309505</v>
      </c>
      <c r="M21" s="214">
        <v>15.371171</v>
      </c>
      <c r="N21" s="214">
        <v>15.384200999999999</v>
      </c>
      <c r="O21" s="214">
        <v>15.367167</v>
      </c>
      <c r="P21" s="214">
        <v>15.339613999999999</v>
      </c>
      <c r="Q21" s="214">
        <v>15.305448999999999</v>
      </c>
      <c r="R21" s="214">
        <v>15.231005</v>
      </c>
      <c r="S21" s="214">
        <v>15.165613</v>
      </c>
      <c r="T21" s="214">
        <v>15.108777</v>
      </c>
      <c r="U21" s="214">
        <v>15.05687</v>
      </c>
      <c r="V21" s="214">
        <v>15.020941000000001</v>
      </c>
      <c r="W21" s="214">
        <v>15.002621</v>
      </c>
      <c r="X21" s="214">
        <v>14.971308000000001</v>
      </c>
      <c r="Y21" s="214">
        <v>14.947302000000001</v>
      </c>
      <c r="Z21" s="214">
        <v>14.940206</v>
      </c>
      <c r="AA21" s="214">
        <v>14.939088999999999</v>
      </c>
      <c r="AB21" s="214">
        <v>14.935063</v>
      </c>
      <c r="AC21" s="214">
        <v>14.942383</v>
      </c>
      <c r="AD21" s="214">
        <v>14.982934999999999</v>
      </c>
      <c r="AE21" s="214">
        <v>15.021611999999999</v>
      </c>
      <c r="AF21" s="214">
        <v>15.058424</v>
      </c>
      <c r="AG21" s="214">
        <v>15.105885000000001</v>
      </c>
      <c r="AH21" s="214">
        <v>15.176966</v>
      </c>
      <c r="AI21" s="214">
        <v>15.192781</v>
      </c>
      <c r="AJ21" s="214">
        <v>15.222968</v>
      </c>
      <c r="AK21" s="215">
        <v>0</v>
      </c>
    </row>
    <row r="23" spans="1:38">
      <c r="A23" s="6" t="s">
        <v>181</v>
      </c>
    </row>
    <row r="24" spans="1:38" s="217" customFormat="1">
      <c r="A24" s="216" t="s">
        <v>180</v>
      </c>
      <c r="B24" s="318">
        <v>1.7380001544952399</v>
      </c>
      <c r="C24" s="318">
        <v>1.7829999923706099</v>
      </c>
      <c r="D24" s="318">
        <v>1.82499992847443</v>
      </c>
      <c r="E24" s="318">
        <v>1.81299996376038</v>
      </c>
      <c r="F24" s="319">
        <v>1.86609554290771</v>
      </c>
      <c r="G24" s="265">
        <v>2.2160000000000002</v>
      </c>
      <c r="H24" s="265">
        <v>2.4</v>
      </c>
      <c r="I24" s="265">
        <v>2.4900000000000002</v>
      </c>
      <c r="J24" s="265">
        <v>2.5089999999999999</v>
      </c>
      <c r="K24" s="265">
        <v>2.5561180000000001</v>
      </c>
      <c r="L24" s="265">
        <v>2.6337290000000002</v>
      </c>
      <c r="M24" s="265">
        <v>2.6633930000000001</v>
      </c>
      <c r="N24" s="265">
        <v>2.6705079999999999</v>
      </c>
      <c r="O24" s="265">
        <v>2.669905</v>
      </c>
      <c r="P24" s="265">
        <v>2.6458759999999999</v>
      </c>
      <c r="Q24" s="265">
        <v>2.60798</v>
      </c>
      <c r="R24" s="265">
        <v>2.7045080000000001</v>
      </c>
      <c r="S24" s="265">
        <v>2.7930269999999999</v>
      </c>
      <c r="T24" s="265">
        <v>2.8390249999999999</v>
      </c>
      <c r="U24" s="265">
        <v>2.8728980000000002</v>
      </c>
      <c r="V24" s="265">
        <v>2.9033150000000001</v>
      </c>
      <c r="W24" s="265">
        <v>2.9228930000000002</v>
      </c>
      <c r="X24" s="265">
        <v>2.9406509999999999</v>
      </c>
      <c r="Y24" s="265">
        <v>2.9505080000000001</v>
      </c>
      <c r="Z24" s="265">
        <v>2.978853</v>
      </c>
      <c r="AA24" s="265">
        <v>3.0103460000000002</v>
      </c>
      <c r="AB24" s="265">
        <v>3.0288490000000001</v>
      </c>
      <c r="AC24" s="265">
        <v>3.0383969999999998</v>
      </c>
      <c r="AD24" s="265">
        <v>3.0546120000000001</v>
      </c>
      <c r="AE24" s="265">
        <v>3.0492400000000002</v>
      </c>
      <c r="AF24" s="265">
        <v>3.0289980000000001</v>
      </c>
      <c r="AG24" s="265">
        <v>3.058621</v>
      </c>
      <c r="AH24" s="265">
        <v>3.037477</v>
      </c>
      <c r="AI24" s="265">
        <v>3.013617</v>
      </c>
      <c r="AJ24" s="265">
        <v>2.983552</v>
      </c>
      <c r="AK24" s="266">
        <v>8.0000000000000002E-3</v>
      </c>
    </row>
    <row r="25" spans="1:38">
      <c r="A25" s="6" t="s">
        <v>179</v>
      </c>
      <c r="B25" s="318">
        <v>2.3140001296997101</v>
      </c>
      <c r="C25" s="318">
        <v>2.0869998931884801</v>
      </c>
      <c r="D25" s="318">
        <v>1.29999995231628</v>
      </c>
      <c r="E25" s="318">
        <v>1.3280000686645499</v>
      </c>
      <c r="F25" s="319">
        <v>1.6039888858795199</v>
      </c>
      <c r="G25" s="263">
        <v>-0.252</v>
      </c>
      <c r="H25" s="263">
        <v>-0.91600000000000004</v>
      </c>
      <c r="I25" s="263">
        <v>-0.98799999999999999</v>
      </c>
      <c r="J25" s="263">
        <v>-1.0289999999999999</v>
      </c>
      <c r="K25" s="263">
        <v>-0.96462499999999995</v>
      </c>
      <c r="L25" s="263">
        <v>-0.94448699999999997</v>
      </c>
      <c r="M25" s="263">
        <v>-0.93183700000000003</v>
      </c>
      <c r="N25" s="263">
        <v>-0.91123600000000005</v>
      </c>
      <c r="O25" s="263">
        <v>-0.88706300000000005</v>
      </c>
      <c r="P25" s="263">
        <v>-0.85573100000000002</v>
      </c>
      <c r="Q25" s="263">
        <v>-0.83163799999999999</v>
      </c>
      <c r="R25" s="263">
        <v>-0.89107099999999995</v>
      </c>
      <c r="S25" s="263">
        <v>-0.94251600000000002</v>
      </c>
      <c r="T25" s="263">
        <v>-0.97565599999999997</v>
      </c>
      <c r="U25" s="263">
        <v>-1.0068220000000001</v>
      </c>
      <c r="V25" s="263">
        <v>-1.068271</v>
      </c>
      <c r="W25" s="263">
        <v>-1.122708</v>
      </c>
      <c r="X25" s="263">
        <v>-1.1588719999999999</v>
      </c>
      <c r="Y25" s="263">
        <v>-1.2142729999999999</v>
      </c>
      <c r="Z25" s="263">
        <v>-1.293569</v>
      </c>
      <c r="AA25" s="263">
        <v>-1.3683129999999999</v>
      </c>
      <c r="AB25" s="263">
        <v>-1.4270320000000001</v>
      </c>
      <c r="AC25" s="263">
        <v>-1.482378</v>
      </c>
      <c r="AD25" s="263">
        <v>-1.563064</v>
      </c>
      <c r="AE25" s="263">
        <v>-1.613156</v>
      </c>
      <c r="AF25" s="263">
        <v>-1.650264</v>
      </c>
      <c r="AG25" s="263">
        <v>-1.716191</v>
      </c>
      <c r="AH25" s="263">
        <v>-1.7615620000000001</v>
      </c>
      <c r="AI25" s="263">
        <v>-1.7771790000000001</v>
      </c>
      <c r="AJ25" s="263">
        <v>-1.816797</v>
      </c>
      <c r="AK25" s="264">
        <v>2.5000000000000001E-2</v>
      </c>
    </row>
    <row r="26" spans="1:38">
      <c r="A26" s="6" t="s">
        <v>178</v>
      </c>
      <c r="B26" s="318">
        <v>2.1710000038146999</v>
      </c>
      <c r="C26" s="318">
        <v>1.93800008296967</v>
      </c>
      <c r="D26" s="318">
        <v>1.0240000486373899</v>
      </c>
      <c r="E26" s="318">
        <v>1.06200003623962</v>
      </c>
      <c r="F26" s="319">
        <v>1.54514491558075</v>
      </c>
      <c r="G26" s="263">
        <v>1.151</v>
      </c>
      <c r="H26" s="263">
        <v>0.84799999999999998</v>
      </c>
      <c r="I26" s="263">
        <v>0.70899999999999996</v>
      </c>
      <c r="J26" s="263">
        <v>0.72</v>
      </c>
      <c r="K26" s="263">
        <v>0.81863200000000003</v>
      </c>
      <c r="L26" s="263">
        <v>0.88173000000000001</v>
      </c>
      <c r="M26" s="263">
        <v>0.906914</v>
      </c>
      <c r="N26" s="263">
        <v>0.93180099999999999</v>
      </c>
      <c r="O26" s="263">
        <v>0.95816500000000004</v>
      </c>
      <c r="P26" s="263">
        <v>0.97589599999999999</v>
      </c>
      <c r="Q26" s="263">
        <v>0.98990599999999995</v>
      </c>
      <c r="R26" s="263">
        <v>1.006778</v>
      </c>
      <c r="S26" s="263">
        <v>1.0199199999999999</v>
      </c>
      <c r="T26" s="263">
        <v>1.03091</v>
      </c>
      <c r="U26" s="263">
        <v>1.05515</v>
      </c>
      <c r="V26" s="263">
        <v>1.0587679999999999</v>
      </c>
      <c r="W26" s="263">
        <v>1.0657570000000001</v>
      </c>
      <c r="X26" s="263">
        <v>1.0659179999999999</v>
      </c>
      <c r="Y26" s="263">
        <v>1.061431</v>
      </c>
      <c r="Z26" s="263">
        <v>1.0560160000000001</v>
      </c>
      <c r="AA26" s="263">
        <v>1.05697</v>
      </c>
      <c r="AB26" s="263">
        <v>1.0702149999999999</v>
      </c>
      <c r="AC26" s="263">
        <v>1.072165</v>
      </c>
      <c r="AD26" s="263">
        <v>1.0766100000000001</v>
      </c>
      <c r="AE26" s="263">
        <v>1.0822270000000001</v>
      </c>
      <c r="AF26" s="263">
        <v>1.093154</v>
      </c>
      <c r="AG26" s="263">
        <v>1.095712</v>
      </c>
      <c r="AH26" s="263">
        <v>1.0972550000000001</v>
      </c>
      <c r="AI26" s="263">
        <v>1.1087450000000001</v>
      </c>
      <c r="AJ26" s="263">
        <v>1.0974060000000001</v>
      </c>
      <c r="AK26" s="264">
        <v>8.9999999999999993E-3</v>
      </c>
    </row>
    <row r="27" spans="1:38">
      <c r="A27" s="6" t="s">
        <v>177</v>
      </c>
      <c r="B27" s="318">
        <v>0.68900001049041704</v>
      </c>
      <c r="C27" s="318">
        <v>0.71700000762939498</v>
      </c>
      <c r="D27" s="318">
        <v>0.60663330554962203</v>
      </c>
      <c r="E27" s="318">
        <v>0.60996818542480502</v>
      </c>
      <c r="F27" s="319">
        <v>0.60277581214904796</v>
      </c>
      <c r="G27" s="263">
        <v>0.68700000000000006</v>
      </c>
      <c r="H27" s="263">
        <v>0.60299999999999998</v>
      </c>
      <c r="I27" s="263">
        <v>0.58599999999999997</v>
      </c>
      <c r="J27" s="263">
        <v>0.54400000000000004</v>
      </c>
      <c r="K27" s="263">
        <v>0.540385</v>
      </c>
      <c r="L27" s="263">
        <v>0.53676900000000005</v>
      </c>
      <c r="M27" s="263">
        <v>0.53315299999999999</v>
      </c>
      <c r="N27" s="263">
        <v>0.52953899999999998</v>
      </c>
      <c r="O27" s="263">
        <v>0.52592300000000003</v>
      </c>
      <c r="P27" s="263">
        <v>0.52230699999999997</v>
      </c>
      <c r="Q27" s="263">
        <v>0.51869299999999996</v>
      </c>
      <c r="R27" s="263">
        <v>0.51507700000000001</v>
      </c>
      <c r="S27" s="263">
        <v>0.51146100000000005</v>
      </c>
      <c r="T27" s="263">
        <v>0.50784600000000002</v>
      </c>
      <c r="U27" s="263">
        <v>0.50423099999999998</v>
      </c>
      <c r="V27" s="263">
        <v>0.50061500000000003</v>
      </c>
      <c r="W27" s="263">
        <v>0.497</v>
      </c>
      <c r="X27" s="263">
        <v>0.49338500000000002</v>
      </c>
      <c r="Y27" s="263">
        <v>0.48976900000000001</v>
      </c>
      <c r="Z27" s="263">
        <v>0.48615399999999998</v>
      </c>
      <c r="AA27" s="263">
        <v>0.48253800000000002</v>
      </c>
      <c r="AB27" s="263">
        <v>0.47892299999999999</v>
      </c>
      <c r="AC27" s="263">
        <v>0.47530800000000001</v>
      </c>
      <c r="AD27" s="263">
        <v>0.471692</v>
      </c>
      <c r="AE27" s="263">
        <v>0.46807700000000002</v>
      </c>
      <c r="AF27" s="263">
        <v>0.46446199999999999</v>
      </c>
      <c r="AG27" s="263">
        <v>0.46084599999999998</v>
      </c>
      <c r="AH27" s="263">
        <v>0.45723000000000003</v>
      </c>
      <c r="AI27" s="263">
        <v>0.45361600000000002</v>
      </c>
      <c r="AJ27" s="263">
        <v>0.45</v>
      </c>
      <c r="AK27" s="264">
        <v>-0.01</v>
      </c>
    </row>
    <row r="28" spans="1:38">
      <c r="A28" s="6" t="s">
        <v>176</v>
      </c>
      <c r="B28" s="318">
        <v>0.67700004577636697</v>
      </c>
      <c r="C28" s="318">
        <v>0.75300002098083496</v>
      </c>
      <c r="D28" s="318">
        <v>0.73199999332428001</v>
      </c>
      <c r="E28" s="318">
        <v>0.71799999475479104</v>
      </c>
      <c r="F28" s="319">
        <v>0.62520116567611705</v>
      </c>
      <c r="G28" s="263">
        <v>0.71799999999999997</v>
      </c>
      <c r="H28" s="263">
        <v>0.61599999999999999</v>
      </c>
      <c r="I28" s="263">
        <v>0.61</v>
      </c>
      <c r="J28" s="263">
        <v>0.6</v>
      </c>
      <c r="K28" s="263">
        <v>0.67105999999999999</v>
      </c>
      <c r="L28" s="263">
        <v>0.66229499999999997</v>
      </c>
      <c r="M28" s="263">
        <v>0.65169100000000002</v>
      </c>
      <c r="N28" s="263">
        <v>0.64020900000000003</v>
      </c>
      <c r="O28" s="263">
        <v>0.62541100000000005</v>
      </c>
      <c r="P28" s="263">
        <v>0.61513700000000004</v>
      </c>
      <c r="Q28" s="263">
        <v>0.606742</v>
      </c>
      <c r="R28" s="263">
        <v>0.595522</v>
      </c>
      <c r="S28" s="263">
        <v>0.58620099999999997</v>
      </c>
      <c r="T28" s="263">
        <v>0.57591400000000004</v>
      </c>
      <c r="U28" s="263">
        <v>0.55055799999999999</v>
      </c>
      <c r="V28" s="263">
        <v>0.53803599999999996</v>
      </c>
      <c r="W28" s="263">
        <v>0.524864</v>
      </c>
      <c r="X28" s="263">
        <v>0.51505000000000001</v>
      </c>
      <c r="Y28" s="263">
        <v>0.50508799999999998</v>
      </c>
      <c r="Z28" s="263">
        <v>0.49612200000000001</v>
      </c>
      <c r="AA28" s="263">
        <v>0.48664200000000002</v>
      </c>
      <c r="AB28" s="263">
        <v>0.47747699999999998</v>
      </c>
      <c r="AC28" s="263">
        <v>0.46830300000000002</v>
      </c>
      <c r="AD28" s="263">
        <v>0.45679599999999998</v>
      </c>
      <c r="AE28" s="263">
        <v>0.44836500000000001</v>
      </c>
      <c r="AF28" s="263">
        <v>0.43787900000000002</v>
      </c>
      <c r="AG28" s="263">
        <v>0.42837799999999998</v>
      </c>
      <c r="AH28" s="263">
        <v>0.41841600000000001</v>
      </c>
      <c r="AI28" s="263">
        <v>0.40845399999999998</v>
      </c>
      <c r="AJ28" s="263">
        <v>0.39849099999999998</v>
      </c>
      <c r="AK28" s="264">
        <v>-1.4999999999999999E-2</v>
      </c>
    </row>
    <row r="29" spans="1:38">
      <c r="A29" s="6" t="s">
        <v>175</v>
      </c>
      <c r="B29" s="318">
        <v>1.2150000333786</v>
      </c>
      <c r="C29" s="318">
        <v>1.32100009918213</v>
      </c>
      <c r="D29" s="318">
        <v>1.2150000333786</v>
      </c>
      <c r="E29" s="318">
        <v>1.2150000333786</v>
      </c>
      <c r="F29" s="319">
        <v>1.16913342475891</v>
      </c>
      <c r="G29" s="263">
        <v>2.8079999999999998</v>
      </c>
      <c r="H29" s="263">
        <v>2.9830000000000001</v>
      </c>
      <c r="I29" s="263">
        <v>2.8929999999999998</v>
      </c>
      <c r="J29" s="263">
        <v>2.8929999999999998</v>
      </c>
      <c r="K29" s="263">
        <v>2.9947010000000001</v>
      </c>
      <c r="L29" s="263">
        <v>3.0252810000000001</v>
      </c>
      <c r="M29" s="263">
        <v>3.023596</v>
      </c>
      <c r="N29" s="263">
        <v>3.0127839999999999</v>
      </c>
      <c r="O29" s="263">
        <v>2.9965619999999999</v>
      </c>
      <c r="P29" s="263">
        <v>2.9690720000000002</v>
      </c>
      <c r="Q29" s="263">
        <v>2.9469789999999998</v>
      </c>
      <c r="R29" s="263">
        <v>3.0084490000000002</v>
      </c>
      <c r="S29" s="263">
        <v>3.0600990000000001</v>
      </c>
      <c r="T29" s="263">
        <v>3.090325</v>
      </c>
      <c r="U29" s="263">
        <v>3.1167609999999999</v>
      </c>
      <c r="V29" s="263">
        <v>3.1656900000000001</v>
      </c>
      <c r="W29" s="263">
        <v>3.2103290000000002</v>
      </c>
      <c r="X29" s="263">
        <v>3.2332260000000002</v>
      </c>
      <c r="Y29" s="263">
        <v>3.2705609999999998</v>
      </c>
      <c r="Z29" s="263">
        <v>3.331861</v>
      </c>
      <c r="AA29" s="263">
        <v>3.3944640000000001</v>
      </c>
      <c r="AB29" s="263">
        <v>3.4536470000000001</v>
      </c>
      <c r="AC29" s="263">
        <v>3.498154</v>
      </c>
      <c r="AD29" s="263">
        <v>3.5681620000000001</v>
      </c>
      <c r="AE29" s="263">
        <v>3.6118250000000001</v>
      </c>
      <c r="AF29" s="263">
        <v>3.6457579999999998</v>
      </c>
      <c r="AG29" s="263">
        <v>3.7011270000000001</v>
      </c>
      <c r="AH29" s="263">
        <v>3.7344629999999999</v>
      </c>
      <c r="AI29" s="263">
        <v>3.7479930000000001</v>
      </c>
      <c r="AJ29" s="263">
        <v>3.7626949999999999</v>
      </c>
      <c r="AK29" s="264">
        <v>8.0000000000000002E-3</v>
      </c>
    </row>
    <row r="30" spans="1:38">
      <c r="A30" s="6" t="s">
        <v>174</v>
      </c>
      <c r="B30" s="318">
        <v>0.99400001764297496</v>
      </c>
      <c r="C30" s="318">
        <v>0.99599999189376798</v>
      </c>
      <c r="D30" s="318">
        <v>0.99699997901916504</v>
      </c>
      <c r="E30" s="318">
        <v>0.97899997234344505</v>
      </c>
      <c r="F30" s="319">
        <v>0.97222220897674605</v>
      </c>
      <c r="G30" s="263">
        <v>1.0760000000000001</v>
      </c>
      <c r="H30" s="263">
        <v>1.077</v>
      </c>
      <c r="I30" s="263">
        <v>1.0620000000000001</v>
      </c>
      <c r="J30" s="263">
        <v>1.0549999999999999</v>
      </c>
      <c r="K30" s="263">
        <v>1.1173770000000001</v>
      </c>
      <c r="L30" s="263">
        <v>1.107977</v>
      </c>
      <c r="M30" s="263">
        <v>1.1068800000000001</v>
      </c>
      <c r="N30" s="263">
        <v>1.1013949999999999</v>
      </c>
      <c r="O30" s="263">
        <v>1.0899559999999999</v>
      </c>
      <c r="P30" s="263">
        <v>1.0810919999999999</v>
      </c>
      <c r="Q30" s="263">
        <v>1.070587</v>
      </c>
      <c r="R30" s="263">
        <v>1.0513539999999999</v>
      </c>
      <c r="S30" s="263">
        <v>1.032008</v>
      </c>
      <c r="T30" s="263">
        <v>1.0139609999999999</v>
      </c>
      <c r="U30" s="263">
        <v>0.99733000000000005</v>
      </c>
      <c r="V30" s="263">
        <v>0.98163100000000003</v>
      </c>
      <c r="W30" s="263">
        <v>0.97328499999999996</v>
      </c>
      <c r="X30" s="263">
        <v>0.96382100000000004</v>
      </c>
      <c r="Y30" s="263">
        <v>0.95674199999999998</v>
      </c>
      <c r="Z30" s="263">
        <v>0.95704199999999995</v>
      </c>
      <c r="AA30" s="263">
        <v>0.95328999999999997</v>
      </c>
      <c r="AB30" s="263">
        <v>0.95369499999999996</v>
      </c>
      <c r="AC30" s="263">
        <v>0.949291</v>
      </c>
      <c r="AD30" s="263">
        <v>0.94474999999999998</v>
      </c>
      <c r="AE30" s="263">
        <v>0.94433999999999996</v>
      </c>
      <c r="AF30" s="263">
        <v>0.94618999999999998</v>
      </c>
      <c r="AG30" s="263">
        <v>0.94669300000000001</v>
      </c>
      <c r="AH30" s="263">
        <v>0.95018899999999995</v>
      </c>
      <c r="AI30" s="263">
        <v>0.95436399999999999</v>
      </c>
      <c r="AJ30" s="263">
        <v>0.95464199999999999</v>
      </c>
      <c r="AK30" s="264">
        <v>-4.0000000000000001E-3</v>
      </c>
    </row>
    <row r="31" spans="1:38">
      <c r="A31" s="6" t="s">
        <v>697</v>
      </c>
      <c r="B31" s="318">
        <v>0.40835106372833302</v>
      </c>
      <c r="C31" s="318">
        <v>0.74303030967712402</v>
      </c>
      <c r="D31" s="318">
        <v>0.90019965171813998</v>
      </c>
      <c r="E31" s="318">
        <v>0.90936332941055298</v>
      </c>
      <c r="F31" s="319">
        <v>1.2169610261917101</v>
      </c>
      <c r="G31" s="263">
        <v>0.87458199999999997</v>
      </c>
      <c r="H31" s="263">
        <v>0.88629000000000002</v>
      </c>
      <c r="I31" s="263">
        <v>0.91131799999999996</v>
      </c>
      <c r="J31" s="263">
        <v>0.94543999999999995</v>
      </c>
      <c r="K31" s="263">
        <v>0.95931299999999997</v>
      </c>
      <c r="L31" s="263">
        <v>0.96406000000000003</v>
      </c>
      <c r="M31" s="263">
        <v>0.97751200000000005</v>
      </c>
      <c r="N31" s="263">
        <v>0.98974300000000004</v>
      </c>
      <c r="O31" s="263">
        <v>1.0016430000000001</v>
      </c>
      <c r="P31" s="263">
        <v>1.014486</v>
      </c>
      <c r="Q31" s="263">
        <v>1.026421</v>
      </c>
      <c r="R31" s="263">
        <v>1.04257</v>
      </c>
      <c r="S31" s="263">
        <v>1.0409060000000001</v>
      </c>
      <c r="T31" s="263">
        <v>1.042815</v>
      </c>
      <c r="U31" s="263">
        <v>1.0410189999999999</v>
      </c>
      <c r="V31" s="263">
        <v>1.0405869999999999</v>
      </c>
      <c r="W31" s="263">
        <v>1.0406690000000001</v>
      </c>
      <c r="X31" s="263">
        <v>1.0407820000000001</v>
      </c>
      <c r="Y31" s="263">
        <v>1.0402199999999999</v>
      </c>
      <c r="Z31" s="263">
        <v>1.0406690000000001</v>
      </c>
      <c r="AA31" s="263">
        <v>1.0418559999999999</v>
      </c>
      <c r="AB31" s="263">
        <v>1.0410980000000001</v>
      </c>
      <c r="AC31" s="263">
        <v>1.041115</v>
      </c>
      <c r="AD31" s="263">
        <v>1.0421020000000001</v>
      </c>
      <c r="AE31" s="263">
        <v>1.0415099999999999</v>
      </c>
      <c r="AF31" s="263">
        <v>1.039404</v>
      </c>
      <c r="AG31" s="263">
        <v>1.038624</v>
      </c>
      <c r="AH31" s="263">
        <v>1.041671</v>
      </c>
      <c r="AI31" s="263">
        <v>1.0532999999999999</v>
      </c>
      <c r="AJ31" s="263">
        <v>1.0676890000000001</v>
      </c>
      <c r="AK31" s="264">
        <v>7.0000000000000001E-3</v>
      </c>
    </row>
    <row r="32" spans="1:38" s="18" customFormat="1">
      <c r="A32" s="17" t="s">
        <v>173</v>
      </c>
      <c r="B32" s="320">
        <v>0.31900000572204601</v>
      </c>
      <c r="C32" s="320">
        <v>0.42500001192092901</v>
      </c>
      <c r="D32" s="320">
        <v>0.60299998521804798</v>
      </c>
      <c r="E32" s="320">
        <v>0.68500006198883101</v>
      </c>
      <c r="F32" s="321">
        <v>0.84147453308105502</v>
      </c>
      <c r="G32" s="263">
        <v>0.81834200000000001</v>
      </c>
      <c r="H32" s="263">
        <v>0.82725800000000005</v>
      </c>
      <c r="I32" s="263">
        <v>0.825187</v>
      </c>
      <c r="J32" s="263">
        <v>0.85004199999999996</v>
      </c>
      <c r="K32" s="263">
        <v>0.865282</v>
      </c>
      <c r="L32" s="263">
        <v>0.869251</v>
      </c>
      <c r="M32" s="263">
        <v>0.88145200000000001</v>
      </c>
      <c r="N32" s="263">
        <v>0.88586200000000004</v>
      </c>
      <c r="O32" s="263">
        <v>0.88890000000000002</v>
      </c>
      <c r="P32" s="263">
        <v>0.89585899999999996</v>
      </c>
      <c r="Q32" s="263">
        <v>0.89987200000000001</v>
      </c>
      <c r="R32" s="263">
        <v>0.91550900000000002</v>
      </c>
      <c r="S32" s="263">
        <v>0.91492399999999996</v>
      </c>
      <c r="T32" s="263">
        <v>0.91555299999999995</v>
      </c>
      <c r="U32" s="263">
        <v>0.91523600000000005</v>
      </c>
      <c r="V32" s="263">
        <v>0.91508800000000001</v>
      </c>
      <c r="W32" s="263">
        <v>0.91518600000000006</v>
      </c>
      <c r="X32" s="263">
        <v>0.91533399999999998</v>
      </c>
      <c r="Y32" s="263">
        <v>0.91476000000000002</v>
      </c>
      <c r="Z32" s="263">
        <v>0.91483099999999995</v>
      </c>
      <c r="AA32" s="263">
        <v>0.91463499999999998</v>
      </c>
      <c r="AB32" s="263">
        <v>0.91389500000000001</v>
      </c>
      <c r="AC32" s="263">
        <v>0.91388999999999998</v>
      </c>
      <c r="AD32" s="263">
        <v>0.91484699999999997</v>
      </c>
      <c r="AE32" s="263">
        <v>0.91425800000000002</v>
      </c>
      <c r="AF32" s="263">
        <v>0.91217999999999999</v>
      </c>
      <c r="AG32" s="263">
        <v>0.91165499999999999</v>
      </c>
      <c r="AH32" s="263">
        <v>0.91445399999999999</v>
      </c>
      <c r="AI32" s="263">
        <v>0.92887299999999995</v>
      </c>
      <c r="AJ32" s="263">
        <v>0.94600499999999998</v>
      </c>
      <c r="AK32" s="264">
        <v>5.0000000000000001E-3</v>
      </c>
      <c r="AL32" s="51">
        <f>C32*(1+AK32)^23</f>
        <v>0.4766596202229666</v>
      </c>
    </row>
    <row r="33" spans="1:38" s="18" customFormat="1">
      <c r="A33" s="17" t="s">
        <v>171</v>
      </c>
      <c r="B33" s="320">
        <v>0.273288995027542</v>
      </c>
      <c r="C33" s="320">
        <v>0.40336400270461997</v>
      </c>
      <c r="D33" s="320">
        <v>0.58252400159835804</v>
      </c>
      <c r="E33" s="320">
        <v>0.68972003459930398</v>
      </c>
      <c r="F33" s="321">
        <v>0.84179353713989302</v>
      </c>
      <c r="G33" s="263">
        <v>0.88597599999999999</v>
      </c>
      <c r="H33" s="263">
        <v>0.84365599999999996</v>
      </c>
      <c r="I33" s="263">
        <v>0.83595299999999995</v>
      </c>
      <c r="J33" s="263">
        <v>0.86998399999999998</v>
      </c>
      <c r="K33" s="263">
        <v>0.82013999999999998</v>
      </c>
      <c r="L33" s="263">
        <v>0.82233599999999996</v>
      </c>
      <c r="M33" s="263">
        <v>0.83316999999999997</v>
      </c>
      <c r="N33" s="263">
        <v>0.834866</v>
      </c>
      <c r="O33" s="263">
        <v>0.83494199999999996</v>
      </c>
      <c r="P33" s="263">
        <v>0.84040599999999999</v>
      </c>
      <c r="Q33" s="263">
        <v>0.83868500000000001</v>
      </c>
      <c r="R33" s="263">
        <v>0.84875</v>
      </c>
      <c r="S33" s="263">
        <v>0.85439200000000004</v>
      </c>
      <c r="T33" s="263">
        <v>0.85437700000000005</v>
      </c>
      <c r="U33" s="263">
        <v>0.85438800000000004</v>
      </c>
      <c r="V33" s="263">
        <v>0.85439200000000004</v>
      </c>
      <c r="W33" s="263">
        <v>0.85523000000000005</v>
      </c>
      <c r="X33" s="263">
        <v>0.85584700000000002</v>
      </c>
      <c r="Y33" s="263">
        <v>0.85583500000000001</v>
      </c>
      <c r="Z33" s="263">
        <v>0.85584700000000002</v>
      </c>
      <c r="AA33" s="263">
        <v>0.85584700000000002</v>
      </c>
      <c r="AB33" s="263">
        <v>0.85583500000000001</v>
      </c>
      <c r="AC33" s="263">
        <v>0.85583500000000001</v>
      </c>
      <c r="AD33" s="263">
        <v>0.85583500000000001</v>
      </c>
      <c r="AE33" s="263">
        <v>0.85358400000000001</v>
      </c>
      <c r="AF33" s="263">
        <v>0.84983299999999995</v>
      </c>
      <c r="AG33" s="263">
        <v>0.84757499999999997</v>
      </c>
      <c r="AH33" s="263">
        <v>0.84855400000000003</v>
      </c>
      <c r="AI33" s="263">
        <v>0.85902400000000001</v>
      </c>
      <c r="AJ33" s="263">
        <v>0.86278500000000002</v>
      </c>
      <c r="AK33" s="264">
        <v>1E-3</v>
      </c>
      <c r="AL33" s="51" t="s">
        <v>0</v>
      </c>
    </row>
    <row r="34" spans="1:38">
      <c r="A34" s="6" t="s">
        <v>170</v>
      </c>
      <c r="B34" s="318">
        <v>4.5710995793342597E-2</v>
      </c>
      <c r="C34" s="318">
        <v>2.1635998040437698E-2</v>
      </c>
      <c r="D34" s="318">
        <v>2.0475998520851101E-2</v>
      </c>
      <c r="E34" s="318">
        <v>-4.7199996188283001E-3</v>
      </c>
      <c r="F34" s="319">
        <v>-3.1897879671305402E-4</v>
      </c>
      <c r="G34" s="263">
        <v>-6.6753999999999994E-2</v>
      </c>
      <c r="H34" s="263">
        <v>-1.6397999999999999E-2</v>
      </c>
      <c r="I34" s="263">
        <v>-1.0766E-2</v>
      </c>
      <c r="J34" s="263">
        <v>-1.9942000000000001E-2</v>
      </c>
      <c r="K34" s="263">
        <v>4.5142000000000002E-2</v>
      </c>
      <c r="L34" s="263">
        <v>4.6915999999999999E-2</v>
      </c>
      <c r="M34" s="263">
        <v>4.8281999999999999E-2</v>
      </c>
      <c r="N34" s="263">
        <v>5.0996E-2</v>
      </c>
      <c r="O34" s="263">
        <v>5.3957999999999999E-2</v>
      </c>
      <c r="P34" s="263">
        <v>5.5452000000000001E-2</v>
      </c>
      <c r="Q34" s="263">
        <v>6.1186999999999998E-2</v>
      </c>
      <c r="R34" s="263">
        <v>6.6758999999999999E-2</v>
      </c>
      <c r="S34" s="263">
        <v>6.0532000000000002E-2</v>
      </c>
      <c r="T34" s="263">
        <v>6.1176000000000001E-2</v>
      </c>
      <c r="U34" s="263">
        <v>6.0847999999999999E-2</v>
      </c>
      <c r="V34" s="263">
        <v>6.0696E-2</v>
      </c>
      <c r="W34" s="263">
        <v>5.9957000000000003E-2</v>
      </c>
      <c r="X34" s="263">
        <v>5.9486999999999998E-2</v>
      </c>
      <c r="Y34" s="263">
        <v>5.8924999999999998E-2</v>
      </c>
      <c r="Z34" s="263">
        <v>5.8984000000000002E-2</v>
      </c>
      <c r="AA34" s="263">
        <v>5.8788E-2</v>
      </c>
      <c r="AB34" s="263">
        <v>5.806E-2</v>
      </c>
      <c r="AC34" s="263">
        <v>5.8056000000000003E-2</v>
      </c>
      <c r="AD34" s="263">
        <v>5.9012000000000002E-2</v>
      </c>
      <c r="AE34" s="263">
        <v>6.0673999999999999E-2</v>
      </c>
      <c r="AF34" s="263">
        <v>6.2348000000000001E-2</v>
      </c>
      <c r="AG34" s="263">
        <v>6.4079999999999998E-2</v>
      </c>
      <c r="AH34" s="263">
        <v>6.59E-2</v>
      </c>
      <c r="AI34" s="263">
        <v>6.9848999999999994E-2</v>
      </c>
      <c r="AJ34" s="263">
        <v>8.3220000000000002E-2</v>
      </c>
      <c r="AK34" s="263" t="s">
        <v>41</v>
      </c>
    </row>
    <row r="35" spans="1:38" s="18" customFormat="1">
      <c r="A35" s="17" t="s">
        <v>172</v>
      </c>
      <c r="B35" s="320">
        <v>1.6338998451829002E-2</v>
      </c>
      <c r="C35" s="320">
        <v>3.2029997557401699E-2</v>
      </c>
      <c r="D35" s="320">
        <v>5.1199223846197101E-2</v>
      </c>
      <c r="E35" s="320">
        <v>6.0358572751283597E-2</v>
      </c>
      <c r="F35" s="321">
        <v>6.3932694494724301E-2</v>
      </c>
      <c r="G35" s="263">
        <v>5.6239999999999998E-2</v>
      </c>
      <c r="H35" s="263">
        <v>5.9032000000000001E-2</v>
      </c>
      <c r="I35" s="263">
        <v>8.6099999999999996E-2</v>
      </c>
      <c r="J35" s="263">
        <v>9.0199000000000001E-2</v>
      </c>
      <c r="K35" s="263">
        <v>9.0070999999999998E-2</v>
      </c>
      <c r="L35" s="263">
        <v>8.6830000000000004E-2</v>
      </c>
      <c r="M35" s="263">
        <v>8.6858000000000005E-2</v>
      </c>
      <c r="N35" s="263">
        <v>8.5750999999999994E-2</v>
      </c>
      <c r="O35" s="263">
        <v>8.7317000000000006E-2</v>
      </c>
      <c r="P35" s="263">
        <v>8.8449E-2</v>
      </c>
      <c r="Q35" s="263">
        <v>8.8486999999999996E-2</v>
      </c>
      <c r="R35" s="263">
        <v>8.8999999999999996E-2</v>
      </c>
      <c r="S35" s="263">
        <v>8.8025000000000006E-2</v>
      </c>
      <c r="T35" s="263">
        <v>8.9304999999999995E-2</v>
      </c>
      <c r="U35" s="263">
        <v>8.7721999999999994E-2</v>
      </c>
      <c r="V35" s="263">
        <v>8.7541999999999995E-2</v>
      </c>
      <c r="W35" s="263">
        <v>8.7525000000000006E-2</v>
      </c>
      <c r="X35" s="263">
        <v>8.7489999999999998E-2</v>
      </c>
      <c r="Y35" s="263">
        <v>8.7501999999999996E-2</v>
      </c>
      <c r="Z35" s="263">
        <v>8.788E-2</v>
      </c>
      <c r="AA35" s="263">
        <v>8.9262999999999995E-2</v>
      </c>
      <c r="AB35" s="263">
        <v>8.9245000000000005E-2</v>
      </c>
      <c r="AC35" s="263">
        <v>8.9370000000000005E-2</v>
      </c>
      <c r="AD35" s="263">
        <v>8.9401999999999995E-2</v>
      </c>
      <c r="AE35" s="263">
        <v>8.9397000000000004E-2</v>
      </c>
      <c r="AF35" s="263">
        <v>8.9370000000000005E-2</v>
      </c>
      <c r="AG35" s="263">
        <v>8.9115E-2</v>
      </c>
      <c r="AH35" s="263">
        <v>8.9362999999999998E-2</v>
      </c>
      <c r="AI35" s="263">
        <v>8.9108000000000007E-2</v>
      </c>
      <c r="AJ35" s="263">
        <v>8.9448E-2</v>
      </c>
      <c r="AK35" s="263" t="s">
        <v>41</v>
      </c>
    </row>
    <row r="36" spans="1:38" s="18" customFormat="1">
      <c r="A36" s="17" t="s">
        <v>171</v>
      </c>
      <c r="B36" s="320">
        <v>1.6338998451829002E-2</v>
      </c>
      <c r="C36" s="320">
        <v>3.2029997557401699E-2</v>
      </c>
      <c r="D36" s="320">
        <v>5.1199223846197101E-2</v>
      </c>
      <c r="E36" s="320">
        <v>6.0358572751283597E-2</v>
      </c>
      <c r="F36" s="321">
        <v>6.3932694494724301E-2</v>
      </c>
      <c r="G36" s="263">
        <v>6.3100000000000003E-2</v>
      </c>
      <c r="H36" s="263">
        <v>6.3100000000000003E-2</v>
      </c>
      <c r="I36" s="263">
        <v>8.1100000000000005E-2</v>
      </c>
      <c r="J36" s="263">
        <v>8.7099999999999997E-2</v>
      </c>
      <c r="K36" s="263">
        <v>7.9580999999999999E-2</v>
      </c>
      <c r="L36" s="263">
        <v>7.6044E-2</v>
      </c>
      <c r="M36" s="263">
        <v>7.5939000000000006E-2</v>
      </c>
      <c r="N36" s="263">
        <v>7.4647000000000005E-2</v>
      </c>
      <c r="O36" s="263">
        <v>7.6071E-2</v>
      </c>
      <c r="P36" s="263">
        <v>7.6998999999999998E-2</v>
      </c>
      <c r="Q36" s="263">
        <v>7.6729000000000006E-2</v>
      </c>
      <c r="R36" s="263">
        <v>7.7030000000000001E-2</v>
      </c>
      <c r="S36" s="263">
        <v>7.5851000000000002E-2</v>
      </c>
      <c r="T36" s="263">
        <v>7.7146000000000006E-2</v>
      </c>
      <c r="U36" s="263">
        <v>7.5544E-2</v>
      </c>
      <c r="V36" s="263">
        <v>7.5385999999999995E-2</v>
      </c>
      <c r="W36" s="263">
        <v>7.5385999999999995E-2</v>
      </c>
      <c r="X36" s="263">
        <v>7.5385999999999995E-2</v>
      </c>
      <c r="Y36" s="263">
        <v>7.5385999999999995E-2</v>
      </c>
      <c r="Z36" s="263">
        <v>7.5749999999999998E-2</v>
      </c>
      <c r="AA36" s="263">
        <v>7.7146000000000006E-2</v>
      </c>
      <c r="AB36" s="263">
        <v>7.7146000000000006E-2</v>
      </c>
      <c r="AC36" s="263">
        <v>7.7260999999999996E-2</v>
      </c>
      <c r="AD36" s="263">
        <v>7.7260999999999996E-2</v>
      </c>
      <c r="AE36" s="263">
        <v>7.7260999999999996E-2</v>
      </c>
      <c r="AF36" s="263">
        <v>7.7260999999999996E-2</v>
      </c>
      <c r="AG36" s="263">
        <v>7.7010999999999996E-2</v>
      </c>
      <c r="AH36" s="263">
        <v>7.7260999999999996E-2</v>
      </c>
      <c r="AI36" s="263">
        <v>7.7010999999999996E-2</v>
      </c>
      <c r="AJ36" s="263">
        <v>7.7376E-2</v>
      </c>
      <c r="AK36" s="264">
        <v>7.0000000000000001E-3</v>
      </c>
    </row>
    <row r="37" spans="1:38">
      <c r="A37" s="6" t="s">
        <v>170</v>
      </c>
      <c r="B37" s="318">
        <v>0</v>
      </c>
      <c r="C37" s="318">
        <v>0</v>
      </c>
      <c r="D37" s="318">
        <v>0</v>
      </c>
      <c r="E37" s="318">
        <v>0</v>
      </c>
      <c r="F37" s="319">
        <v>0</v>
      </c>
      <c r="G37" s="263">
        <v>-3.4629999999999999E-3</v>
      </c>
      <c r="H37" s="263">
        <v>-4.0679999999999996E-3</v>
      </c>
      <c r="I37" s="263">
        <v>5.0000000000000001E-3</v>
      </c>
      <c r="J37" s="263">
        <v>3.0990000000000002E-3</v>
      </c>
      <c r="K37" s="263">
        <v>1.0489999999999999E-2</v>
      </c>
      <c r="L37" s="263">
        <v>1.0786E-2</v>
      </c>
      <c r="M37" s="263">
        <v>1.0919E-2</v>
      </c>
      <c r="N37" s="263">
        <v>1.1103999999999999E-2</v>
      </c>
      <c r="O37" s="263">
        <v>1.1247E-2</v>
      </c>
      <c r="P37" s="263">
        <v>1.145E-2</v>
      </c>
      <c r="Q37" s="263">
        <v>1.1757999999999999E-2</v>
      </c>
      <c r="R37" s="263">
        <v>1.197E-2</v>
      </c>
      <c r="S37" s="263">
        <v>1.2174000000000001E-2</v>
      </c>
      <c r="T37" s="263">
        <v>1.2159E-2</v>
      </c>
      <c r="U37" s="263">
        <v>1.2178E-2</v>
      </c>
      <c r="V37" s="263">
        <v>1.2154999999999999E-2</v>
      </c>
      <c r="W37" s="263">
        <v>1.2139E-2</v>
      </c>
      <c r="X37" s="263">
        <v>1.2104E-2</v>
      </c>
      <c r="Y37" s="263">
        <v>1.2116E-2</v>
      </c>
      <c r="Z37" s="263">
        <v>1.2130999999999999E-2</v>
      </c>
      <c r="AA37" s="263">
        <v>1.2118E-2</v>
      </c>
      <c r="AB37" s="263">
        <v>1.21E-2</v>
      </c>
      <c r="AC37" s="263">
        <v>1.2109999999999999E-2</v>
      </c>
      <c r="AD37" s="263">
        <v>1.2141000000000001E-2</v>
      </c>
      <c r="AE37" s="263">
        <v>1.2137E-2</v>
      </c>
      <c r="AF37" s="263">
        <v>1.2109E-2</v>
      </c>
      <c r="AG37" s="263">
        <v>1.2102999999999999E-2</v>
      </c>
      <c r="AH37" s="263">
        <v>1.2102E-2</v>
      </c>
      <c r="AI37" s="263">
        <v>1.2096000000000001E-2</v>
      </c>
      <c r="AJ37" s="263">
        <v>1.2071999999999999E-2</v>
      </c>
      <c r="AK37" s="263" t="s">
        <v>41</v>
      </c>
    </row>
    <row r="38" spans="1:38">
      <c r="A38" s="6" t="s">
        <v>169</v>
      </c>
      <c r="B38" s="318">
        <v>0</v>
      </c>
      <c r="C38" s="318">
        <v>0</v>
      </c>
      <c r="D38" s="318">
        <v>0</v>
      </c>
      <c r="E38" s="318">
        <v>0</v>
      </c>
      <c r="F38" s="319">
        <v>0</v>
      </c>
      <c r="G38" s="263">
        <v>2.2160000000000002</v>
      </c>
      <c r="H38" s="263">
        <v>2.4</v>
      </c>
      <c r="I38" s="263">
        <v>2.4900000000000002</v>
      </c>
      <c r="J38" s="263">
        <v>2.5089999999999999</v>
      </c>
      <c r="K38" s="263">
        <v>2.5561180000000001</v>
      </c>
      <c r="L38" s="263">
        <v>2.6337290000000002</v>
      </c>
      <c r="M38" s="263">
        <v>2.6633930000000001</v>
      </c>
      <c r="N38" s="263">
        <v>2.6705079999999999</v>
      </c>
      <c r="O38" s="263">
        <v>2.669905</v>
      </c>
      <c r="P38" s="263">
        <v>2.6458759999999999</v>
      </c>
      <c r="Q38" s="263">
        <v>2.60798</v>
      </c>
      <c r="R38" s="263">
        <v>2.7045080000000001</v>
      </c>
      <c r="S38" s="263">
        <v>2.7930269999999999</v>
      </c>
      <c r="T38" s="263">
        <v>2.8390249999999999</v>
      </c>
      <c r="U38" s="263">
        <v>2.8728980000000002</v>
      </c>
      <c r="V38" s="263">
        <v>2.9033150000000001</v>
      </c>
      <c r="W38" s="263">
        <v>2.9228930000000002</v>
      </c>
      <c r="X38" s="263">
        <v>2.9406509999999999</v>
      </c>
      <c r="Y38" s="263">
        <v>2.9505080000000001</v>
      </c>
      <c r="Z38" s="263">
        <v>2.978853</v>
      </c>
      <c r="AA38" s="263">
        <v>3.0103460000000002</v>
      </c>
      <c r="AB38" s="263">
        <v>3.0288490000000001</v>
      </c>
      <c r="AC38" s="263">
        <v>3.0383969999999998</v>
      </c>
      <c r="AD38" s="263">
        <v>3.0546120000000001</v>
      </c>
      <c r="AE38" s="263">
        <v>3.0492400000000002</v>
      </c>
      <c r="AF38" s="263">
        <v>3.0289980000000001</v>
      </c>
      <c r="AG38" s="263">
        <v>3.058621</v>
      </c>
      <c r="AH38" s="263">
        <v>3.037477</v>
      </c>
      <c r="AI38" s="263">
        <v>3.013617</v>
      </c>
      <c r="AJ38" s="263">
        <v>2.983552</v>
      </c>
      <c r="AK38" s="264">
        <v>8.0000000000000002E-3</v>
      </c>
    </row>
    <row r="39" spans="1:38">
      <c r="A39" s="6" t="s">
        <v>168</v>
      </c>
      <c r="B39" s="318">
        <v>0</v>
      </c>
      <c r="C39" s="318">
        <v>0</v>
      </c>
      <c r="D39" s="318">
        <v>0</v>
      </c>
      <c r="E39" s="318">
        <v>0</v>
      </c>
      <c r="F39" s="319">
        <v>0</v>
      </c>
      <c r="G39" s="263">
        <v>0</v>
      </c>
      <c r="H39" s="263">
        <v>0</v>
      </c>
      <c r="I39" s="263">
        <v>0</v>
      </c>
      <c r="J39" s="263">
        <v>0</v>
      </c>
      <c r="K39" s="263">
        <v>0</v>
      </c>
      <c r="L39" s="263">
        <v>0</v>
      </c>
      <c r="M39" s="263">
        <v>0</v>
      </c>
      <c r="N39" s="263">
        <v>0</v>
      </c>
      <c r="O39" s="263">
        <v>0</v>
      </c>
      <c r="P39" s="263">
        <v>0</v>
      </c>
      <c r="Q39" s="263">
        <v>0</v>
      </c>
      <c r="R39" s="263">
        <v>0</v>
      </c>
      <c r="S39" s="263">
        <v>0</v>
      </c>
      <c r="T39" s="263">
        <v>0</v>
      </c>
      <c r="U39" s="263">
        <v>0</v>
      </c>
      <c r="V39" s="263">
        <v>0</v>
      </c>
      <c r="W39" s="263">
        <v>0</v>
      </c>
      <c r="X39" s="263">
        <v>0</v>
      </c>
      <c r="Y39" s="263">
        <v>0</v>
      </c>
      <c r="Z39" s="263">
        <v>0</v>
      </c>
      <c r="AA39" s="263">
        <v>0</v>
      </c>
      <c r="AB39" s="263">
        <v>0</v>
      </c>
      <c r="AC39" s="263">
        <v>0</v>
      </c>
      <c r="AD39" s="263">
        <v>0</v>
      </c>
      <c r="AE39" s="263">
        <v>0</v>
      </c>
      <c r="AF39" s="263">
        <v>0</v>
      </c>
      <c r="AG39" s="263">
        <v>0</v>
      </c>
      <c r="AH39" s="263">
        <v>0</v>
      </c>
      <c r="AI39" s="263">
        <v>0</v>
      </c>
      <c r="AJ39" s="263">
        <v>0</v>
      </c>
      <c r="AK39" s="263" t="s">
        <v>41</v>
      </c>
    </row>
    <row r="40" spans="1:38" s="236" customFormat="1">
      <c r="A40" s="235" t="s">
        <v>167</v>
      </c>
      <c r="B40" s="320">
        <v>0</v>
      </c>
      <c r="C40" s="320">
        <v>0</v>
      </c>
      <c r="D40" s="320">
        <v>0</v>
      </c>
      <c r="E40" s="320">
        <v>0</v>
      </c>
      <c r="F40" s="321">
        <v>0</v>
      </c>
      <c r="G40" s="271">
        <v>0</v>
      </c>
      <c r="H40" s="271">
        <v>3.4809526987373799E-3</v>
      </c>
      <c r="I40" s="271">
        <v>5.2319555543363103E-3</v>
      </c>
      <c r="J40" s="271">
        <v>7.8436248004436493E-3</v>
      </c>
      <c r="K40" s="271">
        <v>1.17142805829644E-2</v>
      </c>
      <c r="L40" s="271">
        <v>1.7396988347172699E-2</v>
      </c>
      <c r="M40" s="271">
        <v>2.5625614449381801E-2</v>
      </c>
      <c r="N40" s="271">
        <v>3.7305567413568497E-2</v>
      </c>
      <c r="O40" s="271">
        <v>5.34236840903759E-2</v>
      </c>
      <c r="P40" s="271">
        <v>7.4822284281253801E-2</v>
      </c>
      <c r="Q40" s="271">
        <v>0.10181753337383299</v>
      </c>
      <c r="R40" s="271">
        <v>0.133762747049332</v>
      </c>
      <c r="S40" s="271">
        <v>0.16882437467575101</v>
      </c>
      <c r="T40" s="271">
        <v>0.204265296459198</v>
      </c>
      <c r="U40" s="271">
        <v>0.237230360507965</v>
      </c>
      <c r="V40" s="271">
        <v>0.26560345292091397</v>
      </c>
      <c r="W40" s="271">
        <v>0.28843852877616899</v>
      </c>
      <c r="X40" s="271">
        <v>0.30584391951561002</v>
      </c>
      <c r="Y40" s="271">
        <v>0.31856861710548401</v>
      </c>
      <c r="Z40" s="271">
        <v>0.32759037613868702</v>
      </c>
      <c r="AA40" s="271"/>
      <c r="AB40" s="271"/>
      <c r="AC40" s="271"/>
      <c r="AD40" s="271"/>
      <c r="AE40" s="271"/>
      <c r="AF40" s="271"/>
      <c r="AG40" s="271"/>
      <c r="AH40" s="271"/>
      <c r="AI40" s="271"/>
      <c r="AJ40" s="271"/>
      <c r="AK40" s="272" t="s">
        <v>41</v>
      </c>
    </row>
    <row r="41" spans="1:38">
      <c r="A41" s="6" t="s">
        <v>698</v>
      </c>
      <c r="B41" s="318">
        <v>7.3012053966522203E-2</v>
      </c>
      <c r="C41" s="318">
        <v>0.28600034117698703</v>
      </c>
      <c r="D41" s="318">
        <v>0.24600045382976499</v>
      </c>
      <c r="E41" s="318">
        <v>0.16400466859340701</v>
      </c>
      <c r="F41" s="319">
        <v>0.31155380606651301</v>
      </c>
      <c r="G41" s="263">
        <v>0.182</v>
      </c>
      <c r="H41" s="263">
        <v>0.191</v>
      </c>
      <c r="I41" s="263">
        <v>0.193</v>
      </c>
      <c r="J41" s="263">
        <v>0.193</v>
      </c>
      <c r="K41" s="263">
        <v>0.28578500000000001</v>
      </c>
      <c r="L41" s="263">
        <v>0.28816599999999998</v>
      </c>
      <c r="M41" s="263">
        <v>0.290412</v>
      </c>
      <c r="N41" s="263">
        <v>0.29299799999999998</v>
      </c>
      <c r="O41" s="263">
        <v>0.293852</v>
      </c>
      <c r="P41" s="263">
        <v>0.29503000000000001</v>
      </c>
      <c r="Q41" s="263">
        <v>0.298292</v>
      </c>
      <c r="R41" s="263">
        <v>0.29944399999999999</v>
      </c>
      <c r="S41" s="263">
        <v>0.29972700000000002</v>
      </c>
      <c r="T41" s="263">
        <v>0.301095</v>
      </c>
      <c r="U41" s="263">
        <v>0.30102299999999999</v>
      </c>
      <c r="V41" s="263">
        <v>0.30064000000000002</v>
      </c>
      <c r="W41" s="263">
        <v>0.30251600000000001</v>
      </c>
      <c r="X41" s="263">
        <v>0.30219699999999999</v>
      </c>
      <c r="Y41" s="263">
        <v>0.30013899999999999</v>
      </c>
      <c r="Z41" s="263">
        <v>0.30297200000000002</v>
      </c>
      <c r="AA41" s="263">
        <v>0.30451</v>
      </c>
      <c r="AB41" s="263">
        <v>0.306419</v>
      </c>
      <c r="AC41" s="263">
        <v>0.30664000000000002</v>
      </c>
      <c r="AD41" s="263">
        <v>0.30698399999999998</v>
      </c>
      <c r="AE41" s="263">
        <v>0.308342</v>
      </c>
      <c r="AF41" s="263">
        <v>0.30915900000000002</v>
      </c>
      <c r="AG41" s="263">
        <v>0.30972699999999997</v>
      </c>
      <c r="AH41" s="263">
        <v>0.31073899999999999</v>
      </c>
      <c r="AI41" s="263">
        <v>0.31163999999999997</v>
      </c>
      <c r="AJ41" s="263">
        <v>0.31290899999999999</v>
      </c>
      <c r="AK41" s="264">
        <v>1.7999999999999999E-2</v>
      </c>
    </row>
    <row r="42" spans="1:38">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row>
    <row r="43" spans="1:38" s="18" customFormat="1">
      <c r="A43" s="17" t="s">
        <v>699</v>
      </c>
      <c r="B43" s="320">
        <v>20.697353363037099</v>
      </c>
      <c r="C43" s="320">
        <v>20.768030166626001</v>
      </c>
      <c r="D43" s="320">
        <v>19.647199630737301</v>
      </c>
      <c r="E43" s="320">
        <v>19.421310424804702</v>
      </c>
      <c r="F43" s="321">
        <v>19.587932586669901</v>
      </c>
      <c r="G43" s="214">
        <v>18.938583000000001</v>
      </c>
      <c r="H43" s="214">
        <v>18.592289000000001</v>
      </c>
      <c r="I43" s="214">
        <v>18.985319</v>
      </c>
      <c r="J43" s="214">
        <v>18.815241</v>
      </c>
      <c r="K43" s="214">
        <v>19.157446</v>
      </c>
      <c r="L43" s="214">
        <v>19.35895</v>
      </c>
      <c r="M43" s="214">
        <v>19.477530000000002</v>
      </c>
      <c r="N43" s="214">
        <v>19.527609000000002</v>
      </c>
      <c r="O43" s="214">
        <v>19.535461000000002</v>
      </c>
      <c r="P43" s="214">
        <v>19.520367</v>
      </c>
      <c r="Q43" s="214">
        <v>19.477088999999999</v>
      </c>
      <c r="R43" s="214">
        <v>19.437809000000001</v>
      </c>
      <c r="S43" s="214">
        <v>19.388767000000001</v>
      </c>
      <c r="T43" s="214">
        <v>19.330017000000002</v>
      </c>
      <c r="U43" s="214">
        <v>19.262318</v>
      </c>
      <c r="V43" s="214">
        <v>19.178843000000001</v>
      </c>
      <c r="W43" s="214">
        <v>19.119274000000001</v>
      </c>
      <c r="X43" s="214">
        <v>19.059887</v>
      </c>
      <c r="Y43" s="214">
        <v>18.980637000000002</v>
      </c>
      <c r="Z43" s="214">
        <v>18.926172000000001</v>
      </c>
      <c r="AA43" s="214">
        <v>18.880776999999998</v>
      </c>
      <c r="AB43" s="214">
        <v>18.838093000000001</v>
      </c>
      <c r="AC43" s="214">
        <v>18.795445999999998</v>
      </c>
      <c r="AD43" s="214">
        <v>18.768318000000001</v>
      </c>
      <c r="AE43" s="214">
        <v>18.751888000000001</v>
      </c>
      <c r="AF43" s="214">
        <v>18.731911</v>
      </c>
      <c r="AG43" s="214">
        <v>18.743359000000002</v>
      </c>
      <c r="AH43" s="214">
        <v>18.755479999999999</v>
      </c>
      <c r="AI43" s="214">
        <v>18.748524</v>
      </c>
      <c r="AJ43" s="214">
        <v>18.724962000000001</v>
      </c>
      <c r="AK43" s="215">
        <v>0</v>
      </c>
    </row>
    <row r="44" spans="1:38" s="225" customFormat="1">
      <c r="A44" s="224" t="s">
        <v>202</v>
      </c>
      <c r="B44" s="322">
        <f t="shared" ref="B44:H44" si="0">B43*365</f>
        <v>7554.5339775085413</v>
      </c>
      <c r="C44" s="322">
        <f t="shared" si="0"/>
        <v>7580.3310108184905</v>
      </c>
      <c r="D44" s="322">
        <f t="shared" si="0"/>
        <v>7171.2278652191153</v>
      </c>
      <c r="E44" s="322">
        <f t="shared" si="0"/>
        <v>7088.7783050537164</v>
      </c>
      <c r="F44" s="323">
        <f t="shared" si="0"/>
        <v>7149.5953941345133</v>
      </c>
      <c r="G44" s="273">
        <f t="shared" si="0"/>
        <v>6912.5827950000003</v>
      </c>
      <c r="H44" s="273">
        <f t="shared" si="0"/>
        <v>6786.185485</v>
      </c>
      <c r="I44" s="273">
        <f t="shared" ref="I44:AJ44" si="1">I43*365</f>
        <v>6929.6414350000005</v>
      </c>
      <c r="J44" s="273">
        <f t="shared" si="1"/>
        <v>6867.5629650000001</v>
      </c>
      <c r="K44" s="273">
        <f t="shared" si="1"/>
        <v>6992.4677899999997</v>
      </c>
      <c r="L44" s="273">
        <f t="shared" si="1"/>
        <v>7066.0167499999998</v>
      </c>
      <c r="M44" s="273">
        <f t="shared" si="1"/>
        <v>7109.2984500000002</v>
      </c>
      <c r="N44" s="273">
        <f t="shared" si="1"/>
        <v>7127.5772850000003</v>
      </c>
      <c r="O44" s="273">
        <f t="shared" si="1"/>
        <v>7130.4432650000008</v>
      </c>
      <c r="P44" s="273">
        <f t="shared" si="1"/>
        <v>7124.9339550000004</v>
      </c>
      <c r="Q44" s="273">
        <f t="shared" si="1"/>
        <v>7109.1374850000002</v>
      </c>
      <c r="R44" s="273">
        <f t="shared" si="1"/>
        <v>7094.8002850000003</v>
      </c>
      <c r="S44" s="273">
        <f t="shared" si="1"/>
        <v>7076.8999550000008</v>
      </c>
      <c r="T44" s="273">
        <f t="shared" si="1"/>
        <v>7055.4562050000004</v>
      </c>
      <c r="U44" s="273">
        <f t="shared" si="1"/>
        <v>7030.7460700000001</v>
      </c>
      <c r="V44" s="273">
        <f t="shared" si="1"/>
        <v>7000.2776949999998</v>
      </c>
      <c r="W44" s="273">
        <f t="shared" si="1"/>
        <v>6978.5350100000005</v>
      </c>
      <c r="X44" s="273">
        <f t="shared" si="1"/>
        <v>6956.8587550000002</v>
      </c>
      <c r="Y44" s="273">
        <f t="shared" si="1"/>
        <v>6927.9325050000007</v>
      </c>
      <c r="Z44" s="273">
        <f t="shared" si="1"/>
        <v>6908.05278</v>
      </c>
      <c r="AA44" s="273">
        <f t="shared" si="1"/>
        <v>6891.4836049999994</v>
      </c>
      <c r="AB44" s="273">
        <f t="shared" si="1"/>
        <v>6875.903945</v>
      </c>
      <c r="AC44" s="273">
        <f t="shared" si="1"/>
        <v>6860.3377899999996</v>
      </c>
      <c r="AD44" s="273">
        <f t="shared" si="1"/>
        <v>6850.4360700000007</v>
      </c>
      <c r="AE44" s="273">
        <f t="shared" si="1"/>
        <v>6844.43912</v>
      </c>
      <c r="AF44" s="273">
        <f t="shared" si="1"/>
        <v>6837.1475149999997</v>
      </c>
      <c r="AG44" s="273">
        <f t="shared" si="1"/>
        <v>6841.326035000001</v>
      </c>
      <c r="AH44" s="273">
        <f t="shared" si="1"/>
        <v>6845.7501999999995</v>
      </c>
      <c r="AI44" s="273">
        <f t="shared" si="1"/>
        <v>6843.21126</v>
      </c>
      <c r="AJ44" s="273">
        <f t="shared" si="1"/>
        <v>6834.6111300000002</v>
      </c>
      <c r="AK44" s="274"/>
    </row>
    <row r="45" spans="1:38" s="229" customFormat="1">
      <c r="A45" s="228" t="s">
        <v>193</v>
      </c>
      <c r="B45" s="324">
        <f>SUM(B33,B36,B40)</f>
        <v>0.28962799347937102</v>
      </c>
      <c r="C45" s="324">
        <f t="shared" ref="C45:AJ45" si="2">SUM(C33,C36,C40)</f>
        <v>0.43539400026202169</v>
      </c>
      <c r="D45" s="324">
        <f t="shared" si="2"/>
        <v>0.63372322544455517</v>
      </c>
      <c r="E45" s="324">
        <f t="shared" si="2"/>
        <v>0.75007860735058762</v>
      </c>
      <c r="F45" s="325">
        <f t="shared" si="2"/>
        <v>0.9057262316346173</v>
      </c>
      <c r="G45" s="275">
        <f t="shared" si="2"/>
        <v>0.94907600000000003</v>
      </c>
      <c r="H45" s="275">
        <f t="shared" si="2"/>
        <v>0.91023695269873739</v>
      </c>
      <c r="I45" s="275">
        <f t="shared" si="2"/>
        <v>0.92228495555433621</v>
      </c>
      <c r="J45" s="275">
        <f t="shared" si="2"/>
        <v>0.96492762480044358</v>
      </c>
      <c r="K45" s="275">
        <f t="shared" si="2"/>
        <v>0.91143528058296441</v>
      </c>
      <c r="L45" s="275">
        <f t="shared" si="2"/>
        <v>0.91577698834717269</v>
      </c>
      <c r="M45" s="275">
        <f t="shared" si="2"/>
        <v>0.93473461444938177</v>
      </c>
      <c r="N45" s="275">
        <f t="shared" si="2"/>
        <v>0.94681856741356851</v>
      </c>
      <c r="O45" s="275">
        <f t="shared" si="2"/>
        <v>0.96443668409037586</v>
      </c>
      <c r="P45" s="275">
        <f t="shared" si="2"/>
        <v>0.99222728428125384</v>
      </c>
      <c r="Q45" s="275">
        <f t="shared" si="2"/>
        <v>1.0172315333738331</v>
      </c>
      <c r="R45" s="275">
        <f t="shared" si="2"/>
        <v>1.0595427470493322</v>
      </c>
      <c r="S45" s="275">
        <f t="shared" si="2"/>
        <v>1.0990673746757511</v>
      </c>
      <c r="T45" s="275">
        <f t="shared" si="2"/>
        <v>1.1357882964591981</v>
      </c>
      <c r="U45" s="275">
        <f t="shared" si="2"/>
        <v>1.1671623605079651</v>
      </c>
      <c r="V45" s="275">
        <f t="shared" si="2"/>
        <v>1.1953814529209139</v>
      </c>
      <c r="W45" s="275">
        <f t="shared" si="2"/>
        <v>1.2190545287761689</v>
      </c>
      <c r="X45" s="275">
        <f t="shared" si="2"/>
        <v>1.2370769195156099</v>
      </c>
      <c r="Y45" s="275">
        <f t="shared" si="2"/>
        <v>1.2497896171054839</v>
      </c>
      <c r="Z45" s="275">
        <f t="shared" si="2"/>
        <v>1.2591873761386871</v>
      </c>
      <c r="AA45" s="275">
        <f t="shared" si="2"/>
        <v>0.93299300000000007</v>
      </c>
      <c r="AB45" s="275">
        <f t="shared" si="2"/>
        <v>0.93298100000000006</v>
      </c>
      <c r="AC45" s="275">
        <f t="shared" si="2"/>
        <v>0.93309600000000004</v>
      </c>
      <c r="AD45" s="275">
        <f t="shared" si="2"/>
        <v>0.93309600000000004</v>
      </c>
      <c r="AE45" s="275">
        <f t="shared" si="2"/>
        <v>0.93084500000000003</v>
      </c>
      <c r="AF45" s="275">
        <f t="shared" si="2"/>
        <v>0.92709399999999997</v>
      </c>
      <c r="AG45" s="275">
        <f t="shared" si="2"/>
        <v>0.92458599999999991</v>
      </c>
      <c r="AH45" s="275">
        <f t="shared" si="2"/>
        <v>0.92581500000000005</v>
      </c>
      <c r="AI45" s="275">
        <f t="shared" si="2"/>
        <v>0.93603499999999995</v>
      </c>
      <c r="AJ45" s="275">
        <f t="shared" si="2"/>
        <v>0.94016100000000002</v>
      </c>
      <c r="AK45" s="276"/>
    </row>
    <row r="46" spans="1:38" s="225" customFormat="1">
      <c r="A46" s="230" t="s">
        <v>199</v>
      </c>
      <c r="B46" s="320">
        <f>B45*365</f>
        <v>105.71421761997043</v>
      </c>
      <c r="C46" s="320">
        <f t="shared" ref="C46:AJ46" si="3">C45*365</f>
        <v>158.91881009563792</v>
      </c>
      <c r="D46" s="320">
        <f t="shared" si="3"/>
        <v>231.30897728726265</v>
      </c>
      <c r="E46" s="320">
        <f t="shared" si="3"/>
        <v>273.77869168296451</v>
      </c>
      <c r="F46" s="321">
        <f t="shared" si="3"/>
        <v>330.59007454663532</v>
      </c>
      <c r="G46" s="277">
        <f t="shared" si="3"/>
        <v>346.41273999999999</v>
      </c>
      <c r="H46" s="277">
        <f t="shared" si="3"/>
        <v>332.23648773503913</v>
      </c>
      <c r="I46" s="277">
        <f t="shared" si="3"/>
        <v>336.63400877733272</v>
      </c>
      <c r="J46" s="277">
        <f t="shared" si="3"/>
        <v>352.19858305216189</v>
      </c>
      <c r="K46" s="277">
        <f t="shared" si="3"/>
        <v>332.67387741278202</v>
      </c>
      <c r="L46" s="277">
        <f t="shared" si="3"/>
        <v>334.25860074671806</v>
      </c>
      <c r="M46" s="277">
        <f t="shared" si="3"/>
        <v>341.17813427402433</v>
      </c>
      <c r="N46" s="277">
        <f t="shared" si="3"/>
        <v>345.58877710595249</v>
      </c>
      <c r="O46" s="277">
        <f t="shared" si="3"/>
        <v>352.0193896929872</v>
      </c>
      <c r="P46" s="277">
        <f t="shared" si="3"/>
        <v>362.16295876265764</v>
      </c>
      <c r="Q46" s="277">
        <f t="shared" si="3"/>
        <v>371.28950968144909</v>
      </c>
      <c r="R46" s="277">
        <f t="shared" si="3"/>
        <v>386.73310267300621</v>
      </c>
      <c r="S46" s="277">
        <f t="shared" si="3"/>
        <v>401.15959175664915</v>
      </c>
      <c r="T46" s="277">
        <f t="shared" si="3"/>
        <v>414.56272820760728</v>
      </c>
      <c r="U46" s="277">
        <f t="shared" si="3"/>
        <v>426.01426158540727</v>
      </c>
      <c r="V46" s="277">
        <f t="shared" si="3"/>
        <v>436.3142303161336</v>
      </c>
      <c r="W46" s="277">
        <f t="shared" si="3"/>
        <v>444.95490300330164</v>
      </c>
      <c r="X46" s="277">
        <f t="shared" si="3"/>
        <v>451.53307562319765</v>
      </c>
      <c r="Y46" s="277">
        <f t="shared" si="3"/>
        <v>456.17321024350161</v>
      </c>
      <c r="Z46" s="277">
        <f t="shared" si="3"/>
        <v>459.60339229062083</v>
      </c>
      <c r="AA46" s="277">
        <f t="shared" si="3"/>
        <v>340.54244500000004</v>
      </c>
      <c r="AB46" s="277">
        <f t="shared" si="3"/>
        <v>340.53806500000002</v>
      </c>
      <c r="AC46" s="277">
        <f t="shared" si="3"/>
        <v>340.58004</v>
      </c>
      <c r="AD46" s="277">
        <f t="shared" si="3"/>
        <v>340.58004</v>
      </c>
      <c r="AE46" s="277">
        <f t="shared" si="3"/>
        <v>339.75842499999999</v>
      </c>
      <c r="AF46" s="277">
        <f t="shared" si="3"/>
        <v>338.38930999999997</v>
      </c>
      <c r="AG46" s="277">
        <f t="shared" si="3"/>
        <v>337.47388999999998</v>
      </c>
      <c r="AH46" s="277">
        <f t="shared" si="3"/>
        <v>337.92247500000002</v>
      </c>
      <c r="AI46" s="277">
        <f t="shared" si="3"/>
        <v>341.65277499999996</v>
      </c>
      <c r="AJ46" s="277">
        <f t="shared" si="3"/>
        <v>343.15876500000002</v>
      </c>
      <c r="AK46" s="274"/>
    </row>
    <row r="47" spans="1:38" s="225" customFormat="1">
      <c r="A47" s="230" t="s">
        <v>198</v>
      </c>
      <c r="B47" s="320"/>
      <c r="C47" s="326">
        <f>C46/B46-1</f>
        <v>0.50328700976562524</v>
      </c>
      <c r="D47" s="326">
        <f t="shared" ref="D47:Z47" si="4">D46/C46-1</f>
        <v>0.45551667010381003</v>
      </c>
      <c r="E47" s="326">
        <f t="shared" si="4"/>
        <v>0.1836059927019551</v>
      </c>
      <c r="F47" s="327">
        <f t="shared" si="4"/>
        <v>0.20750841679621423</v>
      </c>
      <c r="G47" s="278"/>
      <c r="H47" s="278">
        <f t="shared" si="4"/>
        <v>-4.0923010698050155E-2</v>
      </c>
      <c r="I47" s="278">
        <f t="shared" si="4"/>
        <v>1.32361170570785E-2</v>
      </c>
      <c r="J47" s="278">
        <f t="shared" si="4"/>
        <v>4.6235893786727766E-2</v>
      </c>
      <c r="K47" s="278">
        <f t="shared" si="4"/>
        <v>-5.5436638813757488E-2</v>
      </c>
      <c r="L47" s="278">
        <f t="shared" si="4"/>
        <v>4.7635941428900708E-3</v>
      </c>
      <c r="M47" s="278">
        <f t="shared" si="4"/>
        <v>2.0701138315807999E-2</v>
      </c>
      <c r="N47" s="278">
        <f t="shared" si="4"/>
        <v>1.2927683191988004E-2</v>
      </c>
      <c r="O47" s="278">
        <f t="shared" si="4"/>
        <v>1.8607700866001275E-2</v>
      </c>
      <c r="P47" s="278">
        <f t="shared" si="4"/>
        <v>2.8815370308201249E-2</v>
      </c>
      <c r="Q47" s="278">
        <f t="shared" si="4"/>
        <v>2.5200122480699472E-2</v>
      </c>
      <c r="R47" s="278">
        <f t="shared" si="4"/>
        <v>4.1594477055942436E-2</v>
      </c>
      <c r="S47" s="278">
        <f t="shared" si="4"/>
        <v>3.730347618016272E-2</v>
      </c>
      <c r="T47" s="278">
        <f t="shared" si="4"/>
        <v>3.3410983375137038E-2</v>
      </c>
      <c r="U47" s="278">
        <f t="shared" si="4"/>
        <v>2.762316194538661E-2</v>
      </c>
      <c r="V47" s="278">
        <f t="shared" si="4"/>
        <v>2.4177520941188968E-2</v>
      </c>
      <c r="W47" s="278">
        <f t="shared" si="4"/>
        <v>1.9803783802575969E-2</v>
      </c>
      <c r="X47" s="278">
        <f t="shared" si="4"/>
        <v>1.4783908606232909E-2</v>
      </c>
      <c r="Y47" s="278">
        <f t="shared" si="4"/>
        <v>1.0276400270123665E-2</v>
      </c>
      <c r="Z47" s="278">
        <f t="shared" si="4"/>
        <v>7.5194728013252554E-3</v>
      </c>
      <c r="AA47" s="278">
        <f t="shared" ref="AA47:AJ47" si="5">AA46/Z46-1</f>
        <v>-0.25905149806930716</v>
      </c>
      <c r="AB47" s="278">
        <f t="shared" si="5"/>
        <v>-1.2861832832666842E-5</v>
      </c>
      <c r="AC47" s="278">
        <f t="shared" si="5"/>
        <v>1.2326081667257682E-4</v>
      </c>
      <c r="AD47" s="278">
        <f t="shared" si="5"/>
        <v>0</v>
      </c>
      <c r="AE47" s="278">
        <f t="shared" si="5"/>
        <v>-2.412399152927458E-3</v>
      </c>
      <c r="AF47" s="278">
        <f t="shared" si="5"/>
        <v>-4.0296719647202606E-3</v>
      </c>
      <c r="AG47" s="278">
        <f t="shared" si="5"/>
        <v>-2.7052273016543449E-3</v>
      </c>
      <c r="AH47" s="278">
        <f t="shared" si="5"/>
        <v>1.3292435749623355E-3</v>
      </c>
      <c r="AI47" s="278">
        <f t="shared" si="5"/>
        <v>1.1038922462910827E-2</v>
      </c>
      <c r="AJ47" s="278">
        <f t="shared" si="5"/>
        <v>4.4079548307489613E-3</v>
      </c>
      <c r="AK47" s="274"/>
    </row>
    <row r="48" spans="1:38" s="231" customFormat="1">
      <c r="A48" s="228" t="s">
        <v>201</v>
      </c>
      <c r="B48" s="328">
        <f>SUM(B33,B36,B40)/B43</f>
        <v>1.3993479668594277E-2</v>
      </c>
      <c r="C48" s="328">
        <f t="shared" ref="C48:AJ48" si="6">SUM(C33,C36,C40)/C43</f>
        <v>2.0964626725248844E-2</v>
      </c>
      <c r="D48" s="328">
        <f t="shared" si="6"/>
        <v>3.2255142582921545E-2</v>
      </c>
      <c r="E48" s="328">
        <f t="shared" si="6"/>
        <v>3.8621421054708789E-2</v>
      </c>
      <c r="F48" s="329">
        <f t="shared" si="6"/>
        <v>4.6238990645239793E-2</v>
      </c>
      <c r="G48" s="279">
        <f t="shared" si="6"/>
        <v>5.0113358533740354E-2</v>
      </c>
      <c r="H48" s="279">
        <f t="shared" si="6"/>
        <v>4.8957766991398283E-2</v>
      </c>
      <c r="I48" s="279">
        <f t="shared" si="6"/>
        <v>4.8578849560248959E-2</v>
      </c>
      <c r="J48" s="279">
        <f t="shared" si="6"/>
        <v>5.1284361693822764E-2</v>
      </c>
      <c r="K48" s="279">
        <f t="shared" si="6"/>
        <v>4.7576032869045506E-2</v>
      </c>
      <c r="L48" s="279">
        <f t="shared" si="6"/>
        <v>4.7305096007127075E-2</v>
      </c>
      <c r="M48" s="279">
        <f t="shared" si="6"/>
        <v>4.7990408149769591E-2</v>
      </c>
      <c r="N48" s="279">
        <f t="shared" si="6"/>
        <v>4.8486149400757073E-2</v>
      </c>
      <c r="O48" s="279">
        <f t="shared" si="6"/>
        <v>4.9368514215783074E-2</v>
      </c>
      <c r="P48" s="279">
        <f t="shared" si="6"/>
        <v>5.0830360119830421E-2</v>
      </c>
      <c r="Q48" s="279">
        <f t="shared" si="6"/>
        <v>5.2227082464624625E-2</v>
      </c>
      <c r="R48" s="280">
        <f t="shared" si="6"/>
        <v>5.4509371249060634E-2</v>
      </c>
      <c r="S48" s="279">
        <f t="shared" si="6"/>
        <v>5.6685779692733994E-2</v>
      </c>
      <c r="T48" s="279">
        <f t="shared" si="6"/>
        <v>5.8757749486676503E-2</v>
      </c>
      <c r="U48" s="279">
        <f t="shared" si="6"/>
        <v>6.059303768673973E-2</v>
      </c>
      <c r="V48" s="279">
        <f t="shared" si="6"/>
        <v>6.2328131729370427E-2</v>
      </c>
      <c r="W48" s="279">
        <f t="shared" si="6"/>
        <v>6.3760503080617439E-2</v>
      </c>
      <c r="X48" s="279">
        <f t="shared" si="6"/>
        <v>6.4904735244002754E-2</v>
      </c>
      <c r="Y48" s="279">
        <f t="shared" si="6"/>
        <v>6.5845504400378327E-2</v>
      </c>
      <c r="Z48" s="280">
        <f t="shared" si="6"/>
        <v>6.6531540352623181E-2</v>
      </c>
      <c r="AA48" s="280">
        <f t="shared" si="6"/>
        <v>4.9414968462367842E-2</v>
      </c>
      <c r="AB48" s="280">
        <f t="shared" si="6"/>
        <v>4.9526297592861444E-2</v>
      </c>
      <c r="AC48" s="280">
        <f t="shared" si="6"/>
        <v>4.9644791616011673E-2</v>
      </c>
      <c r="AD48" s="280">
        <f t="shared" si="6"/>
        <v>4.9716548920366761E-2</v>
      </c>
      <c r="AE48" s="280">
        <f t="shared" si="6"/>
        <v>4.9640068242728409E-2</v>
      </c>
      <c r="AF48" s="280">
        <f t="shared" si="6"/>
        <v>4.9492761309831122E-2</v>
      </c>
      <c r="AG48" s="280">
        <f t="shared" si="6"/>
        <v>4.932872490998011E-2</v>
      </c>
      <c r="AH48" s="280">
        <f t="shared" si="6"/>
        <v>4.9362373023777592E-2</v>
      </c>
      <c r="AI48" s="280">
        <f t="shared" si="6"/>
        <v>4.9925796825392763E-2</v>
      </c>
      <c r="AJ48" s="280">
        <f t="shared" si="6"/>
        <v>5.0208967046234856E-2</v>
      </c>
      <c r="AK48" s="281"/>
    </row>
    <row r="49" spans="1:37" s="231" customFormat="1">
      <c r="A49" s="231" t="s">
        <v>192</v>
      </c>
      <c r="B49" s="330">
        <f>B33*365 * 42/1000</f>
        <v>4.1895202937722189</v>
      </c>
      <c r="C49" s="330">
        <f t="shared" ref="C49:AJ49" si="7">C33*365 * 42/1000</f>
        <v>6.1835701614618239</v>
      </c>
      <c r="D49" s="330">
        <f t="shared" si="7"/>
        <v>8.9300929445028281</v>
      </c>
      <c r="E49" s="330">
        <f t="shared" si="7"/>
        <v>10.57340813040733</v>
      </c>
      <c r="F49" s="331">
        <f t="shared" si="7"/>
        <v>12.90469492435456</v>
      </c>
      <c r="G49" s="282">
        <f t="shared" si="7"/>
        <v>13.58201208</v>
      </c>
      <c r="H49" s="282">
        <f t="shared" si="7"/>
        <v>12.933246479999999</v>
      </c>
      <c r="I49" s="282">
        <f t="shared" si="7"/>
        <v>12.815159489999999</v>
      </c>
      <c r="J49" s="282">
        <f t="shared" si="7"/>
        <v>13.33685472</v>
      </c>
      <c r="K49" s="282">
        <f t="shared" si="7"/>
        <v>12.572746199999999</v>
      </c>
      <c r="L49" s="282">
        <f t="shared" si="7"/>
        <v>12.606410879999997</v>
      </c>
      <c r="M49" s="282">
        <f t="shared" si="7"/>
        <v>12.7724961</v>
      </c>
      <c r="N49" s="282">
        <f t="shared" si="7"/>
        <v>12.79849578</v>
      </c>
      <c r="O49" s="282">
        <f t="shared" si="7"/>
        <v>12.799660859999999</v>
      </c>
      <c r="P49" s="282">
        <f t="shared" si="7"/>
        <v>12.883423980000002</v>
      </c>
      <c r="Q49" s="282">
        <f t="shared" si="7"/>
        <v>12.857041049999999</v>
      </c>
      <c r="R49" s="282">
        <f t="shared" si="7"/>
        <v>13.0113375</v>
      </c>
      <c r="S49" s="282">
        <f t="shared" si="7"/>
        <v>13.097829360000002</v>
      </c>
      <c r="T49" s="282">
        <f t="shared" si="7"/>
        <v>13.097599410000003</v>
      </c>
      <c r="U49" s="282">
        <f t="shared" si="7"/>
        <v>13.09776804</v>
      </c>
      <c r="V49" s="282">
        <f t="shared" si="7"/>
        <v>13.097829360000002</v>
      </c>
      <c r="W49" s="282">
        <f t="shared" si="7"/>
        <v>13.1106759</v>
      </c>
      <c r="X49" s="282">
        <f t="shared" si="7"/>
        <v>13.120134510000002</v>
      </c>
      <c r="Y49" s="282">
        <f t="shared" si="7"/>
        <v>13.11995055</v>
      </c>
      <c r="Z49" s="282">
        <f t="shared" si="7"/>
        <v>13.120134510000002</v>
      </c>
      <c r="AA49" s="282">
        <f t="shared" si="7"/>
        <v>13.120134510000002</v>
      </c>
      <c r="AB49" s="282">
        <f t="shared" si="7"/>
        <v>13.11995055</v>
      </c>
      <c r="AC49" s="282">
        <f t="shared" si="7"/>
        <v>13.11995055</v>
      </c>
      <c r="AD49" s="282">
        <f t="shared" si="7"/>
        <v>13.11995055</v>
      </c>
      <c r="AE49" s="282">
        <f t="shared" si="7"/>
        <v>13.08544272</v>
      </c>
      <c r="AF49" s="282">
        <f t="shared" si="7"/>
        <v>13.027939889999997</v>
      </c>
      <c r="AG49" s="282">
        <f t="shared" si="7"/>
        <v>12.993324749999999</v>
      </c>
      <c r="AH49" s="282">
        <f t="shared" si="7"/>
        <v>13.008332820000001</v>
      </c>
      <c r="AI49" s="282">
        <f t="shared" si="7"/>
        <v>13.168837920000001</v>
      </c>
      <c r="AJ49" s="282">
        <f t="shared" si="7"/>
        <v>13.226494050000001</v>
      </c>
      <c r="AK49" s="283"/>
    </row>
    <row r="50" spans="1:37">
      <c r="A50" s="6" t="s">
        <v>166</v>
      </c>
      <c r="R50" s="269" t="s">
        <v>0</v>
      </c>
    </row>
    <row r="51" spans="1:37">
      <c r="A51" s="6" t="s">
        <v>165</v>
      </c>
    </row>
    <row r="52" spans="1:37">
      <c r="A52" s="6" t="s">
        <v>701</v>
      </c>
      <c r="B52" s="318">
        <v>2.0520000457763699</v>
      </c>
      <c r="C52" s="318">
        <v>2.08500003814697</v>
      </c>
      <c r="D52" s="318">
        <v>2.02300000190735</v>
      </c>
      <c r="E52" s="318">
        <v>1.9900000095367401</v>
      </c>
      <c r="F52" s="319">
        <v>1.9984494447708101</v>
      </c>
      <c r="G52" s="263">
        <v>2.3039999999999998</v>
      </c>
      <c r="H52" s="263">
        <v>2.3239999999999998</v>
      </c>
      <c r="I52" s="263">
        <v>2.407</v>
      </c>
      <c r="J52" s="263">
        <v>2.4159999999999999</v>
      </c>
      <c r="K52" s="263">
        <v>2.4498690000000001</v>
      </c>
      <c r="L52" s="263">
        <v>2.5403880000000001</v>
      </c>
      <c r="M52" s="263">
        <v>2.599494</v>
      </c>
      <c r="N52" s="263">
        <v>2.6464240000000001</v>
      </c>
      <c r="O52" s="263">
        <v>2.693587</v>
      </c>
      <c r="P52" s="263">
        <v>2.7283230000000001</v>
      </c>
      <c r="Q52" s="263">
        <v>2.742324</v>
      </c>
      <c r="R52" s="263">
        <v>2.7799209999999999</v>
      </c>
      <c r="S52" s="263">
        <v>2.8150529999999998</v>
      </c>
      <c r="T52" s="263">
        <v>2.8347359999999999</v>
      </c>
      <c r="U52" s="263">
        <v>2.8433090000000001</v>
      </c>
      <c r="V52" s="263">
        <v>2.840814</v>
      </c>
      <c r="W52" s="263">
        <v>2.844868</v>
      </c>
      <c r="X52" s="263">
        <v>2.8578079999999999</v>
      </c>
      <c r="Y52" s="263">
        <v>2.8486820000000002</v>
      </c>
      <c r="Z52" s="263">
        <v>2.8402569999999998</v>
      </c>
      <c r="AA52" s="263">
        <v>2.8361179999999999</v>
      </c>
      <c r="AB52" s="263">
        <v>2.8308490000000002</v>
      </c>
      <c r="AC52" s="263">
        <v>2.8180170000000002</v>
      </c>
      <c r="AD52" s="263">
        <v>2.7924669999999998</v>
      </c>
      <c r="AE52" s="263">
        <v>2.7826710000000001</v>
      </c>
      <c r="AF52" s="263">
        <v>2.76675</v>
      </c>
      <c r="AG52" s="263">
        <v>2.7715809999999999</v>
      </c>
      <c r="AH52" s="263">
        <v>2.7629000000000001</v>
      </c>
      <c r="AI52" s="263">
        <v>2.7495129999999999</v>
      </c>
      <c r="AJ52" s="263">
        <v>2.7286790000000001</v>
      </c>
      <c r="AK52" s="264">
        <v>6.0000000000000001E-3</v>
      </c>
    </row>
    <row r="53" spans="1:37">
      <c r="A53" s="6" t="s">
        <v>700</v>
      </c>
      <c r="B53" s="318">
        <v>8.6600880604237296E-4</v>
      </c>
      <c r="C53" s="318">
        <v>1.0510511929169299E-3</v>
      </c>
      <c r="D53" s="318">
        <v>8.0768426414579196E-4</v>
      </c>
      <c r="E53" s="318">
        <v>4.3171385186724403E-4</v>
      </c>
      <c r="F53" s="319">
        <v>1.8219171324744801E-3</v>
      </c>
      <c r="G53" s="263">
        <v>1.882E-3</v>
      </c>
      <c r="H53" s="263">
        <v>9.8740000000000008E-3</v>
      </c>
      <c r="I53" s="263">
        <v>1.3136999999999999E-2</v>
      </c>
      <c r="J53" s="263">
        <v>1.4973999999999999E-2</v>
      </c>
      <c r="K53" s="263">
        <v>1.2047E-2</v>
      </c>
      <c r="L53" s="263">
        <v>2.5141E-2</v>
      </c>
      <c r="M53" s="263">
        <v>5.3563E-2</v>
      </c>
      <c r="N53" s="263">
        <v>8.0305000000000001E-2</v>
      </c>
      <c r="O53" s="263">
        <v>0.10901</v>
      </c>
      <c r="P53" s="263">
        <v>0.13106100000000001</v>
      </c>
      <c r="Q53" s="263">
        <v>0.162138</v>
      </c>
      <c r="R53" s="263">
        <v>0.20447299999999999</v>
      </c>
      <c r="S53" s="263">
        <v>0.22256600000000001</v>
      </c>
      <c r="T53" s="263">
        <v>0.242672</v>
      </c>
      <c r="U53" s="263">
        <v>0.26248500000000002</v>
      </c>
      <c r="V53" s="263">
        <v>0.279335</v>
      </c>
      <c r="W53" s="263">
        <v>0.29406700000000002</v>
      </c>
      <c r="X53" s="263">
        <v>0.30546400000000001</v>
      </c>
      <c r="Y53" s="263">
        <v>0.31323699999999999</v>
      </c>
      <c r="Z53" s="263">
        <v>0.31872699999999998</v>
      </c>
      <c r="AA53" s="263">
        <v>0.321052</v>
      </c>
      <c r="AB53" s="263">
        <v>0.31902700000000001</v>
      </c>
      <c r="AC53" s="263">
        <v>0.31467200000000001</v>
      </c>
      <c r="AD53" s="263">
        <v>0.30996699999999999</v>
      </c>
      <c r="AE53" s="263">
        <v>0.29748400000000003</v>
      </c>
      <c r="AF53" s="263">
        <v>0.28148600000000001</v>
      </c>
      <c r="AG53" s="263">
        <v>0.26450099999999999</v>
      </c>
      <c r="AH53" s="263">
        <v>0.245667</v>
      </c>
      <c r="AI53" s="263">
        <v>0.23741399999999999</v>
      </c>
      <c r="AJ53" s="263">
        <v>0.22813</v>
      </c>
      <c r="AK53" s="264">
        <v>0.11899999999999999</v>
      </c>
    </row>
    <row r="54" spans="1:37">
      <c r="A54" s="6" t="s">
        <v>702</v>
      </c>
      <c r="B54" s="318">
        <v>9.2527751922607404</v>
      </c>
      <c r="C54" s="318">
        <v>9.2857265472412092</v>
      </c>
      <c r="D54" s="318">
        <v>9.0097904205322301</v>
      </c>
      <c r="E54" s="318">
        <v>8.9638872146606392</v>
      </c>
      <c r="F54" s="319">
        <v>9.3608798980712908</v>
      </c>
      <c r="G54" s="263">
        <v>8.7543939999999996</v>
      </c>
      <c r="H54" s="263">
        <v>8.7103070000000002</v>
      </c>
      <c r="I54" s="263">
        <v>8.7047209999999993</v>
      </c>
      <c r="J54" s="263">
        <v>8.6720810000000004</v>
      </c>
      <c r="K54" s="263">
        <v>8.7711889999999997</v>
      </c>
      <c r="L54" s="263">
        <v>8.7249210000000001</v>
      </c>
      <c r="M54" s="263">
        <v>8.665521</v>
      </c>
      <c r="N54" s="263">
        <v>8.5782380000000007</v>
      </c>
      <c r="O54" s="263">
        <v>8.4654989999999994</v>
      </c>
      <c r="P54" s="263">
        <v>8.3493230000000001</v>
      </c>
      <c r="Q54" s="263">
        <v>8.2274130000000003</v>
      </c>
      <c r="R54" s="263">
        <v>8.1002519999999993</v>
      </c>
      <c r="S54" s="263">
        <v>7.9630890000000001</v>
      </c>
      <c r="T54" s="263">
        <v>7.8215009999999996</v>
      </c>
      <c r="U54" s="263">
        <v>7.6724129999999997</v>
      </c>
      <c r="V54" s="263">
        <v>7.5382249999999997</v>
      </c>
      <c r="W54" s="263">
        <v>7.4181600000000003</v>
      </c>
      <c r="X54" s="263">
        <v>7.3157300000000003</v>
      </c>
      <c r="Y54" s="263">
        <v>7.224996</v>
      </c>
      <c r="Z54" s="263">
        <v>7.1462729999999999</v>
      </c>
      <c r="AA54" s="263">
        <v>7.080946</v>
      </c>
      <c r="AB54" s="263">
        <v>7.0268600000000001</v>
      </c>
      <c r="AC54" s="263">
        <v>6.9825390000000001</v>
      </c>
      <c r="AD54" s="263">
        <v>6.943378</v>
      </c>
      <c r="AE54" s="263">
        <v>6.9093359999999997</v>
      </c>
      <c r="AF54" s="263">
        <v>6.8818789999999996</v>
      </c>
      <c r="AG54" s="263">
        <v>6.8622290000000001</v>
      </c>
      <c r="AH54" s="263">
        <v>6.8497510000000004</v>
      </c>
      <c r="AI54" s="263">
        <v>6.8444979999999997</v>
      </c>
      <c r="AJ54" s="263">
        <v>6.8408179999999996</v>
      </c>
      <c r="AK54" s="264">
        <v>-8.9999999999999993E-3</v>
      </c>
    </row>
    <row r="55" spans="1:37">
      <c r="A55" s="6" t="s">
        <v>703</v>
      </c>
      <c r="B55" s="318">
        <v>1.63300001621246</v>
      </c>
      <c r="C55" s="318">
        <v>1.6219999790191699</v>
      </c>
      <c r="D55" s="318">
        <v>1.5329999923706099</v>
      </c>
      <c r="E55" s="318">
        <v>1.47300004959106</v>
      </c>
      <c r="F55" s="319">
        <v>1.45558297634125</v>
      </c>
      <c r="G55" s="263">
        <v>1.425</v>
      </c>
      <c r="H55" s="263">
        <v>1.399</v>
      </c>
      <c r="I55" s="263">
        <v>1.4039999999999999</v>
      </c>
      <c r="J55" s="263">
        <v>1.4059999999999999</v>
      </c>
      <c r="K55" s="263">
        <v>1.459821</v>
      </c>
      <c r="L55" s="263">
        <v>1.466666</v>
      </c>
      <c r="M55" s="263">
        <v>1.4738910000000001</v>
      </c>
      <c r="N55" s="263">
        <v>1.4802960000000001</v>
      </c>
      <c r="O55" s="263">
        <v>1.4860789999999999</v>
      </c>
      <c r="P55" s="263">
        <v>1.491026</v>
      </c>
      <c r="Q55" s="263">
        <v>1.496483</v>
      </c>
      <c r="R55" s="263">
        <v>1.5023390000000001</v>
      </c>
      <c r="S55" s="263">
        <v>1.5080819999999999</v>
      </c>
      <c r="T55" s="263">
        <v>1.514818</v>
      </c>
      <c r="U55" s="263">
        <v>1.5222910000000001</v>
      </c>
      <c r="V55" s="263">
        <v>1.529134</v>
      </c>
      <c r="W55" s="263">
        <v>1.5350699999999999</v>
      </c>
      <c r="X55" s="263">
        <v>1.540705</v>
      </c>
      <c r="Y55" s="263">
        <v>1.5457909999999999</v>
      </c>
      <c r="Z55" s="263">
        <v>1.550583</v>
      </c>
      <c r="AA55" s="263">
        <v>1.555024</v>
      </c>
      <c r="AB55" s="263">
        <v>1.559142</v>
      </c>
      <c r="AC55" s="263">
        <v>1.562889</v>
      </c>
      <c r="AD55" s="263">
        <v>1.5661639999999999</v>
      </c>
      <c r="AE55" s="263">
        <v>1.5691090000000001</v>
      </c>
      <c r="AF55" s="263">
        <v>1.5733360000000001</v>
      </c>
      <c r="AG55" s="263">
        <v>1.577515</v>
      </c>
      <c r="AH55" s="263">
        <v>1.5816300000000001</v>
      </c>
      <c r="AI55" s="263">
        <v>1.585529</v>
      </c>
      <c r="AJ55" s="263">
        <v>1.5896079999999999</v>
      </c>
      <c r="AK55" s="264">
        <v>5.0000000000000001E-3</v>
      </c>
    </row>
    <row r="56" spans="1:37">
      <c r="A56" s="6" t="s">
        <v>704</v>
      </c>
      <c r="B56" s="318">
        <v>4.1690001487731898</v>
      </c>
      <c r="C56" s="318">
        <v>4.1960000991821298</v>
      </c>
      <c r="D56" s="318">
        <v>3.9430000782012899</v>
      </c>
      <c r="E56" s="318">
        <v>3.90199995040894</v>
      </c>
      <c r="F56" s="319">
        <v>4.0923304557800302</v>
      </c>
      <c r="G56" s="263">
        <v>3.899</v>
      </c>
      <c r="H56" s="263">
        <v>3.7429999999999999</v>
      </c>
      <c r="I56" s="263">
        <v>3.859</v>
      </c>
      <c r="J56" s="263">
        <v>3.9089999999999998</v>
      </c>
      <c r="K56" s="263">
        <v>4.0858679999999996</v>
      </c>
      <c r="L56" s="263">
        <v>4.177359</v>
      </c>
      <c r="M56" s="263">
        <v>4.228364</v>
      </c>
      <c r="N56" s="263">
        <v>4.2508220000000003</v>
      </c>
      <c r="O56" s="263">
        <v>4.2730649999999999</v>
      </c>
      <c r="P56" s="263">
        <v>4.295331</v>
      </c>
      <c r="Q56" s="263">
        <v>4.319947</v>
      </c>
      <c r="R56" s="263">
        <v>4.3484850000000002</v>
      </c>
      <c r="S56" s="263">
        <v>4.3784619999999999</v>
      </c>
      <c r="T56" s="263">
        <v>4.4044730000000003</v>
      </c>
      <c r="U56" s="263">
        <v>4.436998</v>
      </c>
      <c r="V56" s="263">
        <v>4.460839</v>
      </c>
      <c r="W56" s="263">
        <v>4.4796500000000004</v>
      </c>
      <c r="X56" s="263">
        <v>4.4870289999999997</v>
      </c>
      <c r="Y56" s="263">
        <v>4.4989540000000003</v>
      </c>
      <c r="Z56" s="263">
        <v>4.5163840000000004</v>
      </c>
      <c r="AA56" s="263">
        <v>4.5280180000000003</v>
      </c>
      <c r="AB56" s="263">
        <v>4.5344899999999999</v>
      </c>
      <c r="AC56" s="263">
        <v>4.5444589999999998</v>
      </c>
      <c r="AD56" s="263">
        <v>4.5662190000000002</v>
      </c>
      <c r="AE56" s="263">
        <v>4.5865479999999996</v>
      </c>
      <c r="AF56" s="263">
        <v>4.5978500000000002</v>
      </c>
      <c r="AG56" s="263">
        <v>4.6070399999999996</v>
      </c>
      <c r="AH56" s="263">
        <v>4.6156879999999996</v>
      </c>
      <c r="AI56" s="263">
        <v>4.6224400000000001</v>
      </c>
      <c r="AJ56" s="263">
        <v>4.6207630000000002</v>
      </c>
      <c r="AK56" s="264">
        <v>8.0000000000000002E-3</v>
      </c>
    </row>
    <row r="57" spans="1:37">
      <c r="A57" s="6" t="s">
        <v>164</v>
      </c>
      <c r="B57" s="318">
        <v>3.21000003814697</v>
      </c>
      <c r="C57" s="318">
        <v>3.4670000076293901</v>
      </c>
      <c r="D57" s="318">
        <v>3.46799993515015</v>
      </c>
      <c r="E57" s="318">
        <v>3.4189999103546098</v>
      </c>
      <c r="F57" s="319">
        <v>3.47832202911377</v>
      </c>
      <c r="G57" s="263">
        <v>3.5059999999999998</v>
      </c>
      <c r="H57" s="263">
        <v>3.448</v>
      </c>
      <c r="I57" s="263">
        <v>3.5550000000000002</v>
      </c>
      <c r="J57" s="263">
        <v>3.601</v>
      </c>
      <c r="K57" s="263">
        <v>3.6780590000000002</v>
      </c>
      <c r="L57" s="263">
        <v>3.788999</v>
      </c>
      <c r="M57" s="263">
        <v>3.841418</v>
      </c>
      <c r="N57" s="263">
        <v>3.888255</v>
      </c>
      <c r="O57" s="263">
        <v>3.9148960000000002</v>
      </c>
      <c r="P57" s="263">
        <v>3.942434</v>
      </c>
      <c r="Q57" s="263">
        <v>3.9721639999999998</v>
      </c>
      <c r="R57" s="263">
        <v>4.005528</v>
      </c>
      <c r="S57" s="263">
        <v>4.0400039999999997</v>
      </c>
      <c r="T57" s="263">
        <v>4.0698509999999999</v>
      </c>
      <c r="U57" s="263">
        <v>4.1063919999999996</v>
      </c>
      <c r="V57" s="263">
        <v>4.1354759999999997</v>
      </c>
      <c r="W57" s="263">
        <v>4.1591009999999997</v>
      </c>
      <c r="X57" s="263">
        <v>4.1709329999999998</v>
      </c>
      <c r="Y57" s="263">
        <v>4.1869290000000001</v>
      </c>
      <c r="Z57" s="263">
        <v>4.2079300000000002</v>
      </c>
      <c r="AA57" s="263">
        <v>4.2245819999999998</v>
      </c>
      <c r="AB57" s="263">
        <v>4.2349610000000002</v>
      </c>
      <c r="AC57" s="263">
        <v>4.2486269999999999</v>
      </c>
      <c r="AD57" s="263">
        <v>4.2736000000000001</v>
      </c>
      <c r="AE57" s="263">
        <v>4.2970110000000004</v>
      </c>
      <c r="AF57" s="263">
        <v>4.3111389999999998</v>
      </c>
      <c r="AG57" s="263">
        <v>4.3229870000000004</v>
      </c>
      <c r="AH57" s="263">
        <v>4.3342970000000003</v>
      </c>
      <c r="AI57" s="263">
        <v>4.3436260000000004</v>
      </c>
      <c r="AJ57" s="263">
        <v>4.344544</v>
      </c>
      <c r="AK57" s="264">
        <v>8.0000000000000002E-3</v>
      </c>
    </row>
    <row r="58" spans="1:37">
      <c r="A58" s="6" t="s">
        <v>163</v>
      </c>
      <c r="B58" s="318">
        <v>0.68900001049041704</v>
      </c>
      <c r="C58" s="318">
        <v>0.72299998998642001</v>
      </c>
      <c r="D58" s="318">
        <v>0.60799998044967696</v>
      </c>
      <c r="E58" s="318">
        <v>0.58099997043609597</v>
      </c>
      <c r="F58" s="319">
        <v>0.63298153877258301</v>
      </c>
      <c r="G58" s="263">
        <v>0.46100000000000002</v>
      </c>
      <c r="H58" s="263">
        <v>0.34499999999999997</v>
      </c>
      <c r="I58" s="263">
        <v>0.32200000000000001</v>
      </c>
      <c r="J58" s="263">
        <v>0.35</v>
      </c>
      <c r="K58" s="263">
        <v>0.38553500000000002</v>
      </c>
      <c r="L58" s="263">
        <v>0.39021600000000001</v>
      </c>
      <c r="M58" s="263">
        <v>0.38447300000000001</v>
      </c>
      <c r="N58" s="263">
        <v>0.390044</v>
      </c>
      <c r="O58" s="263">
        <v>0.38984200000000002</v>
      </c>
      <c r="P58" s="263">
        <v>0.38874799999999998</v>
      </c>
      <c r="Q58" s="263">
        <v>0.38986300000000002</v>
      </c>
      <c r="R58" s="263">
        <v>0.38962000000000002</v>
      </c>
      <c r="S58" s="263">
        <v>0.390509</v>
      </c>
      <c r="T58" s="263">
        <v>0.392071</v>
      </c>
      <c r="U58" s="263">
        <v>0.392706</v>
      </c>
      <c r="V58" s="263">
        <v>0.39272899999999999</v>
      </c>
      <c r="W58" s="263">
        <v>0.39312000000000002</v>
      </c>
      <c r="X58" s="263">
        <v>0.39413599999999999</v>
      </c>
      <c r="Y58" s="263">
        <v>0.39485900000000002</v>
      </c>
      <c r="Z58" s="263">
        <v>0.396202</v>
      </c>
      <c r="AA58" s="263">
        <v>0.39659499999999998</v>
      </c>
      <c r="AB58" s="263">
        <v>0.39696300000000001</v>
      </c>
      <c r="AC58" s="263">
        <v>0.398011</v>
      </c>
      <c r="AD58" s="263">
        <v>0.39871400000000001</v>
      </c>
      <c r="AE58" s="263">
        <v>0.39992499999999997</v>
      </c>
      <c r="AF58" s="263">
        <v>0.40121899999999999</v>
      </c>
      <c r="AG58" s="263">
        <v>0.40172999999999998</v>
      </c>
      <c r="AH58" s="263">
        <v>0.402443</v>
      </c>
      <c r="AI58" s="263">
        <v>0.40342099999999997</v>
      </c>
      <c r="AJ58" s="263">
        <v>0.40445900000000001</v>
      </c>
      <c r="AK58" s="264">
        <v>6.0000000000000001E-3</v>
      </c>
    </row>
    <row r="59" spans="1:37">
      <c r="A59" s="6" t="s">
        <v>705</v>
      </c>
      <c r="B59" s="318">
        <v>2.8580451011657702</v>
      </c>
      <c r="C59" s="318">
        <v>2.73703241348267</v>
      </c>
      <c r="D59" s="318">
        <v>2.4269983768463099</v>
      </c>
      <c r="E59" s="318">
        <v>2.3350048065185498</v>
      </c>
      <c r="F59" s="319">
        <v>2.2457344532012899</v>
      </c>
      <c r="G59" s="263">
        <v>2.0800260000000002</v>
      </c>
      <c r="H59" s="263">
        <v>1.965076</v>
      </c>
      <c r="I59" s="263">
        <v>1.942002</v>
      </c>
      <c r="J59" s="263">
        <v>1.9470000000000001</v>
      </c>
      <c r="K59" s="263">
        <v>2.0148790000000001</v>
      </c>
      <c r="L59" s="263">
        <v>2.0685479999999998</v>
      </c>
      <c r="M59" s="263">
        <v>2.1349170000000002</v>
      </c>
      <c r="N59" s="263">
        <v>2.1911809999999998</v>
      </c>
      <c r="O59" s="263">
        <v>2.2368299999999999</v>
      </c>
      <c r="P59" s="263">
        <v>2.276913</v>
      </c>
      <c r="Q59" s="263">
        <v>2.3108819999999999</v>
      </c>
      <c r="R59" s="263">
        <v>2.3269329999999999</v>
      </c>
      <c r="S59" s="263">
        <v>2.343264</v>
      </c>
      <c r="T59" s="263">
        <v>2.3722750000000001</v>
      </c>
      <c r="U59" s="263">
        <v>2.404312</v>
      </c>
      <c r="V59" s="263">
        <v>2.4265159999999999</v>
      </c>
      <c r="W59" s="263">
        <v>2.458132</v>
      </c>
      <c r="X59" s="263">
        <v>2.474024</v>
      </c>
      <c r="Y59" s="263">
        <v>2.4762659999999999</v>
      </c>
      <c r="Z59" s="263">
        <v>2.4857459999999998</v>
      </c>
      <c r="AA59" s="263">
        <v>2.4935139999999998</v>
      </c>
      <c r="AB59" s="263">
        <v>2.4994040000000002</v>
      </c>
      <c r="AC59" s="263">
        <v>2.4986790000000001</v>
      </c>
      <c r="AD59" s="263">
        <v>2.5103719999999998</v>
      </c>
      <c r="AE59" s="263">
        <v>2.5131139999999998</v>
      </c>
      <c r="AF59" s="263">
        <v>2.519142</v>
      </c>
      <c r="AG59" s="263">
        <v>2.531539</v>
      </c>
      <c r="AH59" s="263">
        <v>2.5507759999999999</v>
      </c>
      <c r="AI59" s="263">
        <v>2.550128</v>
      </c>
      <c r="AJ59" s="263">
        <v>2.5471759999999999</v>
      </c>
      <c r="AK59" s="264">
        <v>8.9999999999999993E-3</v>
      </c>
    </row>
    <row r="60" spans="1:37">
      <c r="A60" s="6" t="s">
        <v>162</v>
      </c>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row>
    <row r="61" spans="1:37">
      <c r="A61" s="6" t="s">
        <v>161</v>
      </c>
      <c r="B61" s="318">
        <v>1.0618205070495601</v>
      </c>
      <c r="C61" s="318">
        <v>1.1093590259552</v>
      </c>
      <c r="D61" s="318">
        <v>1.0993635654449501</v>
      </c>
      <c r="E61" s="318">
        <v>1.10606873035431</v>
      </c>
      <c r="F61" s="319">
        <v>1.0538341999053999</v>
      </c>
      <c r="G61" s="263">
        <v>0.96948900000000005</v>
      </c>
      <c r="H61" s="263">
        <v>0.94076099999999996</v>
      </c>
      <c r="I61" s="263">
        <v>0.95062599999999997</v>
      </c>
      <c r="J61" s="263">
        <v>0.94062699999999999</v>
      </c>
      <c r="K61" s="263">
        <v>0.91689699999999996</v>
      </c>
      <c r="L61" s="263">
        <v>0.91578099999999996</v>
      </c>
      <c r="M61" s="263">
        <v>0.90966899999999995</v>
      </c>
      <c r="N61" s="263">
        <v>0.90114399999999995</v>
      </c>
      <c r="O61" s="263">
        <v>0.89199799999999996</v>
      </c>
      <c r="P61" s="263">
        <v>0.88283199999999995</v>
      </c>
      <c r="Q61" s="263">
        <v>0.87347300000000005</v>
      </c>
      <c r="R61" s="263">
        <v>0.86438899999999996</v>
      </c>
      <c r="S61" s="263">
        <v>0.85625499999999999</v>
      </c>
      <c r="T61" s="263">
        <v>0.84867599999999999</v>
      </c>
      <c r="U61" s="263">
        <v>0.84107299999999996</v>
      </c>
      <c r="V61" s="263">
        <v>0.83371399999999996</v>
      </c>
      <c r="W61" s="263">
        <v>0.82639200000000002</v>
      </c>
      <c r="X61" s="263">
        <v>0.81992799999999999</v>
      </c>
      <c r="Y61" s="263">
        <v>0.81319300000000005</v>
      </c>
      <c r="Z61" s="263">
        <v>0.80710899999999997</v>
      </c>
      <c r="AA61" s="263">
        <v>0.80122000000000004</v>
      </c>
      <c r="AB61" s="263">
        <v>0.795458</v>
      </c>
      <c r="AC61" s="263">
        <v>0.79006900000000002</v>
      </c>
      <c r="AD61" s="263">
        <v>0.78411900000000001</v>
      </c>
      <c r="AE61" s="263">
        <v>0.77970600000000001</v>
      </c>
      <c r="AF61" s="263">
        <v>0.77555200000000002</v>
      </c>
      <c r="AG61" s="263">
        <v>0.771922</v>
      </c>
      <c r="AH61" s="263">
        <v>0.76868800000000004</v>
      </c>
      <c r="AI61" s="263">
        <v>0.76499200000000001</v>
      </c>
      <c r="AJ61" s="263">
        <v>0.76103399999999999</v>
      </c>
      <c r="AK61" s="264">
        <v>-8.0000000000000002E-3</v>
      </c>
    </row>
    <row r="62" spans="1:37">
      <c r="A62" s="6" t="s">
        <v>706</v>
      </c>
      <c r="B62" s="318">
        <v>5.3221449851989702</v>
      </c>
      <c r="C62" s="318">
        <v>5.2595095634460396</v>
      </c>
      <c r="D62" s="318">
        <v>4.9765362739562997</v>
      </c>
      <c r="E62" s="318">
        <v>4.70910596847534</v>
      </c>
      <c r="F62" s="319">
        <v>4.5219602584838903</v>
      </c>
      <c r="G62" s="263">
        <v>4.4511919999999998</v>
      </c>
      <c r="H62" s="263">
        <v>4.421297</v>
      </c>
      <c r="I62" s="263">
        <v>4.5209929999999998</v>
      </c>
      <c r="J62" s="263">
        <v>4.6163509999999999</v>
      </c>
      <c r="K62" s="263">
        <v>4.7672689999999998</v>
      </c>
      <c r="L62" s="263">
        <v>4.940448</v>
      </c>
      <c r="M62" s="263">
        <v>5.0828059999999997</v>
      </c>
      <c r="N62" s="263">
        <v>5.1973799999999999</v>
      </c>
      <c r="O62" s="263">
        <v>5.2962569999999998</v>
      </c>
      <c r="P62" s="263">
        <v>5.3737599999999999</v>
      </c>
      <c r="Q62" s="263">
        <v>5.42516</v>
      </c>
      <c r="R62" s="263">
        <v>5.4817600000000004</v>
      </c>
      <c r="S62" s="263">
        <v>5.536664</v>
      </c>
      <c r="T62" s="263">
        <v>5.5895760000000001</v>
      </c>
      <c r="U62" s="263">
        <v>5.635637</v>
      </c>
      <c r="V62" s="263">
        <v>5.6575449999999998</v>
      </c>
      <c r="W62" s="263">
        <v>5.6945290000000002</v>
      </c>
      <c r="X62" s="263">
        <v>5.724005</v>
      </c>
      <c r="Y62" s="263">
        <v>5.7184200000000001</v>
      </c>
      <c r="Z62" s="263">
        <v>5.7229380000000001</v>
      </c>
      <c r="AA62" s="263">
        <v>5.7270849999999998</v>
      </c>
      <c r="AB62" s="263">
        <v>5.7279549999999997</v>
      </c>
      <c r="AC62" s="263">
        <v>5.7151949999999996</v>
      </c>
      <c r="AD62" s="263">
        <v>5.7039289999999996</v>
      </c>
      <c r="AE62" s="263">
        <v>5.6985010000000003</v>
      </c>
      <c r="AF62" s="263">
        <v>5.6904269999999997</v>
      </c>
      <c r="AG62" s="263">
        <v>5.7088890000000001</v>
      </c>
      <c r="AH62" s="263">
        <v>5.7191020000000004</v>
      </c>
      <c r="AI62" s="263">
        <v>5.7061400000000004</v>
      </c>
      <c r="AJ62" s="263">
        <v>5.6839209999999998</v>
      </c>
      <c r="AK62" s="264">
        <v>8.9999999999999993E-3</v>
      </c>
    </row>
    <row r="63" spans="1:37">
      <c r="A63" s="6" t="s">
        <v>160</v>
      </c>
      <c r="B63" s="318">
        <v>14.205528259277299</v>
      </c>
      <c r="C63" s="318">
        <v>14.253752708435099</v>
      </c>
      <c r="D63" s="318">
        <v>13.661909103393601</v>
      </c>
      <c r="E63" s="318">
        <v>13.477608680725099</v>
      </c>
      <c r="F63" s="319">
        <v>13.9932947158813</v>
      </c>
      <c r="G63" s="263">
        <v>13.653123000000001</v>
      </c>
      <c r="H63" s="263">
        <v>13.443807</v>
      </c>
      <c r="I63" s="263">
        <v>13.46326</v>
      </c>
      <c r="J63" s="263">
        <v>13.410075000000001</v>
      </c>
      <c r="K63" s="263">
        <v>13.391593</v>
      </c>
      <c r="L63" s="263">
        <v>13.423278</v>
      </c>
      <c r="M63" s="263">
        <v>13.416093</v>
      </c>
      <c r="N63" s="263">
        <v>13.359128999999999</v>
      </c>
      <c r="O63" s="263">
        <v>13.277658000000001</v>
      </c>
      <c r="P63" s="263">
        <v>13.193913999999999</v>
      </c>
      <c r="Q63" s="263">
        <v>13.108468</v>
      </c>
      <c r="R63" s="263">
        <v>13.021044</v>
      </c>
      <c r="S63" s="263">
        <v>12.924597</v>
      </c>
      <c r="T63" s="263">
        <v>12.819832</v>
      </c>
      <c r="U63" s="263">
        <v>12.713536</v>
      </c>
      <c r="V63" s="263">
        <v>12.616394</v>
      </c>
      <c r="W63" s="263">
        <v>12.527696000000001</v>
      </c>
      <c r="X63" s="263">
        <v>12.445028000000001</v>
      </c>
      <c r="Y63" s="263">
        <v>12.377145000000001</v>
      </c>
      <c r="Z63" s="263">
        <v>12.324268</v>
      </c>
      <c r="AA63" s="263">
        <v>12.281888</v>
      </c>
      <c r="AB63" s="263">
        <v>12.244210000000001</v>
      </c>
      <c r="AC63" s="263">
        <v>12.219082999999999</v>
      </c>
      <c r="AD63" s="263">
        <v>12.208591999999999</v>
      </c>
      <c r="AE63" s="263">
        <v>12.201549</v>
      </c>
      <c r="AF63" s="263">
        <v>12.192887000000001</v>
      </c>
      <c r="AG63" s="263">
        <v>12.189211999999999</v>
      </c>
      <c r="AH63" s="263">
        <v>12.193395000000001</v>
      </c>
      <c r="AI63" s="263">
        <v>12.201965</v>
      </c>
      <c r="AJ63" s="263">
        <v>12.203708000000001</v>
      </c>
      <c r="AK63" s="264">
        <v>-3.0000000000000001E-3</v>
      </c>
    </row>
    <row r="64" spans="1:37">
      <c r="A64" s="6" t="s">
        <v>707</v>
      </c>
      <c r="B64" s="318">
        <v>0.28576692938804599</v>
      </c>
      <c r="C64" s="318">
        <v>0.295045405626297</v>
      </c>
      <c r="D64" s="318">
        <v>0.215673848986626</v>
      </c>
      <c r="E64" s="318">
        <v>0.21838557720184301</v>
      </c>
      <c r="F64" s="319">
        <v>0.21773074567317999</v>
      </c>
      <c r="G64" s="263">
        <v>0.13995199999999999</v>
      </c>
      <c r="H64" s="263">
        <v>0.10258100000000001</v>
      </c>
      <c r="I64" s="263">
        <v>9.1968999999999995E-2</v>
      </c>
      <c r="J64" s="263">
        <v>9.2428999999999997E-2</v>
      </c>
      <c r="K64" s="263">
        <v>9.2261999999999997E-2</v>
      </c>
      <c r="L64" s="263">
        <v>8.9524000000000006E-2</v>
      </c>
      <c r="M64" s="263">
        <v>7.9076999999999995E-2</v>
      </c>
      <c r="N64" s="263">
        <v>8.0381999999999995E-2</v>
      </c>
      <c r="O64" s="263">
        <v>8.0076999999999995E-2</v>
      </c>
      <c r="P64" s="263">
        <v>8.0298999999999995E-2</v>
      </c>
      <c r="Q64" s="263">
        <v>8.0979999999999996E-2</v>
      </c>
      <c r="R64" s="263">
        <v>8.1548999999999996E-2</v>
      </c>
      <c r="S64" s="263">
        <v>8.2155000000000006E-2</v>
      </c>
      <c r="T64" s="263">
        <v>8.3019999999999997E-2</v>
      </c>
      <c r="U64" s="263">
        <v>8.3024000000000001E-2</v>
      </c>
      <c r="V64" s="263">
        <v>8.1849000000000005E-2</v>
      </c>
      <c r="W64" s="263">
        <v>8.1641000000000005E-2</v>
      </c>
      <c r="X64" s="263">
        <v>8.1735000000000002E-2</v>
      </c>
      <c r="Y64" s="263">
        <v>8.2040000000000002E-2</v>
      </c>
      <c r="Z64" s="263">
        <v>8.2365999999999995E-2</v>
      </c>
      <c r="AA64" s="263">
        <v>8.1250000000000003E-2</v>
      </c>
      <c r="AB64" s="263">
        <v>8.1303E-2</v>
      </c>
      <c r="AC64" s="263">
        <v>8.1448999999999994E-2</v>
      </c>
      <c r="AD64" s="263">
        <v>8.1864999999999993E-2</v>
      </c>
      <c r="AE64" s="263">
        <v>8.2123000000000002E-2</v>
      </c>
      <c r="AF64" s="263">
        <v>8.2472000000000004E-2</v>
      </c>
      <c r="AG64" s="263">
        <v>8.2769999999999996E-2</v>
      </c>
      <c r="AH64" s="263">
        <v>8.3155000000000007E-2</v>
      </c>
      <c r="AI64" s="263">
        <v>8.3571999999999994E-2</v>
      </c>
      <c r="AJ64" s="263">
        <v>8.3961999999999995E-2</v>
      </c>
      <c r="AK64" s="264">
        <v>-7.0000000000000001E-3</v>
      </c>
    </row>
    <row r="65" spans="1:37">
      <c r="A65" s="6" t="s">
        <v>159</v>
      </c>
      <c r="B65" s="318">
        <v>20.654685974121101</v>
      </c>
      <c r="C65" s="318">
        <v>20.6498107910156</v>
      </c>
      <c r="D65" s="318">
        <v>19.5445957183838</v>
      </c>
      <c r="E65" s="318">
        <v>19.245325088501001</v>
      </c>
      <c r="F65" s="319">
        <v>19.787778854370099</v>
      </c>
      <c r="G65" s="214">
        <v>18.92342</v>
      </c>
      <c r="H65" s="214">
        <v>18.486381999999999</v>
      </c>
      <c r="I65" s="214">
        <v>18.638722999999999</v>
      </c>
      <c r="J65" s="214">
        <v>18.700082999999999</v>
      </c>
      <c r="K65" s="214">
        <v>19.167159999999999</v>
      </c>
      <c r="L65" s="214">
        <v>19.368099000000001</v>
      </c>
      <c r="M65" s="214">
        <v>19.486657999999998</v>
      </c>
      <c r="N65" s="214">
        <v>19.537004</v>
      </c>
      <c r="O65" s="214">
        <v>19.544903000000001</v>
      </c>
      <c r="P65" s="214">
        <v>19.529665000000001</v>
      </c>
      <c r="Q65" s="214">
        <v>19.486916000000001</v>
      </c>
      <c r="R65" s="214">
        <v>19.44755</v>
      </c>
      <c r="S65" s="214">
        <v>19.398457000000001</v>
      </c>
      <c r="T65" s="214">
        <v>19.339873999999998</v>
      </c>
      <c r="U65" s="214">
        <v>19.272027999999999</v>
      </c>
      <c r="V65" s="214">
        <v>19.188255000000002</v>
      </c>
      <c r="W65" s="214">
        <v>19.129000000000001</v>
      </c>
      <c r="X65" s="214">
        <v>19.069431000000002</v>
      </c>
      <c r="Y65" s="214">
        <v>18.989547999999999</v>
      </c>
      <c r="Z65" s="214">
        <v>18.935445999999999</v>
      </c>
      <c r="AA65" s="214">
        <v>18.890217</v>
      </c>
      <c r="AB65" s="214">
        <v>18.847709999999999</v>
      </c>
      <c r="AC65" s="214">
        <v>18.804594000000002</v>
      </c>
      <c r="AD65" s="214">
        <v>18.777315000000002</v>
      </c>
      <c r="AE65" s="214">
        <v>18.760704</v>
      </c>
      <c r="AF65" s="214">
        <v>18.740176999999999</v>
      </c>
      <c r="AG65" s="214">
        <v>18.751633000000002</v>
      </c>
      <c r="AH65" s="214">
        <v>18.763190999999999</v>
      </c>
      <c r="AI65" s="214">
        <v>18.755531000000001</v>
      </c>
      <c r="AJ65" s="214">
        <v>18.731504000000001</v>
      </c>
      <c r="AK65" s="215">
        <v>0</v>
      </c>
    </row>
    <row r="66" spans="1:3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row>
    <row r="67" spans="1:37">
      <c r="A67" s="6" t="s">
        <v>708</v>
      </c>
      <c r="B67" s="318">
        <v>4.2667388916015597E-2</v>
      </c>
      <c r="C67" s="318">
        <v>0.11821937561035201</v>
      </c>
      <c r="D67" s="318">
        <v>0.102603912353516</v>
      </c>
      <c r="E67" s="318">
        <v>0.17598533630371099</v>
      </c>
      <c r="F67" s="319">
        <v>-0.19984626770019501</v>
      </c>
      <c r="G67" s="263">
        <v>1.5162999999999999E-2</v>
      </c>
      <c r="H67" s="263">
        <v>0.105907</v>
      </c>
      <c r="I67" s="263">
        <v>0.34659600000000002</v>
      </c>
      <c r="J67" s="263">
        <v>0.115158</v>
      </c>
      <c r="K67" s="263">
        <v>-9.7140000000000004E-3</v>
      </c>
      <c r="L67" s="263">
        <v>-9.1500000000000001E-3</v>
      </c>
      <c r="M67" s="263">
        <v>-9.129E-3</v>
      </c>
      <c r="N67" s="263">
        <v>-9.3959999999999998E-3</v>
      </c>
      <c r="O67" s="263">
        <v>-9.4409999999999997E-3</v>
      </c>
      <c r="P67" s="263">
        <v>-9.2980000000000007E-3</v>
      </c>
      <c r="Q67" s="263">
        <v>-9.8270000000000007E-3</v>
      </c>
      <c r="R67" s="263">
        <v>-9.7409999999999997E-3</v>
      </c>
      <c r="S67" s="263">
        <v>-9.6889999999999997E-3</v>
      </c>
      <c r="T67" s="263">
        <v>-9.8569999999999994E-3</v>
      </c>
      <c r="U67" s="263">
        <v>-9.7099999999999999E-3</v>
      </c>
      <c r="V67" s="263">
        <v>-9.4129999999999995E-3</v>
      </c>
      <c r="W67" s="263">
        <v>-9.7260000000000003E-3</v>
      </c>
      <c r="X67" s="263">
        <v>-9.5440000000000004E-3</v>
      </c>
      <c r="Y67" s="263">
        <v>-8.9110000000000005E-3</v>
      </c>
      <c r="Z67" s="263">
        <v>-9.2739999999999993E-3</v>
      </c>
      <c r="AA67" s="263">
        <v>-9.4389999999999995E-3</v>
      </c>
      <c r="AB67" s="263">
        <v>-9.6170000000000005E-3</v>
      </c>
      <c r="AC67" s="263">
        <v>-9.1479999999999999E-3</v>
      </c>
      <c r="AD67" s="263">
        <v>-8.9969999999999998E-3</v>
      </c>
      <c r="AE67" s="263">
        <v>-8.8159999999999992E-3</v>
      </c>
      <c r="AF67" s="263">
        <v>-8.2660000000000008E-3</v>
      </c>
      <c r="AG67" s="263">
        <v>-8.2740000000000001E-3</v>
      </c>
      <c r="AH67" s="263">
        <v>-7.711E-3</v>
      </c>
      <c r="AI67" s="263">
        <v>-7.0080000000000003E-3</v>
      </c>
      <c r="AJ67" s="263">
        <v>-6.5420000000000001E-3</v>
      </c>
      <c r="AK67" s="263" t="s">
        <v>41</v>
      </c>
    </row>
    <row r="68" spans="1:3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row>
    <row r="69" spans="1:37">
      <c r="A69" s="6" t="s">
        <v>709</v>
      </c>
      <c r="B69" s="332">
        <v>17.3390007019043</v>
      </c>
      <c r="C69" s="332">
        <v>17.4409999847412</v>
      </c>
      <c r="D69" s="332">
        <v>17.5890007019043</v>
      </c>
      <c r="E69" s="332">
        <v>17.5890007019043</v>
      </c>
      <c r="F69" s="333">
        <v>17.994850158691399</v>
      </c>
      <c r="G69" s="263">
        <v>17.704999999999998</v>
      </c>
      <c r="H69" s="263">
        <v>17.315000999999999</v>
      </c>
      <c r="I69" s="263">
        <v>17.818999999999999</v>
      </c>
      <c r="J69" s="263">
        <v>17.818999999999999</v>
      </c>
      <c r="K69" s="263">
        <v>18.114657999999999</v>
      </c>
      <c r="L69" s="263">
        <v>18.129657999999999</v>
      </c>
      <c r="M69" s="263">
        <v>18.129657999999999</v>
      </c>
      <c r="N69" s="263">
        <v>18.129657999999999</v>
      </c>
      <c r="O69" s="263">
        <v>18.129657999999999</v>
      </c>
      <c r="P69" s="263">
        <v>18.129657999999999</v>
      </c>
      <c r="Q69" s="263">
        <v>18.129657999999999</v>
      </c>
      <c r="R69" s="263">
        <v>18.129657999999999</v>
      </c>
      <c r="S69" s="263">
        <v>18.129657999999999</v>
      </c>
      <c r="T69" s="263">
        <v>18.129657999999999</v>
      </c>
      <c r="U69" s="263">
        <v>18.129657999999999</v>
      </c>
      <c r="V69" s="263">
        <v>18.129657999999999</v>
      </c>
      <c r="W69" s="263">
        <v>18.129657999999999</v>
      </c>
      <c r="X69" s="263">
        <v>18.129657999999999</v>
      </c>
      <c r="Y69" s="263">
        <v>18.129657999999999</v>
      </c>
      <c r="Z69" s="263">
        <v>18.129657999999999</v>
      </c>
      <c r="AA69" s="263">
        <v>18.129657999999999</v>
      </c>
      <c r="AB69" s="263">
        <v>18.129657999999999</v>
      </c>
      <c r="AC69" s="263">
        <v>18.129657999999999</v>
      </c>
      <c r="AD69" s="263">
        <v>18.129657999999999</v>
      </c>
      <c r="AE69" s="263">
        <v>18.129657999999999</v>
      </c>
      <c r="AF69" s="263">
        <v>18.129657999999999</v>
      </c>
      <c r="AG69" s="263">
        <v>18.129657999999999</v>
      </c>
      <c r="AH69" s="263">
        <v>18.129657999999999</v>
      </c>
      <c r="AI69" s="263">
        <v>18.129657999999999</v>
      </c>
      <c r="AJ69" s="263">
        <v>18.129657999999999</v>
      </c>
      <c r="AK69" s="264">
        <v>2E-3</v>
      </c>
    </row>
    <row r="70" spans="1:37">
      <c r="A70" s="6" t="s">
        <v>710</v>
      </c>
      <c r="B70" s="332">
        <v>90</v>
      </c>
      <c r="C70" s="332">
        <v>89</v>
      </c>
      <c r="D70" s="332">
        <v>85</v>
      </c>
      <c r="E70" s="332">
        <v>84</v>
      </c>
      <c r="F70" s="333">
        <v>78.951698303222699</v>
      </c>
      <c r="G70" s="263">
        <v>86</v>
      </c>
      <c r="H70" s="263">
        <v>89</v>
      </c>
      <c r="I70" s="263">
        <v>87</v>
      </c>
      <c r="J70" s="263">
        <v>87</v>
      </c>
      <c r="K70" s="263">
        <v>83.929221999999996</v>
      </c>
      <c r="L70" s="263">
        <v>84.444526999999994</v>
      </c>
      <c r="M70" s="263">
        <v>84.784676000000005</v>
      </c>
      <c r="N70" s="263">
        <v>84.856537000000003</v>
      </c>
      <c r="O70" s="263">
        <v>84.762580999999997</v>
      </c>
      <c r="P70" s="263">
        <v>84.610602999999998</v>
      </c>
      <c r="Q70" s="263">
        <v>84.422150000000002</v>
      </c>
      <c r="R70" s="263">
        <v>84.011527999999998</v>
      </c>
      <c r="S70" s="263">
        <v>83.650841</v>
      </c>
      <c r="T70" s="263">
        <v>83.337349000000003</v>
      </c>
      <c r="U70" s="263">
        <v>83.051040999999998</v>
      </c>
      <c r="V70" s="263">
        <v>82.852858999999995</v>
      </c>
      <c r="W70" s="263">
        <v>82.751807999999997</v>
      </c>
      <c r="X70" s="263">
        <v>82.579086000000004</v>
      </c>
      <c r="Y70" s="263">
        <v>82.446686</v>
      </c>
      <c r="Z70" s="263">
        <v>82.407532000000003</v>
      </c>
      <c r="AA70" s="263">
        <v>82.401390000000006</v>
      </c>
      <c r="AB70" s="263">
        <v>82.379172999999994</v>
      </c>
      <c r="AC70" s="263">
        <v>82.419548000000006</v>
      </c>
      <c r="AD70" s="263">
        <v>82.643226999999996</v>
      </c>
      <c r="AE70" s="263">
        <v>82.856575000000007</v>
      </c>
      <c r="AF70" s="263">
        <v>83.059607999999997</v>
      </c>
      <c r="AG70" s="263">
        <v>83.321395999999993</v>
      </c>
      <c r="AH70" s="263">
        <v>83.713463000000004</v>
      </c>
      <c r="AI70" s="263">
        <v>83.800713000000002</v>
      </c>
      <c r="AJ70" s="263">
        <v>83.967208999999997</v>
      </c>
      <c r="AK70" s="264">
        <v>-2E-3</v>
      </c>
    </row>
    <row r="71" spans="1:37">
      <c r="A71" s="6" t="s">
        <v>158</v>
      </c>
      <c r="B71" s="332">
        <v>60.165718078613303</v>
      </c>
      <c r="C71" s="332">
        <v>58.3234672546387</v>
      </c>
      <c r="D71" s="332">
        <v>56.096931457519503</v>
      </c>
      <c r="E71" s="332">
        <v>53.113201141357401</v>
      </c>
      <c r="F71" s="333">
        <v>50.657768249511697</v>
      </c>
      <c r="G71" s="263">
        <v>45.229275000000001</v>
      </c>
      <c r="H71" s="263">
        <v>40.315280999999999</v>
      </c>
      <c r="I71" s="263">
        <v>33.537674000000003</v>
      </c>
      <c r="J71" s="263">
        <v>28.732861</v>
      </c>
      <c r="K71" s="263">
        <v>27.439371000000001</v>
      </c>
      <c r="L71" s="263">
        <v>25.212821999999999</v>
      </c>
      <c r="M71" s="263">
        <v>25.371447</v>
      </c>
      <c r="N71" s="263">
        <v>25.397780999999998</v>
      </c>
      <c r="O71" s="263">
        <v>25.272306</v>
      </c>
      <c r="P71" s="263">
        <v>25.605276</v>
      </c>
      <c r="Q71" s="263">
        <v>26.339932999999998</v>
      </c>
      <c r="R71" s="263">
        <v>26.391024000000002</v>
      </c>
      <c r="S71" s="263">
        <v>26.330031999999999</v>
      </c>
      <c r="T71" s="263">
        <v>26.557704999999999</v>
      </c>
      <c r="U71" s="263">
        <v>26.574638</v>
      </c>
      <c r="V71" s="263">
        <v>27.074511000000001</v>
      </c>
      <c r="W71" s="263">
        <v>27.628391000000001</v>
      </c>
      <c r="X71" s="263">
        <v>28.164417</v>
      </c>
      <c r="Y71" s="263">
        <v>28.574669</v>
      </c>
      <c r="Z71" s="263">
        <v>28.600802999999999</v>
      </c>
      <c r="AA71" s="263">
        <v>29.035553</v>
      </c>
      <c r="AB71" s="263">
        <v>29.225125999999999</v>
      </c>
      <c r="AC71" s="263">
        <v>29.185209</v>
      </c>
      <c r="AD71" s="263">
        <v>29.338975999999999</v>
      </c>
      <c r="AE71" s="263">
        <v>29.911650000000002</v>
      </c>
      <c r="AF71" s="263">
        <v>30.578768</v>
      </c>
      <c r="AG71" s="263">
        <v>30.764973000000001</v>
      </c>
      <c r="AH71" s="263">
        <v>31.641760000000001</v>
      </c>
      <c r="AI71" s="263">
        <v>31.827915000000001</v>
      </c>
      <c r="AJ71" s="263">
        <v>32.156517000000001</v>
      </c>
      <c r="AK71" s="264">
        <v>-8.0000000000000002E-3</v>
      </c>
    </row>
    <row r="72" spans="1:37" s="234" customFormat="1">
      <c r="A72" s="233" t="s">
        <v>157</v>
      </c>
      <c r="B72" s="318">
        <v>15.605100631713899</v>
      </c>
      <c r="C72" s="318">
        <v>15.522489547729499</v>
      </c>
      <c r="D72" s="318">
        <v>14.950650215148899</v>
      </c>
      <c r="E72" s="318">
        <v>14.7747602462769</v>
      </c>
      <c r="F72" s="319">
        <v>14.2072401046753</v>
      </c>
      <c r="G72" s="284">
        <v>14.3342885971069</v>
      </c>
      <c r="H72" s="284">
        <v>14.411810874939</v>
      </c>
      <c r="I72" s="284">
        <v>14.427806854248001</v>
      </c>
      <c r="J72" s="284">
        <v>14.247616767883301</v>
      </c>
      <c r="K72" s="284">
        <v>14.1760416030884</v>
      </c>
      <c r="L72" s="284">
        <v>14.1692085266113</v>
      </c>
      <c r="M72" s="284">
        <v>14.217811584472701</v>
      </c>
      <c r="N72" s="284">
        <v>14.219580650329601</v>
      </c>
      <c r="O72" s="284">
        <v>14.2103576660156</v>
      </c>
      <c r="P72" s="284">
        <v>14.200039863586399</v>
      </c>
      <c r="Q72" s="284">
        <v>14.1303453445435</v>
      </c>
      <c r="R72" s="284">
        <v>14.095740318298301</v>
      </c>
      <c r="S72" s="284">
        <v>14.0861167907715</v>
      </c>
      <c r="T72" s="284">
        <v>14.1125946044922</v>
      </c>
      <c r="U72" s="284">
        <v>14.163477897644</v>
      </c>
      <c r="V72" s="284">
        <v>14.242433547973601</v>
      </c>
      <c r="W72" s="284">
        <v>14.2973442077637</v>
      </c>
      <c r="X72" s="284">
        <v>14.4011936187744</v>
      </c>
      <c r="Y72" s="284">
        <v>14.4425506591797</v>
      </c>
      <c r="Z72" s="284">
        <v>14.573932647705099</v>
      </c>
      <c r="AA72" s="284"/>
      <c r="AB72" s="284"/>
      <c r="AC72" s="284"/>
      <c r="AD72" s="284"/>
      <c r="AE72" s="284"/>
      <c r="AF72" s="284"/>
      <c r="AG72" s="284"/>
      <c r="AH72" s="284"/>
      <c r="AI72" s="284"/>
      <c r="AJ72" s="284"/>
      <c r="AK72" s="285">
        <v>-2.73776054382324E-3</v>
      </c>
    </row>
    <row r="73" spans="1:37">
      <c r="A73" s="6" t="s">
        <v>156</v>
      </c>
    </row>
    <row r="74" spans="1:37">
      <c r="A74" s="6" t="s">
        <v>597</v>
      </c>
      <c r="B74" s="318">
        <v>272.80218505859398</v>
      </c>
      <c r="C74" s="318">
        <v>280.12564086914102</v>
      </c>
      <c r="D74" s="318">
        <v>321.28717041015602</v>
      </c>
      <c r="E74" s="318">
        <v>195.51596069335901</v>
      </c>
      <c r="F74" s="319">
        <v>246.62348937988301</v>
      </c>
      <c r="G74" s="263">
        <v>494.73007200000001</v>
      </c>
      <c r="H74" s="263">
        <v>313.70205700000002</v>
      </c>
      <c r="I74" s="263">
        <v>257.058716</v>
      </c>
      <c r="J74" s="263">
        <v>219.518845</v>
      </c>
      <c r="K74" s="263">
        <v>213.13346899999999</v>
      </c>
      <c r="L74" s="263">
        <v>192.04028299999999</v>
      </c>
      <c r="M74" s="263">
        <v>190.19305399999999</v>
      </c>
      <c r="N74" s="263">
        <v>190.97583</v>
      </c>
      <c r="O74" s="263">
        <v>193.05748</v>
      </c>
      <c r="P74" s="263">
        <v>198.85289</v>
      </c>
      <c r="Q74" s="263">
        <v>207.326324</v>
      </c>
      <c r="R74" s="263">
        <v>214.50224299999999</v>
      </c>
      <c r="S74" s="263">
        <v>220.992096</v>
      </c>
      <c r="T74" s="263">
        <v>228.38960299999999</v>
      </c>
      <c r="U74" s="263">
        <v>234.269226</v>
      </c>
      <c r="V74" s="263">
        <v>243.98199500000001</v>
      </c>
      <c r="W74" s="263">
        <v>254.790054</v>
      </c>
      <c r="X74" s="263">
        <v>263.61831699999999</v>
      </c>
      <c r="Y74" s="263">
        <v>272.543701</v>
      </c>
      <c r="Z74" s="263">
        <v>278.59802200000001</v>
      </c>
      <c r="AA74" s="263">
        <v>289.04888899999997</v>
      </c>
      <c r="AB74" s="263">
        <v>297.603973</v>
      </c>
      <c r="AC74" s="263">
        <v>305.14331099999998</v>
      </c>
      <c r="AD74" s="263">
        <v>315.75491299999999</v>
      </c>
      <c r="AE74" s="263">
        <v>327.328461</v>
      </c>
      <c r="AF74" s="263">
        <v>338.67947400000003</v>
      </c>
      <c r="AG74" s="263">
        <v>347.810272</v>
      </c>
      <c r="AH74" s="263">
        <v>363.35360700000001</v>
      </c>
      <c r="AI74" s="263">
        <v>372.92919899999998</v>
      </c>
      <c r="AJ74" s="263">
        <v>385.39370700000001</v>
      </c>
      <c r="AK74" s="264">
        <v>7.0000000000000001E-3</v>
      </c>
    </row>
    <row r="78" spans="1:37" s="232" customFormat="1" ht="15" customHeight="1">
      <c r="A78" s="433" t="s">
        <v>598</v>
      </c>
      <c r="B78" s="433"/>
      <c r="C78" s="433"/>
      <c r="D78" s="433"/>
      <c r="E78" s="433"/>
      <c r="F78" s="433"/>
      <c r="G78" s="433"/>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268"/>
      <c r="AH78" s="268"/>
      <c r="AI78" s="268"/>
      <c r="AJ78" s="268"/>
      <c r="AK78" s="268"/>
    </row>
    <row r="79" spans="1:37" customFormat="1" ht="15" customHeight="1">
      <c r="A79" s="432" t="s">
        <v>599</v>
      </c>
      <c r="B79" s="432"/>
      <c r="C79" s="432"/>
      <c r="D79" s="432"/>
      <c r="E79" s="432"/>
      <c r="F79" s="432"/>
      <c r="G79" s="432"/>
      <c r="H79" s="432"/>
      <c r="I79" s="432"/>
      <c r="J79" s="432"/>
      <c r="K79" s="432"/>
      <c r="L79" s="432"/>
      <c r="M79" s="432"/>
      <c r="N79" s="432"/>
      <c r="O79" s="432"/>
      <c r="P79" s="432"/>
      <c r="Q79" s="432"/>
      <c r="R79" s="432"/>
      <c r="S79" s="432"/>
      <c r="T79" s="432"/>
      <c r="U79" s="432"/>
      <c r="V79" s="432"/>
      <c r="W79" s="432"/>
      <c r="X79" s="432"/>
      <c r="Y79" s="432"/>
      <c r="Z79" s="432"/>
      <c r="AA79" s="432"/>
      <c r="AB79" s="432"/>
      <c r="AC79" s="432"/>
      <c r="AD79" s="432"/>
      <c r="AE79" s="432"/>
      <c r="AF79" s="432"/>
      <c r="AG79" s="267"/>
      <c r="AH79" s="267"/>
      <c r="AI79" s="267"/>
      <c r="AJ79" s="267"/>
      <c r="AK79" s="267"/>
    </row>
    <row r="80" spans="1:37" customFormat="1" ht="15" customHeight="1">
      <c r="A80" s="432" t="s">
        <v>600</v>
      </c>
      <c r="B80" s="432"/>
      <c r="C80" s="432"/>
      <c r="D80" s="432"/>
      <c r="E80" s="432"/>
      <c r="F80" s="432"/>
      <c r="G80" s="432"/>
      <c r="H80" s="432"/>
      <c r="I80" s="432"/>
      <c r="J80" s="432"/>
      <c r="K80" s="432"/>
      <c r="L80" s="432"/>
      <c r="M80" s="432"/>
      <c r="N80" s="432"/>
      <c r="O80" s="432"/>
      <c r="P80" s="432"/>
      <c r="Q80" s="432"/>
      <c r="R80" s="432"/>
      <c r="S80" s="432"/>
      <c r="T80" s="432"/>
      <c r="U80" s="432"/>
      <c r="V80" s="432"/>
      <c r="W80" s="432"/>
      <c r="X80" s="432"/>
      <c r="Y80" s="432"/>
      <c r="Z80" s="432"/>
      <c r="AA80" s="432"/>
      <c r="AB80" s="432"/>
      <c r="AC80" s="432"/>
      <c r="AD80" s="432"/>
      <c r="AE80" s="432"/>
      <c r="AF80" s="432"/>
      <c r="AG80" s="267"/>
      <c r="AH80" s="267"/>
      <c r="AI80" s="267"/>
      <c r="AJ80" s="267"/>
      <c r="AK80" s="267"/>
    </row>
    <row r="81" spans="1:37" customFormat="1" ht="15" customHeight="1">
      <c r="A81" s="432" t="s">
        <v>601</v>
      </c>
      <c r="B81" s="432"/>
      <c r="C81" s="432"/>
      <c r="D81" s="432"/>
      <c r="E81" s="432"/>
      <c r="F81" s="432"/>
      <c r="G81" s="432"/>
      <c r="H81" s="432"/>
      <c r="I81" s="432"/>
      <c r="J81" s="432"/>
      <c r="K81" s="432"/>
      <c r="L81" s="432"/>
      <c r="M81" s="432"/>
      <c r="N81" s="432"/>
      <c r="O81" s="432"/>
      <c r="P81" s="432"/>
      <c r="Q81" s="432"/>
      <c r="R81" s="432"/>
      <c r="S81" s="432"/>
      <c r="T81" s="432"/>
      <c r="U81" s="432"/>
      <c r="V81" s="432"/>
      <c r="W81" s="432"/>
      <c r="X81" s="432"/>
      <c r="Y81" s="432"/>
      <c r="Z81" s="432"/>
      <c r="AA81" s="432"/>
      <c r="AB81" s="432"/>
      <c r="AC81" s="432"/>
      <c r="AD81" s="432"/>
      <c r="AE81" s="432"/>
      <c r="AF81" s="432"/>
      <c r="AG81" s="267"/>
      <c r="AH81" s="267"/>
      <c r="AI81" s="267"/>
      <c r="AJ81" s="267"/>
      <c r="AK81" s="267"/>
    </row>
    <row r="82" spans="1:37" customFormat="1" ht="15" customHeight="1">
      <c r="A82" s="432" t="s">
        <v>602</v>
      </c>
      <c r="B82" s="432"/>
      <c r="C82" s="432"/>
      <c r="D82" s="432"/>
      <c r="E82" s="432"/>
      <c r="F82" s="432"/>
      <c r="G82" s="432"/>
      <c r="H82" s="432"/>
      <c r="I82" s="432"/>
      <c r="J82" s="432"/>
      <c r="K82" s="432"/>
      <c r="L82" s="432"/>
      <c r="M82" s="432"/>
      <c r="N82" s="432"/>
      <c r="O82" s="432"/>
      <c r="P82" s="432"/>
      <c r="Q82" s="432"/>
      <c r="R82" s="432"/>
      <c r="S82" s="432"/>
      <c r="T82" s="432"/>
      <c r="U82" s="432"/>
      <c r="V82" s="432"/>
      <c r="W82" s="432"/>
      <c r="X82" s="432"/>
      <c r="Y82" s="432"/>
      <c r="Z82" s="432"/>
      <c r="AA82" s="432"/>
      <c r="AB82" s="432"/>
      <c r="AC82" s="432"/>
      <c r="AD82" s="432"/>
      <c r="AE82" s="432"/>
      <c r="AF82" s="432"/>
      <c r="AG82" s="267"/>
      <c r="AH82" s="267"/>
      <c r="AI82" s="267"/>
      <c r="AJ82" s="267"/>
      <c r="AK82" s="267"/>
    </row>
    <row r="83" spans="1:37" customFormat="1" ht="15" customHeight="1">
      <c r="A83" s="432" t="s">
        <v>603</v>
      </c>
      <c r="B83" s="432"/>
      <c r="C83" s="432"/>
      <c r="D83" s="432"/>
      <c r="E83" s="432"/>
      <c r="F83" s="432"/>
      <c r="G83" s="432"/>
      <c r="H83" s="432"/>
      <c r="I83" s="432"/>
      <c r="J83" s="432"/>
      <c r="K83" s="432"/>
      <c r="L83" s="432"/>
      <c r="M83" s="432"/>
      <c r="N83" s="432"/>
      <c r="O83" s="432"/>
      <c r="P83" s="432"/>
      <c r="Q83" s="432"/>
      <c r="R83" s="432"/>
      <c r="S83" s="432"/>
      <c r="T83" s="432"/>
      <c r="U83" s="432"/>
      <c r="V83" s="432"/>
      <c r="W83" s="432"/>
      <c r="X83" s="432"/>
      <c r="Y83" s="432"/>
      <c r="Z83" s="432"/>
      <c r="AA83" s="432"/>
      <c r="AB83" s="432"/>
      <c r="AC83" s="432"/>
      <c r="AD83" s="432"/>
      <c r="AE83" s="432"/>
      <c r="AF83" s="432"/>
      <c r="AG83" s="267"/>
      <c r="AH83" s="267"/>
      <c r="AI83" s="267"/>
      <c r="AJ83" s="267"/>
      <c r="AK83" s="267"/>
    </row>
    <row r="84" spans="1:37" customFormat="1" ht="15" customHeight="1">
      <c r="A84" s="432" t="s">
        <v>604</v>
      </c>
      <c r="B84" s="432"/>
      <c r="C84" s="432"/>
      <c r="D84" s="432"/>
      <c r="E84" s="432"/>
      <c r="F84" s="432"/>
      <c r="G84" s="432"/>
      <c r="H84" s="432"/>
      <c r="I84" s="432"/>
      <c r="J84" s="432"/>
      <c r="K84" s="432"/>
      <c r="L84" s="432"/>
      <c r="M84" s="432"/>
      <c r="N84" s="432"/>
      <c r="O84" s="432"/>
      <c r="P84" s="432"/>
      <c r="Q84" s="432"/>
      <c r="R84" s="432"/>
      <c r="S84" s="432"/>
      <c r="T84" s="432"/>
      <c r="U84" s="432"/>
      <c r="V84" s="432"/>
      <c r="W84" s="432"/>
      <c r="X84" s="432"/>
      <c r="Y84" s="432"/>
      <c r="Z84" s="432"/>
      <c r="AA84" s="432"/>
      <c r="AB84" s="432"/>
      <c r="AC84" s="432"/>
      <c r="AD84" s="432"/>
      <c r="AE84" s="432"/>
      <c r="AF84" s="432"/>
      <c r="AG84" s="267"/>
      <c r="AH84" s="267"/>
      <c r="AI84" s="267"/>
      <c r="AJ84" s="267"/>
      <c r="AK84" s="267"/>
    </row>
    <row r="85" spans="1:37" customFormat="1" ht="15" customHeight="1">
      <c r="A85" s="432" t="s">
        <v>605</v>
      </c>
      <c r="B85" s="432"/>
      <c r="C85" s="432"/>
      <c r="D85" s="432"/>
      <c r="E85" s="432"/>
      <c r="F85" s="432"/>
      <c r="G85" s="432"/>
      <c r="H85" s="432"/>
      <c r="I85" s="432"/>
      <c r="J85" s="432"/>
      <c r="K85" s="432"/>
      <c r="L85" s="432"/>
      <c r="M85" s="432"/>
      <c r="N85" s="432"/>
      <c r="O85" s="432"/>
      <c r="P85" s="432"/>
      <c r="Q85" s="432"/>
      <c r="R85" s="432"/>
      <c r="S85" s="432"/>
      <c r="T85" s="432"/>
      <c r="U85" s="432"/>
      <c r="V85" s="432"/>
      <c r="W85" s="432"/>
      <c r="X85" s="432"/>
      <c r="Y85" s="432"/>
      <c r="Z85" s="432"/>
      <c r="AA85" s="432"/>
      <c r="AB85" s="432"/>
      <c r="AC85" s="432"/>
      <c r="AD85" s="432"/>
      <c r="AE85" s="432"/>
      <c r="AF85" s="432"/>
      <c r="AG85" s="267"/>
      <c r="AH85" s="267"/>
      <c r="AI85" s="267"/>
      <c r="AJ85" s="267"/>
      <c r="AK85" s="267"/>
    </row>
    <row r="86" spans="1:37" customFormat="1" ht="15" customHeight="1">
      <c r="A86" s="432" t="s">
        <v>606</v>
      </c>
      <c r="B86" s="432"/>
      <c r="C86" s="432"/>
      <c r="D86" s="432"/>
      <c r="E86" s="432"/>
      <c r="F86" s="432"/>
      <c r="G86" s="432"/>
      <c r="H86" s="432"/>
      <c r="I86" s="432"/>
      <c r="J86" s="432"/>
      <c r="K86" s="432"/>
      <c r="L86" s="432"/>
      <c r="M86" s="432"/>
      <c r="N86" s="432"/>
      <c r="O86" s="432"/>
      <c r="P86" s="432"/>
      <c r="Q86" s="432"/>
      <c r="R86" s="432"/>
      <c r="S86" s="432"/>
      <c r="T86" s="432"/>
      <c r="U86" s="432"/>
      <c r="V86" s="432"/>
      <c r="W86" s="432"/>
      <c r="X86" s="432"/>
      <c r="Y86" s="432"/>
      <c r="Z86" s="432"/>
      <c r="AA86" s="432"/>
      <c r="AB86" s="432"/>
      <c r="AC86" s="432"/>
      <c r="AD86" s="432"/>
      <c r="AE86" s="432"/>
      <c r="AF86" s="432"/>
      <c r="AG86" s="267"/>
      <c r="AH86" s="267"/>
      <c r="AI86" s="267"/>
      <c r="AJ86" s="267"/>
      <c r="AK86" s="267"/>
    </row>
    <row r="87" spans="1:37" customFormat="1" ht="15" customHeight="1">
      <c r="A87" s="432" t="s">
        <v>607</v>
      </c>
      <c r="B87" s="432"/>
      <c r="C87" s="432"/>
      <c r="D87" s="432"/>
      <c r="E87" s="432"/>
      <c r="F87" s="432"/>
      <c r="G87" s="432"/>
      <c r="H87" s="432"/>
      <c r="I87" s="432"/>
      <c r="J87" s="432"/>
      <c r="K87" s="432"/>
      <c r="L87" s="432"/>
      <c r="M87" s="432"/>
      <c r="N87" s="432"/>
      <c r="O87" s="432"/>
      <c r="P87" s="432"/>
      <c r="Q87" s="432"/>
      <c r="R87" s="432"/>
      <c r="S87" s="432"/>
      <c r="T87" s="432"/>
      <c r="U87" s="432"/>
      <c r="V87" s="432"/>
      <c r="W87" s="432"/>
      <c r="X87" s="432"/>
      <c r="Y87" s="432"/>
      <c r="Z87" s="432"/>
      <c r="AA87" s="432"/>
      <c r="AB87" s="432"/>
      <c r="AC87" s="432"/>
      <c r="AD87" s="432"/>
      <c r="AE87" s="432"/>
      <c r="AF87" s="432"/>
      <c r="AG87" s="267"/>
      <c r="AH87" s="267"/>
      <c r="AI87" s="267"/>
      <c r="AJ87" s="267"/>
      <c r="AK87" s="267"/>
    </row>
    <row r="88" spans="1:37" customFormat="1" ht="15" customHeight="1">
      <c r="A88" s="432" t="s">
        <v>608</v>
      </c>
      <c r="B88" s="432"/>
      <c r="C88" s="432"/>
      <c r="D88" s="432"/>
      <c r="E88" s="432"/>
      <c r="F88" s="432"/>
      <c r="G88" s="432"/>
      <c r="H88" s="432"/>
      <c r="I88" s="432"/>
      <c r="J88" s="432"/>
      <c r="K88" s="432"/>
      <c r="L88" s="432"/>
      <c r="M88" s="432"/>
      <c r="N88" s="432"/>
      <c r="O88" s="432"/>
      <c r="P88" s="432"/>
      <c r="Q88" s="432"/>
      <c r="R88" s="432"/>
      <c r="S88" s="432"/>
      <c r="T88" s="432"/>
      <c r="U88" s="432"/>
      <c r="V88" s="432"/>
      <c r="W88" s="432"/>
      <c r="X88" s="432"/>
      <c r="Y88" s="432"/>
      <c r="Z88" s="432"/>
      <c r="AA88" s="432"/>
      <c r="AB88" s="432"/>
      <c r="AC88" s="432"/>
      <c r="AD88" s="432"/>
      <c r="AE88" s="432"/>
      <c r="AF88" s="432"/>
      <c r="AG88" s="267"/>
      <c r="AH88" s="267"/>
      <c r="AI88" s="267"/>
      <c r="AJ88" s="267"/>
      <c r="AK88" s="267"/>
    </row>
    <row r="89" spans="1:37" customFormat="1" ht="15" customHeight="1">
      <c r="A89" s="432" t="s">
        <v>609</v>
      </c>
      <c r="B89" s="432"/>
      <c r="C89" s="432"/>
      <c r="D89" s="432"/>
      <c r="E89" s="432"/>
      <c r="F89" s="432"/>
      <c r="G89" s="432"/>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267"/>
      <c r="AH89" s="267"/>
      <c r="AI89" s="267"/>
      <c r="AJ89" s="267"/>
      <c r="AK89" s="267"/>
    </row>
    <row r="90" spans="1:37" customFormat="1" ht="15" customHeight="1">
      <c r="A90" s="432" t="s">
        <v>610</v>
      </c>
      <c r="B90" s="432"/>
      <c r="C90" s="432"/>
      <c r="D90" s="432"/>
      <c r="E90" s="432"/>
      <c r="F90" s="432"/>
      <c r="G90" s="432"/>
      <c r="H90" s="432"/>
      <c r="I90" s="432"/>
      <c r="J90" s="432"/>
      <c r="K90" s="432"/>
      <c r="L90" s="432"/>
      <c r="M90" s="432"/>
      <c r="N90" s="432"/>
      <c r="O90" s="432"/>
      <c r="P90" s="432"/>
      <c r="Q90" s="432"/>
      <c r="R90" s="432"/>
      <c r="S90" s="432"/>
      <c r="T90" s="432"/>
      <c r="U90" s="432"/>
      <c r="V90" s="432"/>
      <c r="W90" s="432"/>
      <c r="X90" s="432"/>
      <c r="Y90" s="432"/>
      <c r="Z90" s="432"/>
      <c r="AA90" s="432"/>
      <c r="AB90" s="432"/>
      <c r="AC90" s="432"/>
      <c r="AD90" s="432"/>
      <c r="AE90" s="432"/>
      <c r="AF90" s="432"/>
      <c r="AG90" s="267"/>
      <c r="AH90" s="267"/>
      <c r="AI90" s="267"/>
      <c r="AJ90" s="267"/>
      <c r="AK90" s="267"/>
    </row>
    <row r="91" spans="1:37" customFormat="1" ht="15" customHeight="1">
      <c r="A91" s="432" t="s">
        <v>611</v>
      </c>
      <c r="B91" s="432"/>
      <c r="C91" s="432"/>
      <c r="D91" s="432"/>
      <c r="E91" s="432"/>
      <c r="F91" s="432"/>
      <c r="G91" s="432"/>
      <c r="H91" s="432"/>
      <c r="I91" s="432"/>
      <c r="J91" s="432"/>
      <c r="K91" s="432"/>
      <c r="L91" s="432"/>
      <c r="M91" s="432"/>
      <c r="N91" s="432"/>
      <c r="O91" s="432"/>
      <c r="P91" s="432"/>
      <c r="Q91" s="432"/>
      <c r="R91" s="432"/>
      <c r="S91" s="432"/>
      <c r="T91" s="432"/>
      <c r="U91" s="432"/>
      <c r="V91" s="432"/>
      <c r="W91" s="432"/>
      <c r="X91" s="432"/>
      <c r="Y91" s="432"/>
      <c r="Z91" s="432"/>
      <c r="AA91" s="432"/>
      <c r="AB91" s="432"/>
      <c r="AC91" s="432"/>
      <c r="AD91" s="432"/>
      <c r="AE91" s="432"/>
      <c r="AF91" s="432"/>
      <c r="AG91" s="267"/>
      <c r="AH91" s="267"/>
      <c r="AI91" s="267"/>
      <c r="AJ91" s="267"/>
      <c r="AK91" s="267"/>
    </row>
    <row r="92" spans="1:37" customFormat="1" ht="15" customHeight="1">
      <c r="A92" s="432" t="s">
        <v>612</v>
      </c>
      <c r="B92" s="432"/>
      <c r="C92" s="432"/>
      <c r="D92" s="432"/>
      <c r="E92" s="432"/>
      <c r="F92" s="432"/>
      <c r="G92" s="432"/>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c r="AG92" s="267"/>
      <c r="AH92" s="267"/>
      <c r="AI92" s="267"/>
      <c r="AJ92" s="267"/>
      <c r="AK92" s="267"/>
    </row>
    <row r="93" spans="1:37" customFormat="1" ht="15" customHeight="1">
      <c r="A93" s="432" t="s">
        <v>613</v>
      </c>
      <c r="B93" s="432"/>
      <c r="C93" s="432"/>
      <c r="D93" s="432"/>
      <c r="E93" s="432"/>
      <c r="F93" s="432"/>
      <c r="G93" s="432"/>
      <c r="H93" s="432"/>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32"/>
      <c r="AG93" s="267"/>
      <c r="AH93" s="267"/>
      <c r="AI93" s="267"/>
      <c r="AJ93" s="267"/>
      <c r="AK93" s="267"/>
    </row>
    <row r="94" spans="1:37" customFormat="1" ht="15" customHeight="1">
      <c r="A94" s="432" t="s">
        <v>614</v>
      </c>
      <c r="B94" s="432"/>
      <c r="C94" s="432"/>
      <c r="D94" s="432"/>
      <c r="E94" s="432"/>
      <c r="F94" s="432"/>
      <c r="G94" s="432"/>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2"/>
      <c r="AG94" s="267"/>
      <c r="AH94" s="267"/>
      <c r="AI94" s="267"/>
      <c r="AJ94" s="267"/>
      <c r="AK94" s="267"/>
    </row>
    <row r="95" spans="1:37" customFormat="1" ht="15" customHeight="1">
      <c r="A95" s="432" t="s">
        <v>615</v>
      </c>
      <c r="B95" s="432"/>
      <c r="C95" s="432"/>
      <c r="D95" s="432"/>
      <c r="E95" s="432"/>
      <c r="F95" s="432"/>
      <c r="G95" s="432"/>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267"/>
      <c r="AH95" s="267"/>
      <c r="AI95" s="267"/>
      <c r="AJ95" s="267"/>
      <c r="AK95" s="267"/>
    </row>
    <row r="96" spans="1:37" customFormat="1" ht="15" customHeight="1">
      <c r="A96" s="432" t="s">
        <v>616</v>
      </c>
      <c r="B96" s="432"/>
      <c r="C96" s="432"/>
      <c r="D96" s="432"/>
      <c r="E96" s="432"/>
      <c r="F96" s="432"/>
      <c r="G96" s="432"/>
      <c r="H96" s="432"/>
      <c r="I96" s="432"/>
      <c r="J96" s="432"/>
      <c r="K96" s="432"/>
      <c r="L96" s="432"/>
      <c r="M96" s="432"/>
      <c r="N96" s="432"/>
      <c r="O96" s="432"/>
      <c r="P96" s="432"/>
      <c r="Q96" s="432"/>
      <c r="R96" s="432"/>
      <c r="S96" s="432"/>
      <c r="T96" s="432"/>
      <c r="U96" s="432"/>
      <c r="V96" s="432"/>
      <c r="W96" s="432"/>
      <c r="X96" s="432"/>
      <c r="Y96" s="432"/>
      <c r="Z96" s="432"/>
      <c r="AA96" s="432"/>
      <c r="AB96" s="432"/>
      <c r="AC96" s="432"/>
      <c r="AD96" s="432"/>
      <c r="AE96" s="432"/>
      <c r="AF96" s="432"/>
      <c r="AG96" s="267"/>
      <c r="AH96" s="267"/>
      <c r="AI96" s="267"/>
      <c r="AJ96" s="267"/>
      <c r="AK96" s="267"/>
    </row>
    <row r="97" spans="1:37" customFormat="1" ht="15" customHeight="1">
      <c r="A97" s="432" t="s">
        <v>617</v>
      </c>
      <c r="B97" s="432"/>
      <c r="C97" s="432"/>
      <c r="D97" s="432"/>
      <c r="E97" s="432"/>
      <c r="F97" s="432"/>
      <c r="G97" s="432"/>
      <c r="H97" s="432"/>
      <c r="I97" s="432"/>
      <c r="J97" s="432"/>
      <c r="K97" s="432"/>
      <c r="L97" s="432"/>
      <c r="M97" s="432"/>
      <c r="N97" s="432"/>
      <c r="O97" s="432"/>
      <c r="P97" s="432"/>
      <c r="Q97" s="432"/>
      <c r="R97" s="432"/>
      <c r="S97" s="432"/>
      <c r="T97" s="432"/>
      <c r="U97" s="432"/>
      <c r="V97" s="432"/>
      <c r="W97" s="432"/>
      <c r="X97" s="432"/>
      <c r="Y97" s="432"/>
      <c r="Z97" s="432"/>
      <c r="AA97" s="432"/>
      <c r="AB97" s="432"/>
      <c r="AC97" s="432"/>
      <c r="AD97" s="432"/>
      <c r="AE97" s="432"/>
      <c r="AF97" s="432"/>
      <c r="AG97" s="267"/>
      <c r="AH97" s="267"/>
      <c r="AI97" s="267"/>
      <c r="AJ97" s="267"/>
      <c r="AK97" s="267"/>
    </row>
    <row r="98" spans="1:37" customFormat="1" ht="15" customHeight="1">
      <c r="A98" s="432" t="s">
        <v>618</v>
      </c>
      <c r="B98" s="432"/>
      <c r="C98" s="432"/>
      <c r="D98" s="432"/>
      <c r="E98" s="432"/>
      <c r="F98" s="432"/>
      <c r="G98" s="432"/>
      <c r="H98" s="432"/>
      <c r="I98" s="432"/>
      <c r="J98" s="432"/>
      <c r="K98" s="432"/>
      <c r="L98" s="432"/>
      <c r="M98" s="432"/>
      <c r="N98" s="432"/>
      <c r="O98" s="432"/>
      <c r="P98" s="432"/>
      <c r="Q98" s="432"/>
      <c r="R98" s="432"/>
      <c r="S98" s="432"/>
      <c r="T98" s="432"/>
      <c r="U98" s="432"/>
      <c r="V98" s="432"/>
      <c r="W98" s="432"/>
      <c r="X98" s="432"/>
      <c r="Y98" s="432"/>
      <c r="Z98" s="432"/>
      <c r="AA98" s="432"/>
      <c r="AB98" s="432"/>
      <c r="AC98" s="432"/>
      <c r="AD98" s="432"/>
      <c r="AE98" s="432"/>
      <c r="AF98" s="432"/>
      <c r="AG98" s="267"/>
      <c r="AH98" s="267"/>
      <c r="AI98" s="267"/>
      <c r="AJ98" s="267"/>
      <c r="AK98" s="267"/>
    </row>
    <row r="99" spans="1:37" customFormat="1" ht="15" customHeight="1">
      <c r="A99" s="432" t="s">
        <v>619</v>
      </c>
      <c r="B99" s="432"/>
      <c r="C99" s="432"/>
      <c r="D99" s="432"/>
      <c r="E99" s="432"/>
      <c r="F99" s="432"/>
      <c r="G99" s="432"/>
      <c r="H99" s="432"/>
      <c r="I99" s="432"/>
      <c r="J99" s="432"/>
      <c r="K99" s="432"/>
      <c r="L99" s="432"/>
      <c r="M99" s="432"/>
      <c r="N99" s="432"/>
      <c r="O99" s="432"/>
      <c r="P99" s="432"/>
      <c r="Q99" s="432"/>
      <c r="R99" s="432"/>
      <c r="S99" s="432"/>
      <c r="T99" s="432"/>
      <c r="U99" s="432"/>
      <c r="V99" s="432"/>
      <c r="W99" s="432"/>
      <c r="X99" s="432"/>
      <c r="Y99" s="432"/>
      <c r="Z99" s="432"/>
      <c r="AA99" s="432"/>
      <c r="AB99" s="432"/>
      <c r="AC99" s="432"/>
      <c r="AD99" s="432"/>
      <c r="AE99" s="432"/>
      <c r="AF99" s="432"/>
      <c r="AG99" s="267"/>
      <c r="AH99" s="267"/>
      <c r="AI99" s="267"/>
      <c r="AJ99" s="267"/>
      <c r="AK99" s="267"/>
    </row>
    <row r="100" spans="1:37" customFormat="1" ht="15" customHeight="1">
      <c r="A100" s="432" t="s">
        <v>620</v>
      </c>
      <c r="B100" s="432"/>
      <c r="C100" s="432"/>
      <c r="D100" s="432"/>
      <c r="E100" s="432"/>
      <c r="F100" s="432"/>
      <c r="G100" s="432"/>
      <c r="H100" s="432"/>
      <c r="I100" s="432"/>
      <c r="J100" s="432"/>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c r="AG100" s="267"/>
      <c r="AH100" s="267"/>
      <c r="AI100" s="267"/>
      <c r="AJ100" s="267"/>
      <c r="AK100" s="267"/>
    </row>
    <row r="101" spans="1:37" customFormat="1" ht="15" customHeight="1">
      <c r="A101" s="432" t="s">
        <v>621</v>
      </c>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267"/>
      <c r="AH101" s="267"/>
      <c r="AI101" s="267"/>
      <c r="AJ101" s="267"/>
      <c r="AK101" s="267"/>
    </row>
    <row r="102" spans="1:37" customFormat="1" ht="15" customHeight="1">
      <c r="A102" s="432" t="s">
        <v>622</v>
      </c>
      <c r="B102" s="432"/>
      <c r="C102" s="432"/>
      <c r="D102" s="432"/>
      <c r="E102" s="432"/>
      <c r="F102" s="432"/>
      <c r="G102" s="432"/>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c r="AG102" s="267"/>
      <c r="AH102" s="267"/>
      <c r="AI102" s="267"/>
      <c r="AJ102" s="267"/>
      <c r="AK102" s="267"/>
    </row>
    <row r="103" spans="1:37" customFormat="1" ht="15" customHeight="1">
      <c r="A103" s="432" t="s">
        <v>623</v>
      </c>
      <c r="B103" s="432"/>
      <c r="C103" s="432"/>
      <c r="D103" s="432"/>
      <c r="E103" s="432"/>
      <c r="F103" s="432"/>
      <c r="G103" s="432"/>
      <c r="H103" s="432"/>
      <c r="I103" s="432"/>
      <c r="J103" s="432"/>
      <c r="K103" s="432"/>
      <c r="L103" s="432"/>
      <c r="M103" s="432"/>
      <c r="N103" s="432"/>
      <c r="O103" s="432"/>
      <c r="P103" s="432"/>
      <c r="Q103" s="432"/>
      <c r="R103" s="432"/>
      <c r="S103" s="432"/>
      <c r="T103" s="432"/>
      <c r="U103" s="432"/>
      <c r="V103" s="432"/>
      <c r="W103" s="432"/>
      <c r="X103" s="432"/>
      <c r="Y103" s="432"/>
      <c r="Z103" s="432"/>
      <c r="AA103" s="432"/>
      <c r="AB103" s="432"/>
      <c r="AC103" s="432"/>
      <c r="AD103" s="432"/>
      <c r="AE103" s="432"/>
      <c r="AF103" s="432"/>
      <c r="AG103" s="267"/>
      <c r="AH103" s="267"/>
      <c r="AI103" s="267"/>
      <c r="AJ103" s="267"/>
      <c r="AK103" s="267"/>
    </row>
    <row r="104" spans="1:37" customFormat="1" ht="15" customHeight="1">
      <c r="A104" s="432" t="s">
        <v>624</v>
      </c>
      <c r="B104" s="432"/>
      <c r="C104" s="432"/>
      <c r="D104" s="432"/>
      <c r="E104" s="432"/>
      <c r="F104" s="432"/>
      <c r="G104" s="432"/>
      <c r="H104" s="432"/>
      <c r="I104" s="432"/>
      <c r="J104" s="432"/>
      <c r="K104" s="432"/>
      <c r="L104" s="432"/>
      <c r="M104" s="432"/>
      <c r="N104" s="432"/>
      <c r="O104" s="432"/>
      <c r="P104" s="432"/>
      <c r="Q104" s="432"/>
      <c r="R104" s="432"/>
      <c r="S104" s="432"/>
      <c r="T104" s="432"/>
      <c r="U104" s="432"/>
      <c r="V104" s="432"/>
      <c r="W104" s="432"/>
      <c r="X104" s="432"/>
      <c r="Y104" s="432"/>
      <c r="Z104" s="432"/>
      <c r="AA104" s="432"/>
      <c r="AB104" s="432"/>
      <c r="AC104" s="432"/>
      <c r="AD104" s="432"/>
      <c r="AE104" s="432"/>
      <c r="AF104" s="432"/>
      <c r="AG104" s="267"/>
      <c r="AH104" s="267"/>
      <c r="AI104" s="267"/>
      <c r="AJ104" s="267"/>
      <c r="AK104" s="267"/>
    </row>
    <row r="105" spans="1:37" customFormat="1" ht="15" customHeight="1">
      <c r="A105" s="432" t="s">
        <v>625</v>
      </c>
      <c r="B105" s="432"/>
      <c r="C105" s="432"/>
      <c r="D105" s="432"/>
      <c r="E105" s="432"/>
      <c r="F105" s="432"/>
      <c r="G105" s="432"/>
      <c r="H105" s="432"/>
      <c r="I105" s="432"/>
      <c r="J105" s="432"/>
      <c r="K105" s="432"/>
      <c r="L105" s="432"/>
      <c r="M105" s="432"/>
      <c r="N105" s="432"/>
      <c r="O105" s="432"/>
      <c r="P105" s="432"/>
      <c r="Q105" s="432"/>
      <c r="R105" s="432"/>
      <c r="S105" s="432"/>
      <c r="T105" s="432"/>
      <c r="U105" s="432"/>
      <c r="V105" s="432"/>
      <c r="W105" s="432"/>
      <c r="X105" s="432"/>
      <c r="Y105" s="432"/>
      <c r="Z105" s="432"/>
      <c r="AA105" s="432"/>
      <c r="AB105" s="432"/>
      <c r="AC105" s="432"/>
      <c r="AD105" s="432"/>
      <c r="AE105" s="432"/>
      <c r="AF105" s="432"/>
      <c r="AG105" s="267"/>
      <c r="AH105" s="267"/>
      <c r="AI105" s="267"/>
      <c r="AJ105" s="267"/>
      <c r="AK105" s="267"/>
    </row>
    <row r="106" spans="1:37" customFormat="1" ht="15" customHeight="1">
      <c r="A106" s="432" t="s">
        <v>626</v>
      </c>
      <c r="B106" s="432"/>
      <c r="C106" s="432"/>
      <c r="D106" s="432"/>
      <c r="E106" s="432"/>
      <c r="F106" s="432"/>
      <c r="G106" s="432"/>
      <c r="H106" s="432"/>
      <c r="I106" s="432"/>
      <c r="J106" s="432"/>
      <c r="K106" s="432"/>
      <c r="L106" s="432"/>
      <c r="M106" s="432"/>
      <c r="N106" s="432"/>
      <c r="O106" s="432"/>
      <c r="P106" s="432"/>
      <c r="Q106" s="432"/>
      <c r="R106" s="432"/>
      <c r="S106" s="432"/>
      <c r="T106" s="432"/>
      <c r="U106" s="432"/>
      <c r="V106" s="432"/>
      <c r="W106" s="432"/>
      <c r="X106" s="432"/>
      <c r="Y106" s="432"/>
      <c r="Z106" s="432"/>
      <c r="AA106" s="432"/>
      <c r="AB106" s="432"/>
      <c r="AC106" s="432"/>
      <c r="AD106" s="432"/>
      <c r="AE106" s="432"/>
      <c r="AF106" s="432"/>
      <c r="AG106" s="267"/>
      <c r="AH106" s="267"/>
      <c r="AI106" s="267"/>
      <c r="AJ106" s="267"/>
      <c r="AK106" s="267"/>
    </row>
    <row r="107" spans="1:37" customFormat="1" ht="15" customHeight="1">
      <c r="A107" s="432" t="s">
        <v>627</v>
      </c>
      <c r="B107" s="432"/>
      <c r="C107" s="432"/>
      <c r="D107" s="432"/>
      <c r="E107" s="432"/>
      <c r="F107" s="432"/>
      <c r="G107" s="432"/>
      <c r="H107" s="432"/>
      <c r="I107" s="432"/>
      <c r="J107" s="432"/>
      <c r="K107" s="432"/>
      <c r="L107" s="432"/>
      <c r="M107" s="432"/>
      <c r="N107" s="432"/>
      <c r="O107" s="432"/>
      <c r="P107" s="432"/>
      <c r="Q107" s="432"/>
      <c r="R107" s="432"/>
      <c r="S107" s="432"/>
      <c r="T107" s="432"/>
      <c r="U107" s="432"/>
      <c r="V107" s="432"/>
      <c r="W107" s="432"/>
      <c r="X107" s="432"/>
      <c r="Y107" s="432"/>
      <c r="Z107" s="432"/>
      <c r="AA107" s="432"/>
      <c r="AB107" s="432"/>
      <c r="AC107" s="432"/>
      <c r="AD107" s="432"/>
      <c r="AE107" s="432"/>
      <c r="AF107" s="432"/>
      <c r="AG107" s="267"/>
      <c r="AH107" s="267"/>
      <c r="AI107" s="267"/>
      <c r="AJ107" s="267"/>
      <c r="AK107" s="267"/>
    </row>
    <row r="108" spans="1:37" customFormat="1" ht="15" customHeight="1">
      <c r="A108" s="432" t="s">
        <v>628</v>
      </c>
      <c r="B108" s="432"/>
      <c r="C108" s="432"/>
      <c r="D108" s="432"/>
      <c r="E108" s="432"/>
      <c r="F108" s="432"/>
      <c r="G108" s="432"/>
      <c r="H108" s="432"/>
      <c r="I108" s="432"/>
      <c r="J108" s="432"/>
      <c r="K108" s="432"/>
      <c r="L108" s="432"/>
      <c r="M108" s="432"/>
      <c r="N108" s="432"/>
      <c r="O108" s="432"/>
      <c r="P108" s="432"/>
      <c r="Q108" s="432"/>
      <c r="R108" s="432"/>
      <c r="S108" s="432"/>
      <c r="T108" s="432"/>
      <c r="U108" s="432"/>
      <c r="V108" s="432"/>
      <c r="W108" s="432"/>
      <c r="X108" s="432"/>
      <c r="Y108" s="432"/>
      <c r="Z108" s="432"/>
      <c r="AA108" s="432"/>
      <c r="AB108" s="432"/>
      <c r="AC108" s="432"/>
      <c r="AD108" s="432"/>
      <c r="AE108" s="432"/>
      <c r="AF108" s="432"/>
      <c r="AG108" s="267"/>
      <c r="AH108" s="267"/>
      <c r="AI108" s="267"/>
      <c r="AJ108" s="267"/>
      <c r="AK108" s="267"/>
    </row>
    <row r="109" spans="1:37" customFormat="1" ht="15" customHeight="1">
      <c r="A109" s="432" t="s">
        <v>629</v>
      </c>
      <c r="B109" s="432"/>
      <c r="C109" s="432"/>
      <c r="D109" s="432"/>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32"/>
      <c r="AD109" s="432"/>
      <c r="AE109" s="432"/>
      <c r="AF109" s="432"/>
      <c r="AG109" s="267"/>
      <c r="AH109" s="267"/>
      <c r="AI109" s="267"/>
      <c r="AJ109" s="267"/>
      <c r="AK109" s="267"/>
    </row>
  </sheetData>
  <mergeCells count="32">
    <mergeCell ref="A78:AF78"/>
    <mergeCell ref="A79:AF79"/>
    <mergeCell ref="A80:AF80"/>
    <mergeCell ref="A81:AF81"/>
    <mergeCell ref="A82:AF82"/>
    <mergeCell ref="A83:AF83"/>
    <mergeCell ref="A84:AF84"/>
    <mergeCell ref="A85:AF85"/>
    <mergeCell ref="A86:AF8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8:AF108"/>
    <mergeCell ref="A109:AF109"/>
    <mergeCell ref="A102:AF102"/>
    <mergeCell ref="A103:AF103"/>
    <mergeCell ref="A104:AF104"/>
    <mergeCell ref="A105:AF105"/>
    <mergeCell ref="A106:AF106"/>
    <mergeCell ref="A107:AF10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535</v>
      </c>
    </row>
    <row r="4" spans="1:2">
      <c r="A4" t="s">
        <v>558</v>
      </c>
    </row>
    <row r="5" spans="1:2">
      <c r="B5" t="s">
        <v>534</v>
      </c>
    </row>
    <row r="7" spans="1:2">
      <c r="A7" t="s">
        <v>722</v>
      </c>
    </row>
    <row r="9" spans="1:2">
      <c r="A9" t="s">
        <v>533</v>
      </c>
    </row>
    <row r="10" spans="1:2">
      <c r="B10" t="s">
        <v>527</v>
      </c>
    </row>
    <row r="12" spans="1:2">
      <c r="A12" t="s">
        <v>716</v>
      </c>
    </row>
    <row r="14" spans="1:2">
      <c r="A14" t="s">
        <v>526</v>
      </c>
    </row>
    <row r="15" spans="1:2">
      <c r="B15" t="s">
        <v>528</v>
      </c>
    </row>
    <row r="17" spans="1:1">
      <c r="A17" t="s">
        <v>531</v>
      </c>
    </row>
    <row r="19" spans="1:1">
      <c r="A19" t="s">
        <v>532</v>
      </c>
    </row>
    <row r="21" spans="1:1">
      <c r="A21" t="s">
        <v>557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H82"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297" customWidth="1"/>
    <col min="6" max="6" width="17" style="297" customWidth="1"/>
    <col min="7" max="7" width="15.5" style="297" customWidth="1"/>
    <col min="8" max="8" width="16.1640625" style="370"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6"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3"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46" customWidth="1"/>
    <col min="35" max="35" width="20.6640625" bestFit="1" customWidth="1"/>
    <col min="36" max="36" width="15.33203125" bestFit="1" customWidth="1"/>
    <col min="37" max="37" width="13.33203125" bestFit="1" customWidth="1"/>
    <col min="38" max="38" width="13.83203125" customWidth="1"/>
  </cols>
  <sheetData>
    <row r="1" spans="1:38" hidden="1">
      <c r="A1" s="428"/>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row>
    <row r="2" spans="1:38" hidden="1">
      <c r="A2" s="428"/>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row>
    <row r="3" spans="1:38" hidden="1">
      <c r="A3" s="428"/>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row>
    <row r="4" spans="1:38" hidden="1">
      <c r="A4" s="428"/>
      <c r="B4" s="428"/>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row>
    <row r="5" spans="1:38" hidden="1">
      <c r="A5" s="428"/>
      <c r="B5" s="428"/>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28"/>
    </row>
    <row r="6" spans="1:38" hidden="1">
      <c r="A6" s="428"/>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row>
    <row r="7" spans="1:38" ht="23.25" hidden="1" customHeight="1">
      <c r="A7" s="428"/>
      <c r="B7" s="428"/>
      <c r="C7" s="428"/>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row>
    <row r="8" spans="1:38" s="160" customFormat="1" ht="15.75" hidden="1" customHeight="1">
      <c r="A8" s="428"/>
      <c r="B8" s="428"/>
      <c r="C8" s="428"/>
      <c r="D8" s="428"/>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428"/>
    </row>
    <row r="9" spans="1:38" ht="21" hidden="1" customHeight="1">
      <c r="A9" s="428"/>
      <c r="B9" s="428"/>
      <c r="C9" s="428"/>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row>
    <row r="10" spans="1:38">
      <c r="A10" t="s">
        <v>194</v>
      </c>
      <c r="B10" s="33" t="s">
        <v>133</v>
      </c>
      <c r="Y10" s="20"/>
      <c r="Z10" s="20"/>
      <c r="AA10" s="20"/>
      <c r="AB10" s="20"/>
      <c r="AC10" s="20"/>
      <c r="AD10" s="20"/>
      <c r="AE10" s="20"/>
      <c r="AF10" s="20"/>
      <c r="AG10" s="20"/>
      <c r="AH10" s="245"/>
    </row>
    <row r="11" spans="1:38" s="1" customFormat="1">
      <c r="B11" s="13"/>
      <c r="C11" s="298">
        <v>2009</v>
      </c>
      <c r="D11" s="298">
        <v>2010</v>
      </c>
      <c r="E11" s="298">
        <v>2011</v>
      </c>
      <c r="F11" s="298">
        <v>2012</v>
      </c>
      <c r="G11" s="298">
        <v>2013</v>
      </c>
      <c r="H11" s="371">
        <v>2014</v>
      </c>
      <c r="I11" s="13">
        <v>2015</v>
      </c>
      <c r="J11" s="13">
        <v>2016</v>
      </c>
      <c r="K11" s="13">
        <v>2017</v>
      </c>
      <c r="L11" s="13">
        <v>2018</v>
      </c>
      <c r="M11" s="13">
        <v>2019</v>
      </c>
      <c r="N11" s="177">
        <v>2020</v>
      </c>
      <c r="O11" s="13">
        <v>2021</v>
      </c>
      <c r="P11" s="13">
        <v>2022</v>
      </c>
      <c r="Q11" s="13">
        <v>2023</v>
      </c>
      <c r="R11" s="13">
        <v>2024</v>
      </c>
      <c r="S11" s="13">
        <v>2025</v>
      </c>
      <c r="T11" s="13">
        <v>2026</v>
      </c>
      <c r="U11" s="13">
        <v>2027</v>
      </c>
      <c r="V11" s="13">
        <v>2028</v>
      </c>
      <c r="W11" s="13">
        <v>2029</v>
      </c>
      <c r="X11" s="177">
        <v>2030</v>
      </c>
      <c r="Y11" s="13">
        <v>2031</v>
      </c>
      <c r="Z11" s="13">
        <v>2032</v>
      </c>
      <c r="AA11" s="13">
        <v>2033</v>
      </c>
      <c r="AB11" s="13">
        <v>2034</v>
      </c>
      <c r="AC11" s="13">
        <v>2035</v>
      </c>
      <c r="AD11" s="13">
        <v>2036</v>
      </c>
      <c r="AE11" s="13">
        <v>2037</v>
      </c>
      <c r="AF11" s="13">
        <v>2038</v>
      </c>
      <c r="AG11" s="13">
        <v>2039</v>
      </c>
      <c r="AH11" s="177">
        <v>2040</v>
      </c>
      <c r="AJ11" s="167">
        <v>1.0299073916679518E-2</v>
      </c>
      <c r="AK11" s="168">
        <f>AJ11/2</f>
        <v>5.1495369583397588E-3</v>
      </c>
    </row>
    <row r="12" spans="1:38" s="1" customFormat="1">
      <c r="A12" s="1" t="s">
        <v>64</v>
      </c>
      <c r="B12" s="33"/>
      <c r="C12" s="298"/>
      <c r="D12" s="298"/>
      <c r="E12" s="298"/>
      <c r="F12" s="298"/>
      <c r="G12" s="298"/>
      <c r="H12" s="371"/>
      <c r="I12" s="13"/>
      <c r="J12" s="13"/>
      <c r="K12" s="13"/>
      <c r="L12" s="13"/>
      <c r="M12" s="13"/>
      <c r="N12" s="176"/>
      <c r="O12" s="13"/>
      <c r="P12" s="13"/>
      <c r="Q12" s="13"/>
      <c r="R12" s="13"/>
      <c r="S12" s="13"/>
      <c r="T12" s="13"/>
      <c r="U12" s="13"/>
      <c r="V12" s="13"/>
      <c r="W12" s="13"/>
      <c r="X12" s="177"/>
      <c r="Y12" s="20"/>
      <c r="Z12" s="20"/>
      <c r="AA12" s="20"/>
      <c r="AB12" s="20"/>
      <c r="AC12" s="20"/>
      <c r="AD12" s="20"/>
      <c r="AE12" s="20"/>
      <c r="AF12" s="20"/>
      <c r="AG12" s="20"/>
      <c r="AH12" s="245"/>
    </row>
    <row r="13" spans="1:38" s="20" customFormat="1">
      <c r="A13" s="20" t="s">
        <v>136</v>
      </c>
      <c r="B13" s="33"/>
      <c r="C13" s="300">
        <f>EIA_electricity_aeo2014!E58*1000</f>
        <v>217946</v>
      </c>
      <c r="D13" s="300">
        <f>EIA_electricity_aeo2014!F58*1000</f>
        <v>229087</v>
      </c>
      <c r="E13" s="300">
        <f>EIA_electricity_aeo2014!G58*1000</f>
        <v>205013.799</v>
      </c>
      <c r="F13" s="300">
        <f>EIA_electricity_aeo2014!H58*1000</f>
        <v>205627.068</v>
      </c>
      <c r="G13" s="300">
        <f>EIA_electricity_aeo2014!I58*1000</f>
        <v>198380.29499999998</v>
      </c>
      <c r="H13" s="252">
        <f>EIA_electricity_aeo2014!J58*1000</f>
        <v>197603.035</v>
      </c>
      <c r="I13" s="83">
        <f>EIA_electricity_aeo2014!K58*1000</f>
        <v>200212.163</v>
      </c>
      <c r="J13" s="83">
        <f>EIA_electricity_aeo2014!L58*1000</f>
        <v>201592.85399999999</v>
      </c>
      <c r="K13" s="83">
        <f>EIA_electricity_aeo2014!M58*1000</f>
        <v>203952.83199999999</v>
      </c>
      <c r="L13" s="83">
        <f>EIA_electricity_aeo2014!N58*1000</f>
        <v>205923.98299999998</v>
      </c>
      <c r="M13" s="83">
        <f>EIA_electricity_aeo2014!O58*1000</f>
        <v>207902.18799999999</v>
      </c>
      <c r="N13" s="178">
        <f>EIA_electricity_aeo2014!P58*1000</f>
        <v>207731.31299999999</v>
      </c>
      <c r="O13" s="83">
        <f>EIA_electricity_aeo2014!Q58*1000</f>
        <v>209471.27500000002</v>
      </c>
      <c r="P13" s="83">
        <f>EIA_electricity_aeo2014!R58*1000</f>
        <v>211955.05599999998</v>
      </c>
      <c r="Q13" s="83">
        <f>EIA_electricity_aeo2014!S58*1000</f>
        <v>214907.67199999999</v>
      </c>
      <c r="R13" s="83">
        <f>EIA_electricity_aeo2014!T58*1000</f>
        <v>219245.20600000003</v>
      </c>
      <c r="S13" s="83">
        <f>EIA_electricity_aeo2014!U58*1000</f>
        <v>223341.33800000002</v>
      </c>
      <c r="T13" s="83">
        <f>EIA_electricity_aeo2014!V58*1000</f>
        <v>227547.39300000004</v>
      </c>
      <c r="U13" s="83">
        <f>EIA_electricity_aeo2014!W58*1000</f>
        <v>231878.45800000001</v>
      </c>
      <c r="V13" s="83">
        <f>EIA_electricity_aeo2014!X58*1000</f>
        <v>236241.78599999999</v>
      </c>
      <c r="W13" s="83">
        <f>EIA_electricity_aeo2014!Y58*1000</f>
        <v>238975.402</v>
      </c>
      <c r="X13" s="185">
        <f>EIA_electricity_aeo2014!Z58*1000</f>
        <v>241236.11700000003</v>
      </c>
      <c r="Y13" s="175">
        <f>EIA_electricity_aeo2014!AA58*1000</f>
        <v>243618.54800000001</v>
      </c>
      <c r="Z13" s="175">
        <f>EIA_electricity_aeo2014!AB58*1000</f>
        <v>246161.08200000002</v>
      </c>
      <c r="AA13" s="175">
        <f>EIA_electricity_aeo2014!AC58*1000</f>
        <v>248817.18200000003</v>
      </c>
      <c r="AB13" s="175">
        <f>EIA_electricity_aeo2014!AD58*1000</f>
        <v>251529.867</v>
      </c>
      <c r="AC13" s="175">
        <f>EIA_electricity_aeo2014!AE58*1000</f>
        <v>254304.67599999998</v>
      </c>
      <c r="AD13" s="175">
        <f>EIA_electricity_aeo2014!AF58*1000</f>
        <v>257232.97700000001</v>
      </c>
      <c r="AE13" s="175">
        <f>EIA_electricity_aeo2014!AG58*1000</f>
        <v>260722.65599999996</v>
      </c>
      <c r="AF13" s="175">
        <f>EIA_electricity_aeo2014!AH58*1000</f>
        <v>263919.73</v>
      </c>
      <c r="AG13" s="175">
        <f>EIA_electricity_aeo2014!AI58*1000</f>
        <v>267041.07399999996</v>
      </c>
      <c r="AH13" s="185">
        <f>EIA_electricity_aeo2014!AJ58*1000</f>
        <v>270029.19499999995</v>
      </c>
      <c r="AI13" s="115">
        <f>X13/C13-1</f>
        <v>0.10686186945390164</v>
      </c>
      <c r="AJ13" s="166">
        <f>(1+AJ11)^21-1</f>
        <v>0.24007814276920247</v>
      </c>
      <c r="AK13" s="169">
        <f>(1+AK11)^21-1</f>
        <v>0.11389489977934208</v>
      </c>
      <c r="AL13" s="121"/>
    </row>
    <row r="14" spans="1:38" s="20" customFormat="1">
      <c r="A14" s="20" t="s">
        <v>137</v>
      </c>
      <c r="B14" s="33"/>
      <c r="C14" s="300">
        <f>EIA_electricity_aeo2014!E58 * 1000</f>
        <v>217946</v>
      </c>
      <c r="D14" s="300">
        <f>IF(Inputs!$C$7="BAU",'Output -Jobs vs Yr'!D13,C14+($X$14-$C$14)/($X$11-$C$11) )</f>
        <v>229087</v>
      </c>
      <c r="E14" s="300">
        <f>IF(Inputs!$C$7="BAU",'Output -Jobs vs Yr'!E13,D14+($X$14-$C$14)/($X$11-$C$11) )</f>
        <v>205013.799</v>
      </c>
      <c r="F14" s="300">
        <f>IF(Inputs!$C$7="BAU",'Output -Jobs vs Yr'!F13,E14+($X$14-$C$14)/($X$11-$C$11) )</f>
        <v>205627.068</v>
      </c>
      <c r="G14" s="300">
        <f>IF(Inputs!$C$7="BAU",'Output -Jobs vs Yr'!G13,F14+($X$14-$C$14)/($X$11-$C$11) )</f>
        <v>198380.29499999998</v>
      </c>
      <c r="H14" s="252">
        <f>EIA_electricity_aeo2014!J58*1000</f>
        <v>197603.035</v>
      </c>
      <c r="I14" s="83">
        <f>IF(Inputs!$C$7="BAU",'Output -Jobs vs Yr'!I13,H14+($X$14-$C$14)/($X$11-$C$11) )</f>
        <v>200212.163</v>
      </c>
      <c r="J14" s="83">
        <f>IF(Inputs!$C$7="BAU",'Output -Jobs vs Yr'!J13,I14+($X$14-$C$14)/($X$11-$C$11) )</f>
        <v>201592.85399999999</v>
      </c>
      <c r="K14" s="83">
        <f>IF(Inputs!$C$7="BAU",'Output -Jobs vs Yr'!K13,J14+($X$14-$C$14)/($X$11-$C$11) )</f>
        <v>203952.83199999999</v>
      </c>
      <c r="L14" s="83">
        <f>IF(Inputs!$C$7="BAU",'Output -Jobs vs Yr'!L13,K14+($X$14-$C$14)/($X$11-$C$11) )</f>
        <v>205923.98299999998</v>
      </c>
      <c r="M14" s="83">
        <f>IF(Inputs!$C$7="BAU",'Output -Jobs vs Yr'!M13,L14+($X$14-$C$14)/($X$11-$C$11) )</f>
        <v>207902.18799999999</v>
      </c>
      <c r="N14" s="178">
        <f>IF(Inputs!$C$7="BAU",'Output -Jobs vs Yr'!N13,M14+($X$14-$C$14)/($X$11-$C$11) )</f>
        <v>207731.31299999999</v>
      </c>
      <c r="O14" s="83">
        <f>IF(Inputs!$C$7="BAU",'Output -Jobs vs Yr'!O13,N14+($X$14-$C$14)/($X$11-$C$11) )</f>
        <v>209471.27500000002</v>
      </c>
      <c r="P14" s="83">
        <f>IF(Inputs!$C$7="BAU",'Output -Jobs vs Yr'!P13,O14+($X$14-$C$14)/($X$11-$C$11) )</f>
        <v>211955.05599999998</v>
      </c>
      <c r="Q14" s="83">
        <f>IF(Inputs!$C$7="BAU",'Output -Jobs vs Yr'!Q13,P14+($X$14-$C$14)/($X$11-$C$11) )</f>
        <v>214907.67199999999</v>
      </c>
      <c r="R14" s="83">
        <f>IF(Inputs!$C$7="BAU",'Output -Jobs vs Yr'!R13,Q14+($X$14-$C$14)/($X$11-$C$11) )</f>
        <v>219245.20600000003</v>
      </c>
      <c r="S14" s="83">
        <f>IF(Inputs!$C$7="BAU",'Output -Jobs vs Yr'!S13,R14+($X$14-$C$14)/($X$11-$C$11) )</f>
        <v>223341.33800000002</v>
      </c>
      <c r="T14" s="83">
        <f>IF(Inputs!$C$7="BAU",'Output -Jobs vs Yr'!T13,S14+($X$14-$C$14)/($X$11-$C$11) )</f>
        <v>227547.39300000004</v>
      </c>
      <c r="U14" s="83">
        <f>IF(Inputs!$C$7="BAU",'Output -Jobs vs Yr'!U13,T14+($X$14-$C$14)/($X$11-$C$11) )</f>
        <v>231878.45800000001</v>
      </c>
      <c r="V14" s="83">
        <f>IF(Inputs!$C$7="BAU",'Output -Jobs vs Yr'!V13,U14+($X$14-$C$14)/($X$11-$C$11) )</f>
        <v>236241.78599999999</v>
      </c>
      <c r="W14" s="83">
        <f>IF(Inputs!$C$7="BAU",'Output -Jobs vs Yr'!W13,V14+($X$14-$C$14)/($X$11-$C$11) )</f>
        <v>238975.402</v>
      </c>
      <c r="X14" s="185">
        <f>IF(Inputs!$C$7="BAU",'Output -Jobs vs Yr'!X13,C14*(1+Inputs!C7) )</f>
        <v>241236.11700000003</v>
      </c>
      <c r="Y14" s="175">
        <f>IF(Inputs!$C$7="BAU",'Output -Jobs vs Yr'!Y13,D14*(1+Inputs!D7) )</f>
        <v>243618.54800000001</v>
      </c>
      <c r="Z14" s="175">
        <f>IF(Inputs!$C$7="BAU",'Output -Jobs vs Yr'!Z13,E14*(1+Inputs!E7) )</f>
        <v>246161.08200000002</v>
      </c>
      <c r="AA14" s="175">
        <f>IF(Inputs!$C$7="BAU",'Output -Jobs vs Yr'!AA13,F14*(1+Inputs!F7) )</f>
        <v>248817.18200000003</v>
      </c>
      <c r="AB14" s="175">
        <f>IF(Inputs!$C$7="BAU",'Output -Jobs vs Yr'!AB13,G14*(1+Inputs!G7) )</f>
        <v>251529.867</v>
      </c>
      <c r="AC14" s="175">
        <f>IF(Inputs!$C$7="BAU",'Output -Jobs vs Yr'!AC13,H14*(1+Inputs!H7) )</f>
        <v>254304.67599999998</v>
      </c>
      <c r="AD14" s="175">
        <f>IF(Inputs!$C$7="BAU",'Output -Jobs vs Yr'!AD13,I14*(1+Inputs!L7) )</f>
        <v>257232.97700000001</v>
      </c>
      <c r="AE14" s="175">
        <f>IF(Inputs!$C$7="BAU",'Output -Jobs vs Yr'!AE13,J14*(1+Inputs!M7) )</f>
        <v>260722.65599999996</v>
      </c>
      <c r="AF14" s="175">
        <f>IF(Inputs!$C$7="BAU",'Output -Jobs vs Yr'!AF13,K14*(1+Inputs!N7) )</f>
        <v>263919.73</v>
      </c>
      <c r="AG14" s="175">
        <f>IF(Inputs!$C$7="BAU",'Output -Jobs vs Yr'!AG13,L14*(1+Inputs!O7) )</f>
        <v>267041.07399999996</v>
      </c>
      <c r="AH14" s="185">
        <f>IF(Inputs!$C$7="BAU",'Output -Jobs vs Yr'!AH13,M14*(1+Inputs!P7) )</f>
        <v>270029.19499999995</v>
      </c>
      <c r="AI14" s="99"/>
      <c r="AJ14" s="166" t="s">
        <v>0</v>
      </c>
      <c r="AK14" s="30" t="s">
        <v>0</v>
      </c>
      <c r="AL14" s="121"/>
    </row>
    <row r="15" spans="1:38" s="20" customFormat="1">
      <c r="A15" s="20" t="s">
        <v>214</v>
      </c>
      <c r="B15" s="33"/>
      <c r="C15" s="300">
        <f>C14-C13</f>
        <v>0</v>
      </c>
      <c r="D15" s="300">
        <f>D13-D14</f>
        <v>0</v>
      </c>
      <c r="E15" s="300">
        <f t="shared" ref="E15:AH15" si="0">E13-E14</f>
        <v>0</v>
      </c>
      <c r="F15" s="300">
        <f t="shared" si="0"/>
        <v>0</v>
      </c>
      <c r="G15" s="300">
        <f t="shared" si="0"/>
        <v>0</v>
      </c>
      <c r="H15" s="252">
        <f t="shared" si="0"/>
        <v>0</v>
      </c>
      <c r="I15" s="83">
        <f t="shared" si="0"/>
        <v>0</v>
      </c>
      <c r="J15" s="83">
        <f t="shared" si="0"/>
        <v>0</v>
      </c>
      <c r="K15" s="83">
        <f t="shared" si="0"/>
        <v>0</v>
      </c>
      <c r="L15" s="83">
        <f t="shared" si="0"/>
        <v>0</v>
      </c>
      <c r="M15" s="83">
        <f t="shared" si="0"/>
        <v>0</v>
      </c>
      <c r="N15" s="178">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5">
        <f t="shared" si="0"/>
        <v>0</v>
      </c>
      <c r="Y15" s="175">
        <f t="shared" si="0"/>
        <v>0</v>
      </c>
      <c r="Z15" s="175">
        <f t="shared" si="0"/>
        <v>0</v>
      </c>
      <c r="AA15" s="175">
        <f t="shared" si="0"/>
        <v>0</v>
      </c>
      <c r="AB15" s="175">
        <f t="shared" si="0"/>
        <v>0</v>
      </c>
      <c r="AC15" s="175">
        <f t="shared" si="0"/>
        <v>0</v>
      </c>
      <c r="AD15" s="175">
        <f t="shared" si="0"/>
        <v>0</v>
      </c>
      <c r="AE15" s="175">
        <f t="shared" si="0"/>
        <v>0</v>
      </c>
      <c r="AF15" s="175">
        <f t="shared" si="0"/>
        <v>0</v>
      </c>
      <c r="AG15" s="175">
        <f t="shared" si="0"/>
        <v>0</v>
      </c>
      <c r="AH15" s="185">
        <f t="shared" si="0"/>
        <v>0</v>
      </c>
      <c r="AI15" s="120"/>
      <c r="AJ15" s="122"/>
      <c r="AK15" s="30"/>
      <c r="AL15" s="123"/>
    </row>
    <row r="16" spans="1:38" s="350" customFormat="1">
      <c r="A16" s="350" t="s">
        <v>129</v>
      </c>
      <c r="B16" s="351"/>
      <c r="C16" s="352">
        <f t="shared" ref="C16:M16" si="1">C95</f>
        <v>1.9868224697860943E-2</v>
      </c>
      <c r="D16" s="352">
        <f t="shared" si="1"/>
        <v>2.5813448883309185E-2</v>
      </c>
      <c r="E16" s="352">
        <f t="shared" si="1"/>
        <v>3.4539840493472994E-2</v>
      </c>
      <c r="F16" s="352">
        <f t="shared" si="1"/>
        <v>4.5557891284772299E-2</v>
      </c>
      <c r="G16" s="352">
        <f t="shared" si="1"/>
        <v>5.9150894962246535E-2</v>
      </c>
      <c r="H16" s="352">
        <f t="shared" si="1"/>
        <v>2.96918521519672E-2</v>
      </c>
      <c r="I16" s="352">
        <f t="shared" si="1"/>
        <v>3.8679601551792349E-2</v>
      </c>
      <c r="J16" s="352">
        <f t="shared" si="1"/>
        <v>5.0498051310919195E-2</v>
      </c>
      <c r="K16" s="352">
        <f t="shared" si="1"/>
        <v>6.6074130043990056E-2</v>
      </c>
      <c r="L16" s="352">
        <f t="shared" si="1"/>
        <v>8.6649349299476194E-2</v>
      </c>
      <c r="M16" s="352">
        <f t="shared" si="1"/>
        <v>0.11388934500651562</v>
      </c>
      <c r="N16" s="352">
        <f>Inputs!C11</f>
        <v>0.15</v>
      </c>
      <c r="O16" s="352">
        <f t="shared" ref="O16:W16" si="2">O95</f>
        <v>0.15441609273873697</v>
      </c>
      <c r="P16" s="352">
        <f t="shared" si="2"/>
        <v>0.15892603798941896</v>
      </c>
      <c r="Q16" s="352">
        <f t="shared" si="2"/>
        <v>0.16356728524549796</v>
      </c>
      <c r="R16" s="352">
        <f t="shared" si="2"/>
        <v>0.16834344395159456</v>
      </c>
      <c r="S16" s="352">
        <f t="shared" si="2"/>
        <v>0.1732588101744128</v>
      </c>
      <c r="T16" s="352">
        <f t="shared" si="2"/>
        <v>0.17831737675217238</v>
      </c>
      <c r="U16" s="352">
        <f t="shared" si="2"/>
        <v>0.18352332738656429</v>
      </c>
      <c r="V16" s="352">
        <f t="shared" si="2"/>
        <v>0.18888099653005752</v>
      </c>
      <c r="W16" s="352">
        <f t="shared" si="2"/>
        <v>0.19439528407009402</v>
      </c>
      <c r="X16" s="353">
        <f>Inputs!C12</f>
        <v>0.2</v>
      </c>
      <c r="Y16" s="354">
        <v>0.30875786608400269</v>
      </c>
      <c r="Z16" s="354">
        <v>0.31776940653841135</v>
      </c>
      <c r="AA16" s="354">
        <v>0.32704394692761768</v>
      </c>
      <c r="AB16" s="354">
        <v>0.33658916353100682</v>
      </c>
      <c r="AC16" s="354">
        <v>0.34641295955323526</v>
      </c>
      <c r="AD16" s="354">
        <v>0.35652346547646518</v>
      </c>
      <c r="AE16" s="354">
        <v>0.36692904743417443</v>
      </c>
      <c r="AF16" s="354">
        <v>0.37763831681581805</v>
      </c>
      <c r="AG16" s="354">
        <v>0.38866014018698253</v>
      </c>
      <c r="AH16" s="353">
        <v>0.39999999999999997</v>
      </c>
      <c r="AI16" s="355" t="s">
        <v>0</v>
      </c>
      <c r="AJ16" s="356"/>
      <c r="AK16" s="357"/>
      <c r="AL16" s="358"/>
    </row>
    <row r="17" spans="1:37" s="247" customFormat="1">
      <c r="A17" s="247" t="s">
        <v>121</v>
      </c>
      <c r="B17" s="248"/>
      <c r="C17" s="307"/>
      <c r="D17" s="302">
        <f>D16/C16-1</f>
        <v>0.29923278379715113</v>
      </c>
      <c r="E17" s="302">
        <f t="shared" ref="E17:M17" si="3">E16/D16-1</f>
        <v>0.33805601295711551</v>
      </c>
      <c r="F17" s="302">
        <f t="shared" si="3"/>
        <v>0.3189954161305808</v>
      </c>
      <c r="G17" s="302">
        <f t="shared" si="3"/>
        <v>0.29836770961384884</v>
      </c>
      <c r="H17" s="250"/>
      <c r="I17" s="250">
        <f t="shared" si="3"/>
        <v>0.30270086735662516</v>
      </c>
      <c r="J17" s="250">
        <f t="shared" si="3"/>
        <v>0.30554735015307299</v>
      </c>
      <c r="K17" s="250">
        <f t="shared" si="3"/>
        <v>0.30844910503908585</v>
      </c>
      <c r="L17" s="250">
        <f t="shared" si="3"/>
        <v>0.31139599177148169</v>
      </c>
      <c r="M17" s="250">
        <f t="shared" si="3"/>
        <v>0.31437045895051052</v>
      </c>
      <c r="N17" s="250">
        <f>N16/M16-1</f>
        <v>0.31706789596005214</v>
      </c>
      <c r="O17" s="250">
        <f>O16/N16-1</f>
        <v>2.9440618258246509E-2</v>
      </c>
      <c r="P17" s="250">
        <f t="shared" ref="P17:X17" si="4">P16/O16-1</f>
        <v>2.9206445848313001E-2</v>
      </c>
      <c r="Q17" s="250">
        <f t="shared" si="4"/>
        <v>2.9203819051903945E-2</v>
      </c>
      <c r="R17" s="250">
        <f t="shared" si="4"/>
        <v>2.9199963176793409E-2</v>
      </c>
      <c r="S17" s="250">
        <f t="shared" si="4"/>
        <v>2.9198441634778582E-2</v>
      </c>
      <c r="T17" s="250">
        <f t="shared" si="4"/>
        <v>2.9196590768846509E-2</v>
      </c>
      <c r="U17" s="250">
        <f t="shared" si="4"/>
        <v>2.9194858791733003E-2</v>
      </c>
      <c r="V17" s="250">
        <f t="shared" si="4"/>
        <v>2.9193395846665915E-2</v>
      </c>
      <c r="W17" s="250">
        <f t="shared" si="4"/>
        <v>2.9194506812965537E-2</v>
      </c>
      <c r="X17" s="249">
        <f t="shared" si="4"/>
        <v>2.8831542682306477E-2</v>
      </c>
      <c r="Y17" s="254">
        <v>2.9000000000000001E-2</v>
      </c>
      <c r="Z17" s="254">
        <v>2.9000000000000001E-2</v>
      </c>
      <c r="AA17" s="254">
        <v>2.9000000000000001E-2</v>
      </c>
      <c r="AB17" s="254">
        <v>2.9000000000000001E-2</v>
      </c>
      <c r="AC17" s="254">
        <v>2.9000000000000001E-2</v>
      </c>
      <c r="AD17" s="254">
        <v>2.9000000000000001E-2</v>
      </c>
      <c r="AE17" s="254">
        <v>2.9000000000000001E-2</v>
      </c>
      <c r="AF17" s="254">
        <v>2.9000000000000001E-2</v>
      </c>
      <c r="AG17" s="254">
        <v>2.9000000000000001E-2</v>
      </c>
      <c r="AH17" s="343">
        <v>2.9000000000000001E-2</v>
      </c>
    </row>
    <row r="18" spans="1:37" s="20" customFormat="1">
      <c r="A18" s="20" t="s">
        <v>141</v>
      </c>
      <c r="B18" s="33"/>
      <c r="C18" s="302">
        <f>C32/C14</f>
        <v>0.13360190138841732</v>
      </c>
      <c r="D18" s="302">
        <f t="shared" ref="D18:G18" si="5">($N$18-$C$18)/($N$11-$C$11)+C18</f>
        <v>0.13245062864062837</v>
      </c>
      <c r="E18" s="302">
        <f t="shared" si="5"/>
        <v>0.13129935589283942</v>
      </c>
      <c r="F18" s="302">
        <f t="shared" si="5"/>
        <v>0.13014808314505047</v>
      </c>
      <c r="G18" s="302">
        <f t="shared" si="5"/>
        <v>0.12899681039726152</v>
      </c>
      <c r="H18" s="250">
        <f>H32/H14</f>
        <v>0.12210101428857104</v>
      </c>
      <c r="I18" s="173">
        <f>($N$18-$H$18)/($N$11-$H$11)+H18</f>
        <v>0.12190716210093236</v>
      </c>
      <c r="J18" s="173">
        <f t="shared" ref="J18:M18" si="6">($N$18-$H$18)/($N$11-$H$11)+I18</f>
        <v>0.12171330991329368</v>
      </c>
      <c r="K18" s="173">
        <f t="shared" si="6"/>
        <v>0.12151945772565501</v>
      </c>
      <c r="L18" s="173">
        <f t="shared" si="6"/>
        <v>0.12132560553801633</v>
      </c>
      <c r="M18" s="173">
        <f t="shared" si="6"/>
        <v>0.12113175335037765</v>
      </c>
      <c r="N18" s="181">
        <f>Inputs!C36</f>
        <v>0.120937901162739</v>
      </c>
      <c r="O18" s="91">
        <f t="shared" ref="O18:W18" si="7">($X$18-$N$18)/($X$11-$N$11)+N18</f>
        <v>0.12029863086304829</v>
      </c>
      <c r="P18" s="91">
        <f t="shared" si="7"/>
        <v>0.11965936056335758</v>
      </c>
      <c r="Q18" s="91">
        <f t="shared" si="7"/>
        <v>0.11902009026366686</v>
      </c>
      <c r="R18" s="91">
        <f t="shared" si="7"/>
        <v>0.11838081996397615</v>
      </c>
      <c r="S18" s="22">
        <f t="shared" si="7"/>
        <v>0.11774154966428543</v>
      </c>
      <c r="T18" s="91">
        <f t="shared" si="7"/>
        <v>0.11710227936459472</v>
      </c>
      <c r="U18" s="91">
        <f t="shared" si="7"/>
        <v>0.11646300906490401</v>
      </c>
      <c r="V18" s="91">
        <f t="shared" si="7"/>
        <v>0.11582373876521329</v>
      </c>
      <c r="W18" s="91">
        <f t="shared" si="7"/>
        <v>0.11518446846552258</v>
      </c>
      <c r="X18" s="186">
        <f>Inputs!F36</f>
        <v>0.11454519816583186</v>
      </c>
      <c r="Y18" s="173">
        <f>($AH$18-$X$18)/($AH$11-$X$11)+X18</f>
        <v>0.12360459791713171</v>
      </c>
      <c r="Z18" s="173">
        <f t="shared" ref="Z18:AG18" si="8">($AH$18-$X$18)/($AH$11-$X$11)+Y18</f>
        <v>0.13266399766843157</v>
      </c>
      <c r="AA18" s="173">
        <f t="shared" si="8"/>
        <v>0.14172339741973142</v>
      </c>
      <c r="AB18" s="173">
        <f t="shared" si="8"/>
        <v>0.15078279717103127</v>
      </c>
      <c r="AC18" s="173">
        <f t="shared" si="8"/>
        <v>0.15984219692233112</v>
      </c>
      <c r="AD18" s="173">
        <f t="shared" si="8"/>
        <v>0.16890159667363097</v>
      </c>
      <c r="AE18" s="173">
        <f t="shared" si="8"/>
        <v>0.17796099642493082</v>
      </c>
      <c r="AF18" s="173">
        <f t="shared" si="8"/>
        <v>0.18702039617623067</v>
      </c>
      <c r="AG18" s="173">
        <f t="shared" si="8"/>
        <v>0.19607979592753053</v>
      </c>
      <c r="AH18" s="186">
        <f>Inputs!H36</f>
        <v>0.20513919567883043</v>
      </c>
      <c r="AK18"/>
    </row>
    <row r="19" spans="1:37" s="247" customFormat="1">
      <c r="A19" s="247" t="s">
        <v>120</v>
      </c>
      <c r="B19" s="251"/>
      <c r="C19" s="300">
        <f t="shared" ref="C19:AH19" si="9">C16*C14</f>
        <v>4330.2001000000009</v>
      </c>
      <c r="D19" s="300">
        <f t="shared" si="9"/>
        <v>5913.5255643306509</v>
      </c>
      <c r="E19" s="300">
        <f t="shared" si="9"/>
        <v>7081.1439164209332</v>
      </c>
      <c r="F19" s="300">
        <f t="shared" si="9"/>
        <v>9367.9356091504815</v>
      </c>
      <c r="G19" s="300">
        <f t="shared" si="9"/>
        <v>11734.371992124481</v>
      </c>
      <c r="H19" s="252">
        <f t="shared" si="9"/>
        <v>5867.2001</v>
      </c>
      <c r="I19" s="252">
        <f t="shared" si="9"/>
        <v>7744.1266906625024</v>
      </c>
      <c r="J19" s="252">
        <f t="shared" si="9"/>
        <v>10180.046285206641</v>
      </c>
      <c r="K19" s="252">
        <f t="shared" si="9"/>
        <v>13476.005944408056</v>
      </c>
      <c r="L19" s="252">
        <f t="shared" si="9"/>
        <v>17843.179132106397</v>
      </c>
      <c r="M19" s="252">
        <f t="shared" si="9"/>
        <v>23677.844016741474</v>
      </c>
      <c r="N19" s="253">
        <f t="shared" si="9"/>
        <v>31159.696949999998</v>
      </c>
      <c r="O19" s="252">
        <f t="shared" si="9"/>
        <v>32345.735826501477</v>
      </c>
      <c r="P19" s="252">
        <f t="shared" si="9"/>
        <v>33685.177281905417</v>
      </c>
      <c r="Q19" s="252">
        <f t="shared" si="9"/>
        <v>35151.864487469917</v>
      </c>
      <c r="R19" s="252">
        <f t="shared" si="9"/>
        <v>36908.493047916811</v>
      </c>
      <c r="S19" s="252">
        <f t="shared" si="9"/>
        <v>38695.854484641372</v>
      </c>
      <c r="T19" s="252">
        <f t="shared" si="9"/>
        <v>40575.654206555642</v>
      </c>
      <c r="U19" s="252">
        <f t="shared" si="9"/>
        <v>42555.106161425698</v>
      </c>
      <c r="V19" s="252">
        <f t="shared" si="9"/>
        <v>44621.583961720593</v>
      </c>
      <c r="W19" s="252">
        <f t="shared" si="9"/>
        <v>46455.691157554917</v>
      </c>
      <c r="X19" s="253">
        <f>Inputs!C12*'Output -Jobs vs Yr'!X14</f>
        <v>48247.22340000001</v>
      </c>
      <c r="Y19" s="252">
        <f t="shared" si="9"/>
        <v>75219.143018963179</v>
      </c>
      <c r="Z19" s="252">
        <f t="shared" si="9"/>
        <v>78222.460939993223</v>
      </c>
      <c r="AA19" s="252">
        <f t="shared" si="9"/>
        <v>81374.153264687397</v>
      </c>
      <c r="AB19" s="252">
        <f t="shared" si="9"/>
        <v>84662.227536595397</v>
      </c>
      <c r="AC19" s="252">
        <f t="shared" si="9"/>
        <v>88094.435441386595</v>
      </c>
      <c r="AD19" s="252">
        <f t="shared" si="9"/>
        <v>91709.592394867868</v>
      </c>
      <c r="AE19" s="252">
        <f t="shared" si="9"/>
        <v>95666.715810587921</v>
      </c>
      <c r="AF19" s="252">
        <f t="shared" si="9"/>
        <v>99666.202611685148</v>
      </c>
      <c r="AG19" s="252">
        <f t="shared" si="9"/>
        <v>103788.22125652236</v>
      </c>
      <c r="AH19" s="253">
        <f t="shared" si="9"/>
        <v>108011.67799999997</v>
      </c>
    </row>
    <row r="20" spans="1:37" s="20" customFormat="1">
      <c r="A20" s="20" t="s">
        <v>217</v>
      </c>
      <c r="B20" s="33"/>
      <c r="C20" s="300">
        <f>'Output - Jobs vs Yr (BAU)'!C18</f>
        <v>4330.2001000000009</v>
      </c>
      <c r="D20" s="300">
        <f>'Output - Jobs vs Yr (BAU)'!D18</f>
        <v>4407.2001000000009</v>
      </c>
      <c r="E20" s="300">
        <f>'Output - Jobs vs Yr (BAU)'!E18</f>
        <v>4173.5441000000001</v>
      </c>
      <c r="F20" s="300">
        <f>'Output - Jobs vs Yr (BAU)'!F18</f>
        <v>4256.4171000000006</v>
      </c>
      <c r="G20" s="300">
        <f>'Output - Jobs vs Yr (BAU)'!G18</f>
        <v>5204.6251000000011</v>
      </c>
      <c r="H20" s="252">
        <f>'Output - Jobs vs Yr (BAU)'!H18</f>
        <v>5866.2001000000009</v>
      </c>
      <c r="I20" s="83">
        <f>'Output - Jobs vs Yr (BAU)'!I18</f>
        <v>6266.5901000000013</v>
      </c>
      <c r="J20" s="83">
        <f>'Output - Jobs vs Yr (BAU)'!J18</f>
        <v>6862.0821000000005</v>
      </c>
      <c r="K20" s="83">
        <f>'Output - Jobs vs Yr (BAU)'!K18</f>
        <v>6720.754100000001</v>
      </c>
      <c r="L20" s="83">
        <f>'Output - Jobs vs Yr (BAU)'!L18</f>
        <v>6787.0381000000016</v>
      </c>
      <c r="M20" s="83">
        <f>'Output - Jobs vs Yr (BAU)'!M18</f>
        <v>6822.9561000000003</v>
      </c>
      <c r="N20" s="178">
        <f>'Output - Jobs vs Yr (BAU)'!N18</f>
        <v>6887.370100000001</v>
      </c>
      <c r="O20" s="83">
        <f>'Output - Jobs vs Yr (BAU)'!O18</f>
        <v>6953.4981000000007</v>
      </c>
      <c r="P20" s="83">
        <f>'Output - Jobs vs Yr (BAU)'!P18</f>
        <v>7040.3511000000008</v>
      </c>
      <c r="Q20" s="83">
        <f>'Output - Jobs vs Yr (BAU)'!Q18</f>
        <v>7158.2311000000009</v>
      </c>
      <c r="R20" s="83">
        <f>'Output - Jobs vs Yr (BAU)'!R18</f>
        <v>7206.4161000000013</v>
      </c>
      <c r="S20" s="83">
        <f>'Output - Jobs vs Yr (BAU)'!S18</f>
        <v>9404.1460999999999</v>
      </c>
      <c r="T20" s="83">
        <f>'Output - Jobs vs Yr (BAU)'!T18</f>
        <v>9593.4810999999991</v>
      </c>
      <c r="U20" s="83">
        <f>'Output - Jobs vs Yr (BAU)'!U18</f>
        <v>9752.2390999999989</v>
      </c>
      <c r="V20" s="83">
        <f>'Output - Jobs vs Yr (BAU)'!V18</f>
        <v>9867.9880999999987</v>
      </c>
      <c r="W20" s="83">
        <f>'Output - Jobs vs Yr (BAU)'!W18</f>
        <v>10020.938099999999</v>
      </c>
      <c r="X20" s="185">
        <f>'Output - Jobs vs Yr (BAU)'!X18</f>
        <v>10271.464100000001</v>
      </c>
      <c r="Y20" s="175">
        <f>'Output - Jobs vs Yr (BAU)'!Y18</f>
        <v>10478.0751</v>
      </c>
      <c r="Z20" s="175">
        <f>'Output - Jobs vs Yr (BAU)'!Z18</f>
        <v>10609.4781</v>
      </c>
      <c r="AA20" s="175">
        <f>'Output - Jobs vs Yr (BAU)'!AA18</f>
        <v>10794.451100000002</v>
      </c>
      <c r="AB20" s="175">
        <f>'Output - Jobs vs Yr (BAU)'!AB18</f>
        <v>11049.4861</v>
      </c>
      <c r="AC20" s="175">
        <f>'Output - Jobs vs Yr (BAU)'!AC18</f>
        <v>11304.991100000001</v>
      </c>
      <c r="AD20" s="175">
        <f>'Output - Jobs vs Yr (BAU)'!AD18</f>
        <v>11481.6301</v>
      </c>
      <c r="AE20" s="175">
        <f>'Output - Jobs vs Yr (BAU)'!AE18</f>
        <v>12034.3701</v>
      </c>
      <c r="AF20" s="175">
        <f>'Output - Jobs vs Yr (BAU)'!AF18</f>
        <v>12168.616100000001</v>
      </c>
      <c r="AG20" s="175">
        <f>'Output - Jobs vs Yr (BAU)'!AG18</f>
        <v>12307.625099999999</v>
      </c>
      <c r="AH20" s="185">
        <f>'Output - Jobs vs Yr (BAU)'!AH18</f>
        <v>12448.675099999999</v>
      </c>
    </row>
    <row r="21" spans="1:37" s="20" customFormat="1">
      <c r="A21" s="20" t="s">
        <v>122</v>
      </c>
      <c r="B21" s="33"/>
      <c r="C21" s="300">
        <f t="shared" ref="C21:AH21" si="10">MAX(C19:C20)</f>
        <v>4330.2001000000009</v>
      </c>
      <c r="D21" s="300">
        <f t="shared" si="10"/>
        <v>5913.5255643306509</v>
      </c>
      <c r="E21" s="300">
        <f t="shared" si="10"/>
        <v>7081.1439164209332</v>
      </c>
      <c r="F21" s="300">
        <f t="shared" si="10"/>
        <v>9367.9356091504815</v>
      </c>
      <c r="G21" s="300">
        <f t="shared" si="10"/>
        <v>11734.371992124481</v>
      </c>
      <c r="H21" s="252">
        <f t="shared" si="10"/>
        <v>5867.2001</v>
      </c>
      <c r="I21" s="83">
        <f t="shared" si="10"/>
        <v>7744.1266906625024</v>
      </c>
      <c r="J21" s="83">
        <f t="shared" si="10"/>
        <v>10180.046285206641</v>
      </c>
      <c r="K21" s="83">
        <f t="shared" si="10"/>
        <v>13476.005944408056</v>
      </c>
      <c r="L21" s="83">
        <f t="shared" si="10"/>
        <v>17843.179132106397</v>
      </c>
      <c r="M21" s="83">
        <f t="shared" si="10"/>
        <v>23677.844016741474</v>
      </c>
      <c r="N21" s="178">
        <f t="shared" si="10"/>
        <v>31159.696949999998</v>
      </c>
      <c r="O21" s="83">
        <f t="shared" si="10"/>
        <v>32345.735826501477</v>
      </c>
      <c r="P21" s="83">
        <f t="shared" si="10"/>
        <v>33685.177281905417</v>
      </c>
      <c r="Q21" s="83">
        <f t="shared" si="10"/>
        <v>35151.864487469917</v>
      </c>
      <c r="R21" s="83">
        <f t="shared" si="10"/>
        <v>36908.493047916811</v>
      </c>
      <c r="S21" s="83">
        <f t="shared" si="10"/>
        <v>38695.854484641372</v>
      </c>
      <c r="T21" s="83">
        <f t="shared" si="10"/>
        <v>40575.654206555642</v>
      </c>
      <c r="U21" s="83">
        <f t="shared" si="10"/>
        <v>42555.106161425698</v>
      </c>
      <c r="V21" s="83">
        <f t="shared" si="10"/>
        <v>44621.583961720593</v>
      </c>
      <c r="W21" s="83">
        <f t="shared" si="10"/>
        <v>46455.691157554917</v>
      </c>
      <c r="X21" s="185">
        <f t="shared" si="10"/>
        <v>48247.22340000001</v>
      </c>
      <c r="Y21" s="175">
        <f t="shared" si="10"/>
        <v>75219.143018963179</v>
      </c>
      <c r="Z21" s="175">
        <f t="shared" si="10"/>
        <v>78222.460939993223</v>
      </c>
      <c r="AA21" s="175">
        <f t="shared" si="10"/>
        <v>81374.153264687397</v>
      </c>
      <c r="AB21" s="175">
        <f t="shared" si="10"/>
        <v>84662.227536595397</v>
      </c>
      <c r="AC21" s="175">
        <f t="shared" si="10"/>
        <v>88094.435441386595</v>
      </c>
      <c r="AD21" s="175">
        <f t="shared" si="10"/>
        <v>91709.592394867868</v>
      </c>
      <c r="AE21" s="175">
        <f t="shared" si="10"/>
        <v>95666.715810587921</v>
      </c>
      <c r="AF21" s="175">
        <f t="shared" si="10"/>
        <v>99666.202611685148</v>
      </c>
      <c r="AG21" s="175">
        <f t="shared" si="10"/>
        <v>103788.22125652236</v>
      </c>
      <c r="AH21" s="185">
        <f t="shared" si="10"/>
        <v>108011.67799999997</v>
      </c>
      <c r="AI21" s="99"/>
    </row>
    <row r="22" spans="1:37" s="20" customFormat="1">
      <c r="A22" s="20" t="s">
        <v>385</v>
      </c>
      <c r="B22" s="33"/>
      <c r="C22" s="300" t="s">
        <v>0</v>
      </c>
      <c r="D22" s="300"/>
      <c r="E22" s="300"/>
      <c r="F22" s="300"/>
      <c r="G22" s="300"/>
      <c r="H22" s="252"/>
      <c r="I22" s="83"/>
      <c r="J22" s="83"/>
      <c r="K22" s="83"/>
      <c r="L22" s="83"/>
      <c r="M22" s="83"/>
      <c r="N22" s="178"/>
      <c r="O22" s="83"/>
      <c r="P22" s="83"/>
      <c r="Q22" s="83"/>
      <c r="R22" s="83"/>
      <c r="S22" s="83"/>
      <c r="T22" s="83"/>
      <c r="U22" s="83"/>
      <c r="V22" s="83"/>
      <c r="W22" s="174" t="s">
        <v>0</v>
      </c>
      <c r="X22" s="185"/>
      <c r="Y22"/>
      <c r="Z22"/>
      <c r="AA22"/>
      <c r="AB22"/>
      <c r="AC22"/>
      <c r="AD22"/>
      <c r="AE22"/>
      <c r="AF22"/>
      <c r="AG22"/>
      <c r="AH22" s="246"/>
      <c r="AI22" s="99"/>
    </row>
    <row r="23" spans="1:37" s="20" customFormat="1">
      <c r="A23" t="s">
        <v>544</v>
      </c>
      <c r="B23" s="33"/>
      <c r="C23" s="300">
        <v>0</v>
      </c>
      <c r="D23" s="302">
        <f t="shared" ref="D23:G23" si="11">C23+($N$23-$C$23)/($N$11-$C$11)</f>
        <v>0</v>
      </c>
      <c r="E23" s="302">
        <f t="shared" si="11"/>
        <v>0</v>
      </c>
      <c r="F23" s="302">
        <f t="shared" si="11"/>
        <v>0</v>
      </c>
      <c r="G23" s="302">
        <f t="shared" si="11"/>
        <v>0</v>
      </c>
      <c r="H23" s="252">
        <v>0</v>
      </c>
      <c r="I23" s="91">
        <f>H23+($N$23-$H$23)/($N$11-$H$11)</f>
        <v>0</v>
      </c>
      <c r="J23" s="173">
        <f t="shared" ref="J23:M23" si="12">I23+($N$23-$H$23)/($N$11-$H$11)</f>
        <v>0</v>
      </c>
      <c r="K23" s="173">
        <f t="shared" si="12"/>
        <v>0</v>
      </c>
      <c r="L23" s="173">
        <f t="shared" si="12"/>
        <v>0</v>
      </c>
      <c r="M23" s="173">
        <f t="shared" si="12"/>
        <v>0</v>
      </c>
      <c r="N23" s="181">
        <f>Inputs!C34</f>
        <v>0</v>
      </c>
      <c r="O23" s="173">
        <f>N23+($X$23-$N$23)/($X$11-$N$11)</f>
        <v>0</v>
      </c>
      <c r="P23" s="173">
        <f t="shared" ref="P23:W23" si="13">O23+($X$23-$N$23)/($X$11-$N$11)</f>
        <v>0</v>
      </c>
      <c r="Q23" s="173">
        <f t="shared" si="13"/>
        <v>0</v>
      </c>
      <c r="R23" s="173">
        <f t="shared" si="13"/>
        <v>0</v>
      </c>
      <c r="S23" s="173">
        <f t="shared" si="13"/>
        <v>0</v>
      </c>
      <c r="T23" s="173">
        <f t="shared" si="13"/>
        <v>0</v>
      </c>
      <c r="U23" s="173">
        <f t="shared" si="13"/>
        <v>0</v>
      </c>
      <c r="V23" s="173">
        <f t="shared" si="13"/>
        <v>0</v>
      </c>
      <c r="W23" s="173">
        <f t="shared" si="13"/>
        <v>0</v>
      </c>
      <c r="X23" s="186">
        <f>Inputs!F34</f>
        <v>0</v>
      </c>
      <c r="Y23" s="173">
        <f>X23+($AH$23-$X$23)/($AH$11-$X$11)</f>
        <v>0</v>
      </c>
      <c r="Z23" s="173">
        <f t="shared" ref="Z23:AG23" si="14">Y23+($AH$23-$X$23)/($AH$11-$X$11)</f>
        <v>0</v>
      </c>
      <c r="AA23" s="173">
        <f t="shared" si="14"/>
        <v>0</v>
      </c>
      <c r="AB23" s="173">
        <f t="shared" si="14"/>
        <v>0</v>
      </c>
      <c r="AC23" s="173">
        <f t="shared" si="14"/>
        <v>0</v>
      </c>
      <c r="AD23" s="173">
        <f t="shared" si="14"/>
        <v>0</v>
      </c>
      <c r="AE23" s="173">
        <f t="shared" si="14"/>
        <v>0</v>
      </c>
      <c r="AF23" s="173">
        <f t="shared" si="14"/>
        <v>0</v>
      </c>
      <c r="AG23" s="173">
        <f t="shared" si="14"/>
        <v>0</v>
      </c>
      <c r="AH23" s="186">
        <f>Inputs!H34</f>
        <v>0</v>
      </c>
      <c r="AI23" s="99"/>
    </row>
    <row r="24" spans="1:37" s="20" customFormat="1">
      <c r="A24" t="s">
        <v>545</v>
      </c>
      <c r="B24" s="33"/>
      <c r="C24" s="300">
        <v>0</v>
      </c>
      <c r="D24" s="302">
        <f t="shared" ref="D24:G24" si="15">C24+($N$24-$C$24)/($N$11-$C$11)</f>
        <v>0</v>
      </c>
      <c r="E24" s="302">
        <f t="shared" si="15"/>
        <v>0</v>
      </c>
      <c r="F24" s="302">
        <f t="shared" si="15"/>
        <v>0</v>
      </c>
      <c r="G24" s="302">
        <f t="shared" si="15"/>
        <v>0</v>
      </c>
      <c r="H24" s="109">
        <v>0</v>
      </c>
      <c r="I24" s="173">
        <f>H24+($N$24-$H$24)/($N$11-$H$11)</f>
        <v>0</v>
      </c>
      <c r="J24" s="173">
        <f t="shared" ref="J24:M24" si="16">I24+($N$24-$H$24)/($N$11-$H$11)</f>
        <v>0</v>
      </c>
      <c r="K24" s="173">
        <f t="shared" si="16"/>
        <v>0</v>
      </c>
      <c r="L24" s="173">
        <f t="shared" si="16"/>
        <v>0</v>
      </c>
      <c r="M24" s="173">
        <f t="shared" si="16"/>
        <v>0</v>
      </c>
      <c r="N24" s="186">
        <f>Inputs!C34</f>
        <v>0</v>
      </c>
      <c r="O24" s="125">
        <f t="shared" ref="O24:W24" si="17">N$24+($X$24-$N$24)/($X$11-$N$11)</f>
        <v>0</v>
      </c>
      <c r="P24" s="125">
        <f t="shared" si="17"/>
        <v>0</v>
      </c>
      <c r="Q24" s="125">
        <f t="shared" si="17"/>
        <v>0</v>
      </c>
      <c r="R24" s="125">
        <f t="shared" si="17"/>
        <v>0</v>
      </c>
      <c r="S24" s="22">
        <f t="shared" si="17"/>
        <v>0</v>
      </c>
      <c r="T24" s="125">
        <f t="shared" si="17"/>
        <v>0</v>
      </c>
      <c r="U24" s="125">
        <f t="shared" si="17"/>
        <v>0</v>
      </c>
      <c r="V24" s="125">
        <f t="shared" si="17"/>
        <v>0</v>
      </c>
      <c r="W24" s="125">
        <f t="shared" si="17"/>
        <v>0</v>
      </c>
      <c r="X24" s="186">
        <f>Inputs!F34</f>
        <v>0</v>
      </c>
      <c r="Y24" s="173">
        <f>X$24+($AH$24-$X$24)/($AH$11-$X$11)</f>
        <v>0</v>
      </c>
      <c r="Z24" s="173">
        <f t="shared" ref="Z24:AG24" si="18">Y$24+($AH$24-$X$24)/($AH$11-$X$11)</f>
        <v>0</v>
      </c>
      <c r="AA24" s="173">
        <f t="shared" si="18"/>
        <v>0</v>
      </c>
      <c r="AB24" s="173">
        <f t="shared" si="18"/>
        <v>0</v>
      </c>
      <c r="AC24" s="173">
        <f t="shared" si="18"/>
        <v>0</v>
      </c>
      <c r="AD24" s="173">
        <f t="shared" si="18"/>
        <v>0</v>
      </c>
      <c r="AE24" s="173">
        <f t="shared" si="18"/>
        <v>0</v>
      </c>
      <c r="AF24" s="173">
        <f t="shared" si="18"/>
        <v>0</v>
      </c>
      <c r="AG24" s="173">
        <f t="shared" si="18"/>
        <v>0</v>
      </c>
      <c r="AH24" s="186">
        <f>Inputs!H34</f>
        <v>0</v>
      </c>
      <c r="AI24" s="99"/>
    </row>
    <row r="25" spans="1:37" s="20" customFormat="1">
      <c r="A25" t="s">
        <v>546</v>
      </c>
      <c r="B25" s="33"/>
      <c r="C25" s="300"/>
      <c r="D25" s="302">
        <f t="shared" ref="D25:AH25" si="19">D30/(D30+D47)</f>
        <v>0</v>
      </c>
      <c r="E25" s="302">
        <f t="shared" si="19"/>
        <v>0</v>
      </c>
      <c r="F25" s="302">
        <f t="shared" si="19"/>
        <v>0</v>
      </c>
      <c r="G25" s="302">
        <f t="shared" si="19"/>
        <v>0</v>
      </c>
      <c r="H25" s="250"/>
      <c r="I25" s="125">
        <f t="shared" si="19"/>
        <v>0</v>
      </c>
      <c r="J25" s="125">
        <f t="shared" si="19"/>
        <v>0</v>
      </c>
      <c r="K25" s="125">
        <f t="shared" si="19"/>
        <v>0</v>
      </c>
      <c r="L25" s="125">
        <f t="shared" si="19"/>
        <v>0</v>
      </c>
      <c r="M25" s="125">
        <f t="shared" si="19"/>
        <v>0</v>
      </c>
      <c r="N25" s="181">
        <f t="shared" si="19"/>
        <v>0</v>
      </c>
      <c r="O25" s="125">
        <f t="shared" si="19"/>
        <v>0</v>
      </c>
      <c r="P25" s="125">
        <f t="shared" si="19"/>
        <v>0</v>
      </c>
      <c r="Q25" s="125">
        <f t="shared" si="19"/>
        <v>0</v>
      </c>
      <c r="R25" s="125">
        <f t="shared" si="19"/>
        <v>0</v>
      </c>
      <c r="S25" s="125">
        <f t="shared" si="19"/>
        <v>0</v>
      </c>
      <c r="T25" s="125">
        <f t="shared" si="19"/>
        <v>0</v>
      </c>
      <c r="U25" s="125">
        <f t="shared" si="19"/>
        <v>0</v>
      </c>
      <c r="V25" s="125">
        <f t="shared" si="19"/>
        <v>0</v>
      </c>
      <c r="W25" s="125">
        <f t="shared" si="19"/>
        <v>0</v>
      </c>
      <c r="X25" s="186">
        <f t="shared" si="19"/>
        <v>0</v>
      </c>
      <c r="Y25" s="173">
        <f t="shared" si="19"/>
        <v>0</v>
      </c>
      <c r="Z25" s="173">
        <f t="shared" si="19"/>
        <v>0</v>
      </c>
      <c r="AA25" s="173">
        <f t="shared" si="19"/>
        <v>0</v>
      </c>
      <c r="AB25" s="173">
        <f t="shared" si="19"/>
        <v>0</v>
      </c>
      <c r="AC25" s="173">
        <f t="shared" si="19"/>
        <v>0</v>
      </c>
      <c r="AD25" s="173">
        <f t="shared" si="19"/>
        <v>0</v>
      </c>
      <c r="AE25" s="173">
        <f t="shared" si="19"/>
        <v>0</v>
      </c>
      <c r="AF25" s="173">
        <f t="shared" si="19"/>
        <v>0</v>
      </c>
      <c r="AG25" s="173">
        <f t="shared" si="19"/>
        <v>0</v>
      </c>
      <c r="AH25" s="186">
        <f t="shared" si="19"/>
        <v>0</v>
      </c>
      <c r="AI25" s="99"/>
    </row>
    <row r="26" spans="1:37" s="20" customFormat="1">
      <c r="A26" s="20" t="s">
        <v>388</v>
      </c>
      <c r="B26" s="33"/>
      <c r="C26" s="302">
        <f>C31/C14</f>
        <v>9.5436438383819839E-4</v>
      </c>
      <c r="D26" s="302">
        <f t="shared" ref="D26:G26" si="20">C26+($N$26-$C$26)/($N$11-$C$11)</f>
        <v>8.8502154588135048E-4</v>
      </c>
      <c r="E26" s="302">
        <f t="shared" si="20"/>
        <v>8.1567870792450246E-4</v>
      </c>
      <c r="F26" s="302">
        <f t="shared" si="20"/>
        <v>7.4633586996765444E-4</v>
      </c>
      <c r="G26" s="302">
        <f t="shared" si="20"/>
        <v>6.7699303201080641E-4</v>
      </c>
      <c r="H26" s="250">
        <f>H31/H14</f>
        <v>1.9101376656487079E-4</v>
      </c>
      <c r="I26" s="91">
        <f>H26+($N$26-$H$26)/($N$11-$H$11)</f>
        <v>1.9111033318953746E-4</v>
      </c>
      <c r="J26" s="173">
        <f t="shared" ref="J26:M26" si="21">I26+($N$26-$H$26)/($N$11-$H$11)</f>
        <v>1.9120689981420413E-4</v>
      </c>
      <c r="K26" s="173">
        <f t="shared" si="21"/>
        <v>1.913034664388708E-4</v>
      </c>
      <c r="L26" s="173">
        <f t="shared" si="21"/>
        <v>1.9140003306353747E-4</v>
      </c>
      <c r="M26" s="173">
        <f t="shared" si="21"/>
        <v>1.9149659968820414E-4</v>
      </c>
      <c r="N26" s="181">
        <f>Inputs!C35</f>
        <v>1.9159316631287072E-4</v>
      </c>
      <c r="O26" s="91">
        <f t="shared" ref="O26:W26" si="22">N26+($X$26-$N$26)/($X$11-$N$11)</f>
        <v>1.9058041663167104E-4</v>
      </c>
      <c r="P26" s="91">
        <f t="shared" si="22"/>
        <v>1.8956766695047136E-4</v>
      </c>
      <c r="Q26" s="91">
        <f t="shared" si="22"/>
        <v>1.8855491726927167E-4</v>
      </c>
      <c r="R26" s="91">
        <f t="shared" si="22"/>
        <v>1.8754216758807199E-4</v>
      </c>
      <c r="S26" s="22">
        <f t="shared" si="22"/>
        <v>1.865294179068723E-4</v>
      </c>
      <c r="T26" s="91">
        <f t="shared" si="22"/>
        <v>1.8551666822567262E-4</v>
      </c>
      <c r="U26" s="91">
        <f t="shared" si="22"/>
        <v>1.8450391854447294E-4</v>
      </c>
      <c r="V26" s="91">
        <f t="shared" si="22"/>
        <v>1.8349116886327325E-4</v>
      </c>
      <c r="W26" s="91">
        <f t="shared" si="22"/>
        <v>1.8247841918207357E-4</v>
      </c>
      <c r="X26" s="186">
        <f>Inputs!F35</f>
        <v>1.8146566950087397E-4</v>
      </c>
      <c r="Y26" s="173">
        <f>X26+($AH$26-$X$26)/($AH$11-$X$11)</f>
        <v>1.9581782103118636E-4</v>
      </c>
      <c r="Z26" s="173">
        <f t="shared" ref="Z26:AG26" si="23">Y26+($AH$26-$X$26)/($AH$11-$X$11)</f>
        <v>2.1016997256149874E-4</v>
      </c>
      <c r="AA26" s="173">
        <f t="shared" si="23"/>
        <v>2.2452212409181113E-4</v>
      </c>
      <c r="AB26" s="173">
        <f t="shared" si="23"/>
        <v>2.3887427562212352E-4</v>
      </c>
      <c r="AC26" s="173">
        <f t="shared" si="23"/>
        <v>2.5322642715243593E-4</v>
      </c>
      <c r="AD26" s="173">
        <f t="shared" si="23"/>
        <v>2.6757857868274835E-4</v>
      </c>
      <c r="AE26" s="173">
        <f t="shared" si="23"/>
        <v>2.8193073021306076E-4</v>
      </c>
      <c r="AF26" s="173">
        <f t="shared" si="23"/>
        <v>2.9628288174337317E-4</v>
      </c>
      <c r="AG26" s="173">
        <f t="shared" si="23"/>
        <v>3.1063503327368559E-4</v>
      </c>
      <c r="AH26" s="186">
        <f>Inputs!H35</f>
        <v>3.2498718480399789E-4</v>
      </c>
      <c r="AI26" s="99"/>
    </row>
    <row r="27" spans="1:37" s="1" customFormat="1">
      <c r="B27" s="33"/>
      <c r="C27" s="308"/>
      <c r="D27" s="299"/>
      <c r="E27" s="363"/>
      <c r="F27" s="363"/>
      <c r="G27" s="363"/>
      <c r="H27" s="372"/>
      <c r="I27" s="25"/>
      <c r="J27" s="25"/>
      <c r="K27" s="24"/>
      <c r="L27" s="24"/>
      <c r="M27" s="24"/>
      <c r="N27" s="182" t="s">
        <v>0</v>
      </c>
      <c r="O27" s="26"/>
      <c r="P27" s="13"/>
      <c r="Q27" s="13"/>
      <c r="R27" s="13"/>
      <c r="S27" s="170">
        <f>SUM(S18,S24,S26)</f>
        <v>0.1179280790821923</v>
      </c>
      <c r="T27" s="13"/>
      <c r="U27" s="13"/>
      <c r="V27" s="13"/>
      <c r="W27" s="13"/>
      <c r="X27" s="177"/>
      <c r="Y27"/>
      <c r="Z27"/>
      <c r="AA27"/>
      <c r="AB27"/>
      <c r="AC27"/>
      <c r="AD27"/>
      <c r="AE27"/>
      <c r="AF27"/>
      <c r="AG27"/>
      <c r="AH27" s="246"/>
      <c r="AI27" s="24"/>
    </row>
    <row r="28" spans="1:37" s="1" customFormat="1">
      <c r="A28" s="1" t="s">
        <v>384</v>
      </c>
      <c r="B28" s="33"/>
      <c r="C28" s="298">
        <v>2009</v>
      </c>
      <c r="D28" s="298">
        <v>2010</v>
      </c>
      <c r="E28" s="298">
        <v>2011</v>
      </c>
      <c r="F28" s="298">
        <v>2012</v>
      </c>
      <c r="G28" s="298">
        <v>2013</v>
      </c>
      <c r="H28" s="371">
        <v>2014</v>
      </c>
      <c r="I28" s="13">
        <v>2015</v>
      </c>
      <c r="J28" s="13">
        <v>2016</v>
      </c>
      <c r="K28" s="13">
        <v>2017</v>
      </c>
      <c r="L28" s="13">
        <v>2018</v>
      </c>
      <c r="M28" s="13">
        <v>2019</v>
      </c>
      <c r="N28" s="177">
        <v>2020</v>
      </c>
      <c r="O28" s="13">
        <v>2021</v>
      </c>
      <c r="P28" s="13">
        <v>2022</v>
      </c>
      <c r="Q28" s="13">
        <v>2023</v>
      </c>
      <c r="R28" s="13">
        <v>2024</v>
      </c>
      <c r="S28" s="13">
        <v>2025</v>
      </c>
      <c r="T28" s="13">
        <v>2026</v>
      </c>
      <c r="U28" s="13">
        <v>2027</v>
      </c>
      <c r="V28" s="13">
        <v>2028</v>
      </c>
      <c r="W28" s="13">
        <v>2029</v>
      </c>
      <c r="X28" s="177">
        <v>2030</v>
      </c>
      <c r="Y28" s="13">
        <v>2031</v>
      </c>
      <c r="Z28" s="13">
        <v>2032</v>
      </c>
      <c r="AA28" s="13">
        <v>2033</v>
      </c>
      <c r="AB28" s="13">
        <v>2034</v>
      </c>
      <c r="AC28" s="13">
        <v>2035</v>
      </c>
      <c r="AD28" s="13">
        <v>2036</v>
      </c>
      <c r="AE28" s="13">
        <v>2037</v>
      </c>
      <c r="AF28" s="13">
        <v>2038</v>
      </c>
      <c r="AG28" s="13">
        <v>2039</v>
      </c>
      <c r="AH28" s="177">
        <v>2040</v>
      </c>
      <c r="AK28" s="77"/>
    </row>
    <row r="29" spans="1:37">
      <c r="A29" s="9" t="s">
        <v>288</v>
      </c>
      <c r="B29" s="35">
        <v>0</v>
      </c>
      <c r="C29" s="300" t="s">
        <v>383</v>
      </c>
      <c r="D29" s="300">
        <f t="shared" ref="D29:AH29" si="24">D13-D14</f>
        <v>0</v>
      </c>
      <c r="E29" s="300">
        <f t="shared" si="24"/>
        <v>0</v>
      </c>
      <c r="F29" s="300">
        <f t="shared" si="24"/>
        <v>0</v>
      </c>
      <c r="G29" s="300">
        <f t="shared" si="24"/>
        <v>0</v>
      </c>
      <c r="H29" s="252">
        <f t="shared" si="24"/>
        <v>0</v>
      </c>
      <c r="I29" s="50">
        <f t="shared" si="24"/>
        <v>0</v>
      </c>
      <c r="J29" s="50">
        <f t="shared" si="24"/>
        <v>0</v>
      </c>
      <c r="K29" s="50">
        <f t="shared" si="24"/>
        <v>0</v>
      </c>
      <c r="L29" s="50">
        <f t="shared" si="24"/>
        <v>0</v>
      </c>
      <c r="M29" s="50">
        <f t="shared" si="24"/>
        <v>0</v>
      </c>
      <c r="N29" s="178">
        <f t="shared" si="24"/>
        <v>0</v>
      </c>
      <c r="O29" s="50">
        <f t="shared" si="24"/>
        <v>0</v>
      </c>
      <c r="P29" s="50">
        <f t="shared" si="24"/>
        <v>0</v>
      </c>
      <c r="Q29" s="50">
        <f t="shared" si="24"/>
        <v>0</v>
      </c>
      <c r="R29" s="50">
        <f t="shared" si="24"/>
        <v>0</v>
      </c>
      <c r="S29" s="50">
        <f t="shared" si="24"/>
        <v>0</v>
      </c>
      <c r="T29" s="50">
        <f t="shared" si="24"/>
        <v>0</v>
      </c>
      <c r="U29" s="50">
        <f t="shared" si="24"/>
        <v>0</v>
      </c>
      <c r="V29" s="50">
        <f t="shared" si="24"/>
        <v>0</v>
      </c>
      <c r="W29" s="50">
        <f t="shared" si="24"/>
        <v>0</v>
      </c>
      <c r="X29" s="185">
        <f t="shared" si="24"/>
        <v>0</v>
      </c>
      <c r="Y29" s="175">
        <f t="shared" si="24"/>
        <v>0</v>
      </c>
      <c r="Z29" s="175">
        <f t="shared" si="24"/>
        <v>0</v>
      </c>
      <c r="AA29" s="175">
        <f t="shared" si="24"/>
        <v>0</v>
      </c>
      <c r="AB29" s="175">
        <f t="shared" si="24"/>
        <v>0</v>
      </c>
      <c r="AC29" s="175">
        <f t="shared" si="24"/>
        <v>0</v>
      </c>
      <c r="AD29" s="175">
        <f t="shared" si="24"/>
        <v>0</v>
      </c>
      <c r="AE29" s="175">
        <f t="shared" si="24"/>
        <v>0</v>
      </c>
      <c r="AF29" s="175">
        <f t="shared" si="24"/>
        <v>0</v>
      </c>
      <c r="AG29" s="175">
        <f t="shared" si="24"/>
        <v>0</v>
      </c>
      <c r="AH29" s="185">
        <f t="shared" si="24"/>
        <v>0</v>
      </c>
      <c r="AI29" s="128"/>
    </row>
    <row r="30" spans="1:37" s="20" customFormat="1">
      <c r="A30" s="20" t="s">
        <v>128</v>
      </c>
      <c r="B30" s="35">
        <v>0</v>
      </c>
      <c r="C30" s="300">
        <f>C23*C47</f>
        <v>0</v>
      </c>
      <c r="D30" s="300">
        <f t="shared" ref="D30:AH30" si="25">D24*D14</f>
        <v>0</v>
      </c>
      <c r="E30" s="300">
        <f t="shared" si="25"/>
        <v>0</v>
      </c>
      <c r="F30" s="300">
        <f t="shared" si="25"/>
        <v>0</v>
      </c>
      <c r="G30" s="300">
        <f t="shared" si="25"/>
        <v>0</v>
      </c>
      <c r="H30" s="252">
        <f t="shared" si="25"/>
        <v>0</v>
      </c>
      <c r="I30" s="118">
        <f t="shared" si="25"/>
        <v>0</v>
      </c>
      <c r="J30" s="118">
        <f t="shared" si="25"/>
        <v>0</v>
      </c>
      <c r="K30" s="118">
        <f t="shared" si="25"/>
        <v>0</v>
      </c>
      <c r="L30" s="118">
        <f t="shared" si="25"/>
        <v>0</v>
      </c>
      <c r="M30" s="118">
        <f t="shared" si="25"/>
        <v>0</v>
      </c>
      <c r="N30" s="178">
        <f t="shared" si="25"/>
        <v>0</v>
      </c>
      <c r="O30" s="118">
        <f t="shared" si="25"/>
        <v>0</v>
      </c>
      <c r="P30" s="118">
        <f t="shared" si="25"/>
        <v>0</v>
      </c>
      <c r="Q30" s="118">
        <f t="shared" si="25"/>
        <v>0</v>
      </c>
      <c r="R30" s="118">
        <f t="shared" si="25"/>
        <v>0</v>
      </c>
      <c r="S30" s="118">
        <f t="shared" si="25"/>
        <v>0</v>
      </c>
      <c r="T30" s="118">
        <f t="shared" si="25"/>
        <v>0</v>
      </c>
      <c r="U30" s="118">
        <f t="shared" si="25"/>
        <v>0</v>
      </c>
      <c r="V30" s="118">
        <f t="shared" si="25"/>
        <v>0</v>
      </c>
      <c r="W30" s="118">
        <f t="shared" si="25"/>
        <v>0</v>
      </c>
      <c r="X30" s="185">
        <f t="shared" si="25"/>
        <v>0</v>
      </c>
      <c r="Y30" s="175">
        <f t="shared" si="25"/>
        <v>0</v>
      </c>
      <c r="Z30" s="175">
        <f t="shared" si="25"/>
        <v>0</v>
      </c>
      <c r="AA30" s="175">
        <f t="shared" si="25"/>
        <v>0</v>
      </c>
      <c r="AB30" s="175">
        <f t="shared" si="25"/>
        <v>0</v>
      </c>
      <c r="AC30" s="175">
        <f t="shared" si="25"/>
        <v>0</v>
      </c>
      <c r="AD30" s="175">
        <f t="shared" si="25"/>
        <v>0</v>
      </c>
      <c r="AE30" s="175">
        <f t="shared" si="25"/>
        <v>0</v>
      </c>
      <c r="AF30" s="175">
        <f t="shared" si="25"/>
        <v>0</v>
      </c>
      <c r="AG30" s="175">
        <f t="shared" si="25"/>
        <v>0</v>
      </c>
      <c r="AH30" s="185">
        <f t="shared" si="25"/>
        <v>0</v>
      </c>
      <c r="AI30" s="128"/>
    </row>
    <row r="31" spans="1:37">
      <c r="A31" s="9" t="s">
        <v>51</v>
      </c>
      <c r="B31" s="35">
        <v>0</v>
      </c>
      <c r="C31" s="300">
        <f>'Output - Jobs vs Yr (BAU)'!C7</f>
        <v>207.9999</v>
      </c>
      <c r="D31" s="300">
        <f t="shared" ref="D31:AH31" si="26">D26*D14</f>
        <v>202.74693088132094</v>
      </c>
      <c r="E31" s="300">
        <f t="shared" si="26"/>
        <v>167.22539067501364</v>
      </c>
      <c r="F31" s="300">
        <f t="shared" si="26"/>
        <v>153.46685668467805</v>
      </c>
      <c r="G31" s="300">
        <f t="shared" si="26"/>
        <v>134.30207740324821</v>
      </c>
      <c r="H31" s="252">
        <f>'Output - Jobs vs Yr (BAU)'!H7</f>
        <v>37.744899999999994</v>
      </c>
      <c r="I31" s="175">
        <f t="shared" si="26"/>
        <v>38.262613179527982</v>
      </c>
      <c r="J31" s="175">
        <f t="shared" si="26"/>
        <v>38.545944638037476</v>
      </c>
      <c r="K31" s="175">
        <f t="shared" si="26"/>
        <v>39.016883751624654</v>
      </c>
      <c r="L31" s="175">
        <f t="shared" si="26"/>
        <v>39.413857154775322</v>
      </c>
      <c r="M31" s="175">
        <f t="shared" si="26"/>
        <v>39.812562069737758</v>
      </c>
      <c r="N31" s="185">
        <f t="shared" si="26"/>
        <v>39.799900000000001</v>
      </c>
      <c r="O31" s="175">
        <f t="shared" si="26"/>
        <v>39.921122861867339</v>
      </c>
      <c r="P31" s="175">
        <f t="shared" si="26"/>
        <v>40.179825464276504</v>
      </c>
      <c r="Q31" s="175">
        <f t="shared" si="26"/>
        <v>40.521898314491771</v>
      </c>
      <c r="R31" s="175">
        <f t="shared" si="26"/>
        <v>41.117721166533372</v>
      </c>
      <c r="S31" s="175">
        <f t="shared" si="26"/>
        <v>41.659729771682024</v>
      </c>
      <c r="T31" s="175">
        <f t="shared" si="26"/>
        <v>42.21383421279775</v>
      </c>
      <c r="U31" s="175">
        <f t="shared" si="26"/>
        <v>42.78248412704999</v>
      </c>
      <c r="V31" s="175">
        <f t="shared" si="26"/>
        <v>43.34828144748726</v>
      </c>
      <c r="W31" s="175">
        <f t="shared" si="26"/>
        <v>43.60785358036054</v>
      </c>
      <c r="X31" s="185">
        <f t="shared" si="26"/>
        <v>43.776073479196171</v>
      </c>
      <c r="Y31" s="175">
        <f t="shared" si="26"/>
        <v>47.704853232141481</v>
      </c>
      <c r="Z31" s="175">
        <f t="shared" si="26"/>
        <v>51.735667849648848</v>
      </c>
      <c r="AA31" s="175">
        <f t="shared" si="26"/>
        <v>55.864962213178764</v>
      </c>
      <c r="AB31" s="175">
        <f t="shared" si="26"/>
        <v>60.084014776954071</v>
      </c>
      <c r="AC31" s="175">
        <f t="shared" si="26"/>
        <v>64.396664511637823</v>
      </c>
      <c r="AD31" s="175">
        <f t="shared" si="26"/>
        <v>68.830034375992099</v>
      </c>
      <c r="AE31" s="175">
        <f t="shared" si="26"/>
        <v>73.505728789168629</v>
      </c>
      <c r="AF31" s="175">
        <f t="shared" si="26"/>
        <v>78.194898153332971</v>
      </c>
      <c r="AG31" s="175">
        <f t="shared" si="26"/>
        <v>82.952312907430723</v>
      </c>
      <c r="AH31" s="185">
        <f t="shared" si="26"/>
        <v>87.756027897939774</v>
      </c>
      <c r="AI31" s="128"/>
    </row>
    <row r="32" spans="1:37">
      <c r="A32" s="9" t="s">
        <v>61</v>
      </c>
      <c r="B32" s="35">
        <v>0</v>
      </c>
      <c r="C32" s="300">
        <f>EIA_electricity_aeo2014!E52*1000</f>
        <v>29118</v>
      </c>
      <c r="D32" s="300">
        <f t="shared" ref="D32:AH32" si="27">D18*D14</f>
        <v>30342.717163395631</v>
      </c>
      <c r="E32" s="300">
        <f t="shared" si="27"/>
        <v>26918.179757844046</v>
      </c>
      <c r="F32" s="300">
        <f t="shared" si="27"/>
        <v>26761.968742936948</v>
      </c>
      <c r="G32" s="300">
        <f t="shared" si="27"/>
        <v>25590.425300667805</v>
      </c>
      <c r="H32" s="252">
        <f>EIA_electricity_aeo2014!J52*1000</f>
        <v>24127.531000000003</v>
      </c>
      <c r="I32" s="175">
        <f t="shared" si="27"/>
        <v>24407.296609419293</v>
      </c>
      <c r="J32" s="175">
        <f t="shared" si="27"/>
        <v>24536.533515207364</v>
      </c>
      <c r="K32" s="175">
        <f t="shared" si="27"/>
        <v>24784.237546251617</v>
      </c>
      <c r="L32" s="175">
        <f t="shared" si="27"/>
        <v>24983.851932275178</v>
      </c>
      <c r="M32" s="175">
        <f t="shared" si="27"/>
        <v>25183.556557819844</v>
      </c>
      <c r="N32" s="185">
        <f t="shared" si="27"/>
        <v>25122.589</v>
      </c>
      <c r="O32" s="175">
        <f t="shared" si="27"/>
        <v>25199.107587637078</v>
      </c>
      <c r="P32" s="175">
        <f t="shared" si="27"/>
        <v>25362.406469130645</v>
      </c>
      <c r="Q32" s="175">
        <f t="shared" si="27"/>
        <v>25578.330519794512</v>
      </c>
      <c r="R32" s="175">
        <f t="shared" si="27"/>
        <v>25954.427259450866</v>
      </c>
      <c r="S32" s="175">
        <f t="shared" si="27"/>
        <v>26296.555240214962</v>
      </c>
      <c r="T32" s="175">
        <f t="shared" si="27"/>
        <v>26646.318383771231</v>
      </c>
      <c r="U32" s="175">
        <f t="shared" si="27"/>
        <v>27005.262956009963</v>
      </c>
      <c r="V32" s="175">
        <f t="shared" si="27"/>
        <v>27362.406907091423</v>
      </c>
      <c r="W32" s="175">
        <f t="shared" si="27"/>
        <v>27526.254655704583</v>
      </c>
      <c r="X32" s="185">
        <f t="shared" si="27"/>
        <v>27632.438826520804</v>
      </c>
      <c r="Y32" s="175">
        <f t="shared" si="27"/>
        <v>30112.372670695455</v>
      </c>
      <c r="Z32" s="175">
        <f t="shared" si="27"/>
        <v>32656.713208506593</v>
      </c>
      <c r="AA32" s="175">
        <f t="shared" si="27"/>
        <v>35263.216369443646</v>
      </c>
      <c r="AB32" s="175">
        <f t="shared" si="27"/>
        <v>37926.376918317474</v>
      </c>
      <c r="AC32" s="175">
        <f t="shared" si="27"/>
        <v>40648.618099461608</v>
      </c>
      <c r="AD32" s="175">
        <f t="shared" si="27"/>
        <v>43447.060532411393</v>
      </c>
      <c r="AE32" s="175">
        <f t="shared" si="27"/>
        <v>46398.463652314458</v>
      </c>
      <c r="AF32" s="175">
        <f t="shared" si="27"/>
        <v>49358.372463323831</v>
      </c>
      <c r="AG32" s="175">
        <f t="shared" si="27"/>
        <v>52361.359294188573</v>
      </c>
      <c r="AH32" s="185">
        <f t="shared" si="27"/>
        <v>55393.571872102053</v>
      </c>
      <c r="AI32" s="129"/>
    </row>
    <row r="33" spans="1:36">
      <c r="A33" s="9"/>
      <c r="B33" s="35"/>
      <c r="C33" s="300"/>
      <c r="D33" s="300"/>
      <c r="E33" s="300"/>
      <c r="F33" s="300"/>
      <c r="G33" s="300"/>
      <c r="H33" s="252"/>
      <c r="I33" s="118"/>
      <c r="J33" s="118"/>
      <c r="K33" s="118"/>
      <c r="L33" s="118"/>
      <c r="M33" s="118"/>
      <c r="N33" s="185"/>
      <c r="O33" s="118"/>
      <c r="P33" s="118"/>
      <c r="Q33" s="118"/>
      <c r="R33" s="118"/>
      <c r="S33" s="118"/>
      <c r="T33" s="118"/>
      <c r="U33" s="118"/>
      <c r="V33" s="118"/>
      <c r="W33" s="118"/>
      <c r="X33" s="185"/>
      <c r="AI33" s="129"/>
    </row>
    <row r="34" spans="1:36">
      <c r="A34" s="9" t="s">
        <v>127</v>
      </c>
      <c r="B34" s="35">
        <v>1</v>
      </c>
      <c r="C34" s="300">
        <f>EIA_RE_aeo2014!E76*1000</f>
        <v>2484</v>
      </c>
      <c r="D34" s="300">
        <f>MAX(D58*D$14,'Output - Jobs vs Yr (BAU)'!D10)</f>
        <v>3504.6192844230909</v>
      </c>
      <c r="E34" s="300">
        <f>MAX(E58*E$14,'Output - Jobs vs Yr (BAU)'!E10)</f>
        <v>4209.7975148447786</v>
      </c>
      <c r="F34" s="300">
        <f>MAX(F58*F$14,'Output - Jobs vs Yr (BAU)'!F10)</f>
        <v>5667.5597803557157</v>
      </c>
      <c r="G34" s="300">
        <f>MAX(G58*G$14,'Output - Jobs vs Yr (BAU)'!G10)</f>
        <v>7339.2565823581708</v>
      </c>
      <c r="H34" s="252">
        <f>'Output - Jobs vs Yr (BAU)'!H10</f>
        <v>2542.2310000000002</v>
      </c>
      <c r="I34" s="252">
        <f>MAX(I58*I$14,'Output - Jobs vs Yr (BAU)'!I10)</f>
        <v>3457.3995389772699</v>
      </c>
      <c r="J34" s="252">
        <f>MAX(J58*J$14,'Output - Jobs vs Yr (BAU)'!J10)</f>
        <v>4672.7436730069567</v>
      </c>
      <c r="K34" s="252">
        <f>MAX(K58*K$14,'Output - Jobs vs Yr (BAU)'!K10)</f>
        <v>6345.4770476151925</v>
      </c>
      <c r="L34" s="252">
        <f>MAX(L58*L$14,'Output - Jobs vs Yr (BAU)'!L10)</f>
        <v>8599.6183921756292</v>
      </c>
      <c r="M34" s="252">
        <f>MAX(M58*M$14,'Output - Jobs vs Yr (BAU)'!M10)</f>
        <v>11653.839233582237</v>
      </c>
      <c r="N34" s="253">
        <f>MAX(Inputs!$E17*N$21,'Output - Jobs vs Yr (BAU)'!N10)</f>
        <v>15629.663986603129</v>
      </c>
      <c r="O34" s="252">
        <f>MAX(O58*O$14,'Output - Jobs vs Yr (BAU)'!O10)</f>
        <v>16220.566774663581</v>
      </c>
      <c r="P34" s="252">
        <f>MAX(P58*P$14,'Output - Jobs vs Yr (BAU)'!P10)</f>
        <v>16891.927290373074</v>
      </c>
      <c r="Q34" s="252">
        <f>MAX(Q58*Q$14,'Output - Jobs vs Yr (BAU)'!Q10)</f>
        <v>17627.114111002167</v>
      </c>
      <c r="R34" s="252">
        <f>MAX(R58*R$14,'Output - Jobs vs Yr (BAU)'!R10)</f>
        <v>18507.735143007056</v>
      </c>
      <c r="S34" s="252">
        <f>MAX(S58*S$14,'Output - Jobs vs Yr (BAU)'!S10)</f>
        <v>19403.771746297276</v>
      </c>
      <c r="T34" s="252">
        <f>MAX(T58*T$14,'Output - Jobs vs Yr (BAU)'!T10)</f>
        <v>20346.175274764304</v>
      </c>
      <c r="U34" s="252">
        <f>MAX(U58*U$14,'Output - Jobs vs Yr (BAU)'!U10)</f>
        <v>21338.564235346199</v>
      </c>
      <c r="V34" s="252">
        <f>MAX(V58*V$14,'Output - Jobs vs Yr (BAU)'!V10)</f>
        <v>22374.605248267446</v>
      </c>
      <c r="W34" s="252">
        <f>MAX(W58*W$14,'Output - Jobs vs Yr (BAU)'!W10)</f>
        <v>23294.089464313871</v>
      </c>
      <c r="X34" s="253">
        <f>Inputs!F17*'Output -Jobs vs Yr'!$X$14</f>
        <v>24200.745316573943</v>
      </c>
      <c r="Y34" s="252">
        <f>MAX(Y58*Y$14,'Output - Jobs vs Yr (BAU)'!Y10)</f>
        <v>24991.237607452611</v>
      </c>
      <c r="Z34" s="252">
        <f>MAX(Z58*Z$14,'Output - Jobs vs Yr (BAU)'!Z10)</f>
        <v>25821.876919064365</v>
      </c>
      <c r="AA34" s="252">
        <f>MAX(AA58*AA$14,'Output - Jobs vs Yr (BAU)'!AA10)</f>
        <v>26689.459756857967</v>
      </c>
      <c r="AB34" s="252">
        <f>MAX(AB58*AB$14,'Output - Jobs vs Yr (BAU)'!AB10)</f>
        <v>27589.25532000748</v>
      </c>
      <c r="AC34" s="252">
        <f>MAX(AC58*AC$14,'Output - Jobs vs Yr (BAU)'!AC10)</f>
        <v>28523.036929804806</v>
      </c>
      <c r="AD34" s="252">
        <f>MAX(AD58*AD$14,'Output - Jobs vs Yr (BAU)'!AD10)</f>
        <v>29502.516617481524</v>
      </c>
      <c r="AE34" s="252">
        <f>MAX(AE58*AE$14,'Output - Jobs vs Yr (BAU)'!AE10)</f>
        <v>30577.515338797533</v>
      </c>
      <c r="AF34" s="252">
        <f>MAX(AF58*AF$14,'Output - Jobs vs Yr (BAU)'!AF10)</f>
        <v>31650.915799300652</v>
      </c>
      <c r="AG34" s="252">
        <f>MAX(AG58*AG$14,'Output - Jobs vs Yr (BAU)'!AG10)</f>
        <v>32747.902571179195</v>
      </c>
      <c r="AH34" s="253">
        <f>Inputs!I17*'Output -Jobs vs Yr'!$AH$14</f>
        <v>33861.574385617809</v>
      </c>
      <c r="AI34" s="128"/>
    </row>
    <row r="35" spans="1:36" s="20" customFormat="1">
      <c r="A35" s="9" t="s">
        <v>52</v>
      </c>
      <c r="B35" s="35">
        <v>1</v>
      </c>
      <c r="C35" s="300">
        <f>EIA_RE_aeo2014!E74*1000</f>
        <v>0.1</v>
      </c>
      <c r="D35" s="300">
        <f>MAX(D59*D$14,'Output - Jobs vs Yr (BAU)'!D11)</f>
        <v>0.13405719161193647</v>
      </c>
      <c r="E35" s="300">
        <f>MAX(E59*E$14,'Output - Jobs vs Yr (BAU)'!E11)</f>
        <v>0.15300701416617957</v>
      </c>
      <c r="F35" s="300">
        <f>MAX(F59*F$14,'Output - Jobs vs Yr (BAU)'!F11)</f>
        <v>0.1957253618783534</v>
      </c>
      <c r="G35" s="300">
        <f>MAX(G59*G$14,'Output - Jobs vs Yr (BAU)'!G11)</f>
        <v>0.24082630826284834</v>
      </c>
      <c r="H35" s="252">
        <f>'Output - Jobs vs Yr (BAU)'!H11</f>
        <v>0.1</v>
      </c>
      <c r="I35" s="252">
        <f>MAX(I59*I$14,'Output - Jobs vs Yr (BAU)'!I11)</f>
        <v>0.12922169153029336</v>
      </c>
      <c r="J35" s="252">
        <f>MAX(J59*J$14,'Output - Jobs vs Yr (BAU)'!J11)</f>
        <v>0.16594289876087417</v>
      </c>
      <c r="K35" s="252">
        <f>MAX(K59*K$14,'Output - Jobs vs Yr (BAU)'!K11)</f>
        <v>0.21411734710520416</v>
      </c>
      <c r="L35" s="252">
        <f>MAX(L59*L$14,'Output - Jobs vs Yr (BAU)'!L11)</f>
        <v>0.27571958641203453</v>
      </c>
      <c r="M35" s="252">
        <f>MAX(M59*M$14,'Output - Jobs vs Yr (BAU)'!M11)</f>
        <v>0.3550244990698021</v>
      </c>
      <c r="N35" s="253">
        <f>MAX(Inputs!$E19*N$21,'Output - Jobs vs Yr (BAU)'!N11)</f>
        <v>0.45241792582048113</v>
      </c>
      <c r="O35" s="252">
        <f>MAX(O59*O$14,'Output - Jobs vs Yr (BAU)'!O11)</f>
        <v>0.46952226113856549</v>
      </c>
      <c r="P35" s="252">
        <f>MAX(P59*P$14,'Output - Jobs vs Yr (BAU)'!P11)</f>
        <v>0.48895553444856132</v>
      </c>
      <c r="Q35" s="252">
        <f>MAX(Q59*Q$14,'Output - Jobs vs Yr (BAU)'!Q11)</f>
        <v>0.51023633080890951</v>
      </c>
      <c r="R35" s="252">
        <f>MAX(R59*R$14,'Output - Jobs vs Yr (BAU)'!R11)</f>
        <v>0.53572688141031954</v>
      </c>
      <c r="S35" s="252">
        <f>MAX(S59*S$14,'Output - Jobs vs Yr (BAU)'!S11)</f>
        <v>0.56166365278731523</v>
      </c>
      <c r="T35" s="252">
        <f>MAX(T59*T$14,'Output - Jobs vs Yr (BAU)'!T11)</f>
        <v>0.58894256614082108</v>
      </c>
      <c r="U35" s="252">
        <f>MAX(U59*U$14,'Output - Jobs vs Yr (BAU)'!U11)</f>
        <v>0.61766836315977425</v>
      </c>
      <c r="V35" s="252">
        <f>MAX(V59*V$14,'Output - Jobs vs Yr (BAU)'!V11)</f>
        <v>0.64765771715564657</v>
      </c>
      <c r="W35" s="252">
        <f>MAX(W59*W$14,'Output - Jobs vs Yr (BAU)'!W11)</f>
        <v>0.67427320563991333</v>
      </c>
      <c r="X35" s="253">
        <f>Inputs!F19*'Output -Jobs vs Yr'!$X$14</f>
        <v>0.70051736293363998</v>
      </c>
      <c r="Y35" s="252">
        <f>MAX(Y59*Y$14,'Output - Jobs vs Yr (BAU)'!Y11)</f>
        <v>0.7233990373524215</v>
      </c>
      <c r="Z35" s="252">
        <f>MAX(Z59*Z$14,'Output - Jobs vs Yr (BAU)'!Z11)</f>
        <v>0.74744281172827842</v>
      </c>
      <c r="AA35" s="252">
        <f>MAX(AA59*AA$14,'Output - Jobs vs Yr (BAU)'!AA11)</f>
        <v>0.7725559573652202</v>
      </c>
      <c r="AB35" s="252">
        <f>MAX(AB59*AB$14,'Output - Jobs vs Yr (BAU)'!AB11)</f>
        <v>0.79860153599643735</v>
      </c>
      <c r="AC35" s="252">
        <f>MAX(AC59*AC$14,'Output - Jobs vs Yr (BAU)'!AC11)</f>
        <v>0.82563087836975557</v>
      </c>
      <c r="AD35" s="252">
        <f>MAX(AD59*AD$14,'Output - Jobs vs Yr (BAU)'!AD11)</f>
        <v>0.85398300219415901</v>
      </c>
      <c r="AE35" s="252">
        <f>MAX(AE59*AE$14,'Output - Jobs vs Yr (BAU)'!AE11)</f>
        <v>0.885100030184929</v>
      </c>
      <c r="AF35" s="252">
        <f>MAX(AF59*AF$14,'Output - Jobs vs Yr (BAU)'!AF11)</f>
        <v>0.91617079474722685</v>
      </c>
      <c r="AG35" s="252">
        <f>MAX(AG59*AG$14,'Output - Jobs vs Yr (BAU)'!AG11)</f>
        <v>0.9479242912018655</v>
      </c>
      <c r="AH35" s="253">
        <f>Inputs!I19*'Output -Jobs vs Yr'!$AH$14</f>
        <v>0.98016075468341657</v>
      </c>
      <c r="AI35" s="128"/>
    </row>
    <row r="36" spans="1:36">
      <c r="A36" s="9" t="s">
        <v>125</v>
      </c>
      <c r="B36" s="35">
        <v>1</v>
      </c>
      <c r="C36" s="300">
        <v>0</v>
      </c>
      <c r="D36" s="300">
        <v>0</v>
      </c>
      <c r="E36" s="300">
        <v>0</v>
      </c>
      <c r="F36" s="300">
        <v>0</v>
      </c>
      <c r="G36" s="300">
        <v>0</v>
      </c>
      <c r="H36" s="252">
        <v>0</v>
      </c>
      <c r="I36" s="118">
        <v>0</v>
      </c>
      <c r="J36" s="118">
        <v>0</v>
      </c>
      <c r="K36" s="118">
        <v>0</v>
      </c>
      <c r="L36" s="118">
        <v>0</v>
      </c>
      <c r="M36" s="118">
        <v>0</v>
      </c>
      <c r="N36" s="185">
        <v>0</v>
      </c>
      <c r="O36" s="118">
        <v>0</v>
      </c>
      <c r="P36" s="118">
        <v>0</v>
      </c>
      <c r="Q36" s="118">
        <v>0</v>
      </c>
      <c r="R36" s="118">
        <v>0</v>
      </c>
      <c r="S36" s="118">
        <v>0</v>
      </c>
      <c r="T36" s="118">
        <v>0</v>
      </c>
      <c r="U36" s="118">
        <v>0</v>
      </c>
      <c r="V36" s="118">
        <v>0</v>
      </c>
      <c r="W36" s="118">
        <v>0</v>
      </c>
      <c r="X36" s="185">
        <v>0</v>
      </c>
      <c r="Y36" s="175">
        <v>0</v>
      </c>
      <c r="Z36" s="175">
        <v>0</v>
      </c>
      <c r="AA36" s="175">
        <v>0</v>
      </c>
      <c r="AB36" s="175">
        <v>0</v>
      </c>
      <c r="AC36" s="175">
        <v>0</v>
      </c>
      <c r="AD36" s="175">
        <v>0</v>
      </c>
      <c r="AE36" s="175">
        <v>0</v>
      </c>
      <c r="AF36" s="175">
        <v>0</v>
      </c>
      <c r="AG36" s="175">
        <v>0</v>
      </c>
      <c r="AH36" s="185">
        <v>0</v>
      </c>
      <c r="AI36" s="128"/>
    </row>
    <row r="37" spans="1:36">
      <c r="A37" s="9" t="s">
        <v>53</v>
      </c>
      <c r="B37" s="35">
        <v>1</v>
      </c>
      <c r="C37" s="300">
        <f>EIA_RE_aeo2014!E75*1000</f>
        <v>1846</v>
      </c>
      <c r="D37" s="300">
        <f>MAX(D61*D$14,'Output - Jobs vs Yr (BAU)'!D12)</f>
        <v>2408.6380314671451</v>
      </c>
      <c r="E37" s="300">
        <f>MAX(E61*E$14,'Output - Jobs vs Yr (BAU)'!E12)</f>
        <v>2675.7312345408086</v>
      </c>
      <c r="F37" s="300">
        <f>MAX(F61*F$14,'Output - Jobs vs Yr (BAU)'!F12)</f>
        <v>3331.4091823456461</v>
      </c>
      <c r="G37" s="300">
        <f>MAX(G61*G$14,'Output - Jobs vs Yr (BAU)'!G12)</f>
        <v>3989.6475163234768</v>
      </c>
      <c r="H37" s="252">
        <f>'Output - Jobs vs Yr (BAU)'!H12</f>
        <v>2749.3829999999998</v>
      </c>
      <c r="I37" s="118">
        <f>MAX(I61*I$14,'Output - Jobs vs Yr (BAU)'!I12)</f>
        <v>3457.963385154354</v>
      </c>
      <c r="J37" s="118">
        <f>MAX(J61*J$14,'Output - Jobs vs Yr (BAU)'!J12)</f>
        <v>4322.0856267997378</v>
      </c>
      <c r="K37" s="118">
        <f>MAX(K61*K$14,'Output - Jobs vs Yr (BAU)'!K12)</f>
        <v>5427.9554426087725</v>
      </c>
      <c r="L37" s="118">
        <f>MAX(L61*L$14,'Output - Jobs vs Yr (BAU)'!L12)</f>
        <v>6803.0202565636355</v>
      </c>
      <c r="M37" s="118">
        <f>MAX(M61*M$14,'Output - Jobs vs Yr (BAU)'!M12)</f>
        <v>8525.9384825745328</v>
      </c>
      <c r="N37" s="185">
        <f>MAX(Inputs!$E20*N$21,'Output - Jobs vs Yr (BAU)'!N12)</f>
        <v>10574.830170665702</v>
      </c>
      <c r="O37" s="175">
        <f>MAX(O61*O$14,'Output - Jobs vs Yr (BAU)'!O12)</f>
        <v>10974.62741752066</v>
      </c>
      <c r="P37" s="175">
        <f>MAX(P61*P$14,'Output - Jobs vs Yr (BAU)'!P12)</f>
        <v>11428.861330866703</v>
      </c>
      <c r="Q37" s="175">
        <f>MAX(Q61*Q$14,'Output - Jobs vs Yr (BAU)'!Q12)</f>
        <v>11926.279303417372</v>
      </c>
      <c r="R37" s="175">
        <f>MAX(R61*R$14,'Output - Jobs vs Yr (BAU)'!R12)</f>
        <v>12522.096197891247</v>
      </c>
      <c r="S37" s="175">
        <f>MAX(S61*S$14,'Output - Jobs vs Yr (BAU)'!S12)</f>
        <v>13128.343070160287</v>
      </c>
      <c r="T37" s="175">
        <f>MAX(T61*T$14,'Output - Jobs vs Yr (BAU)'!T12)</f>
        <v>13765.961209252531</v>
      </c>
      <c r="U37" s="175">
        <f>MAX(U61*U$14,'Output - Jobs vs Yr (BAU)'!U12)</f>
        <v>14437.398850547454</v>
      </c>
      <c r="V37" s="175">
        <f>MAX(V61*V$14,'Output - Jobs vs Yr (BAU)'!V12)</f>
        <v>15138.370910527596</v>
      </c>
      <c r="W37" s="175">
        <f>MAX(W61*W$14,'Output - Jobs vs Yr (BAU)'!W12)</f>
        <v>15760.482136823503</v>
      </c>
      <c r="X37" s="185">
        <f>Inputs!F20*'Output -Jobs vs Yr'!$X$14</f>
        <v>16373.913856731793</v>
      </c>
      <c r="Y37" s="175">
        <f>MAX(Y61*Y$14,'Output - Jobs vs Yr (BAU)'!Y12)</f>
        <v>16908.750801046626</v>
      </c>
      <c r="Z37" s="175">
        <f>MAX(Z61*Z$14,'Output - Jobs vs Yr (BAU)'!Z12)</f>
        <v>17470.750704621136</v>
      </c>
      <c r="AA37" s="175">
        <f>MAX(AA61*AA$14,'Output - Jobs vs Yr (BAU)'!AA12)</f>
        <v>18057.746124133384</v>
      </c>
      <c r="AB37" s="175">
        <f>MAX(AB61*AB$14,'Output - Jobs vs Yr (BAU)'!AB12)</f>
        <v>18666.536260426812</v>
      </c>
      <c r="AC37" s="175">
        <f>MAX(AC61*AC$14,'Output - Jobs vs Yr (BAU)'!AC12)</f>
        <v>19298.320919941023</v>
      </c>
      <c r="AD37" s="175">
        <f>MAX(AD61*AD$14,'Output - Jobs vs Yr (BAU)'!AD12)</f>
        <v>19961.024312776346</v>
      </c>
      <c r="AE37" s="175">
        <f>MAX(AE61*AE$14,'Output - Jobs vs Yr (BAU)'!AE12)</f>
        <v>20688.354658543445</v>
      </c>
      <c r="AF37" s="175">
        <f>MAX(AF61*AF$14,'Output - Jobs vs Yr (BAU)'!AF12)</f>
        <v>21414.603641545527</v>
      </c>
      <c r="AG37" s="175">
        <f>MAX(AG61*AG$14,'Output - Jobs vs Yr (BAU)'!AG12)</f>
        <v>22156.810820281149</v>
      </c>
      <c r="AH37" s="185">
        <f>Inputs!I20*'Output -Jobs vs Yr'!$AH$14</f>
        <v>22910.306884792823</v>
      </c>
      <c r="AI37" s="128"/>
    </row>
    <row r="38" spans="1:36" s="20" customFormat="1">
      <c r="A38" s="9" t="s">
        <v>353</v>
      </c>
      <c r="B38" s="35">
        <v>1</v>
      </c>
      <c r="C38" s="300">
        <f>'Output - Jobs vs Yr (BAU)'!C13</f>
        <v>0</v>
      </c>
      <c r="D38" s="300">
        <f>MAX(D62*D$14,'Output - Jobs vs Yr (BAU)'!D13)</f>
        <v>0</v>
      </c>
      <c r="E38" s="300">
        <f>MAX(E62*E$14,'Output - Jobs vs Yr (BAU)'!E13)</f>
        <v>166.309</v>
      </c>
      <c r="F38" s="300">
        <f>MAX(F62*F$14,'Output - Jobs vs Yr (BAU)'!F13)</f>
        <v>280.57500000000005</v>
      </c>
      <c r="G38" s="300">
        <f>MAX(G62*G$14,'Output - Jobs vs Yr (BAU)'!G13)</f>
        <v>404.88600000000002</v>
      </c>
      <c r="H38" s="252">
        <f>'Output - Jobs vs Yr (BAU)'!H13</f>
        <v>574.38100000000009</v>
      </c>
      <c r="I38" s="118">
        <f>MAX(I62*I$14,'Output - Jobs vs Yr (BAU)'!I13)</f>
        <v>826.4987328415483</v>
      </c>
      <c r="J38" s="118">
        <f>MAX(J62*J$14,'Output - Jobs vs Yr (BAU)'!J13)</f>
        <v>1181.8766365145891</v>
      </c>
      <c r="K38" s="118">
        <f>MAX(K62*K$14,'Output - Jobs vs Yr (BAU)'!K13)</f>
        <v>1698.1342995051782</v>
      </c>
      <c r="L38" s="118">
        <f>MAX(L62*L$14,'Output - Jobs vs Yr (BAU)'!L13)</f>
        <v>2434.9749824953992</v>
      </c>
      <c r="M38" s="118">
        <f>MAX(M62*M$14,'Output - Jobs vs Yr (BAU)'!M13)</f>
        <v>3491.3381453371139</v>
      </c>
      <c r="N38" s="185">
        <f>MAX(Inputs!$E21*N$21,'Output - Jobs vs Yr (BAU)'!N13)</f>
        <v>4954.2748835653101</v>
      </c>
      <c r="O38" s="175">
        <f>MAX(O62*O$14,'Output - Jobs vs Yr (BAU)'!O13)</f>
        <v>5141.5786441596465</v>
      </c>
      <c r="P38" s="175">
        <f>MAX(P62*P$14,'Output - Jobs vs Yr (BAU)'!P13)</f>
        <v>5354.3858128644861</v>
      </c>
      <c r="Q38" s="175">
        <f>MAX(Q62*Q$14,'Output - Jobs vs Yr (BAU)'!Q13)</f>
        <v>5587.4245783358965</v>
      </c>
      <c r="R38" s="175">
        <f>MAX(R62*R$14,'Output - Jobs vs Yr (BAU)'!R13)</f>
        <v>5866.5629311847333</v>
      </c>
      <c r="S38" s="175">
        <f>MAX(S62*S$14,'Output - Jobs vs Yr (BAU)'!S13)</f>
        <v>6150.5876960319456</v>
      </c>
      <c r="T38" s="175">
        <f>MAX(T62*T$14,'Output - Jobs vs Yr (BAU)'!T13)</f>
        <v>6449.3098013356466</v>
      </c>
      <c r="U38" s="175">
        <f>MAX(U62*U$14,'Output - Jobs vs Yr (BAU)'!U13)</f>
        <v>6763.876237719217</v>
      </c>
      <c r="V38" s="175">
        <f>MAX(V62*V$14,'Output - Jobs vs Yr (BAU)'!V13)</f>
        <v>7092.2794569476573</v>
      </c>
      <c r="W38" s="175">
        <f>MAX(W62*W$14,'Output - Jobs vs Yr (BAU)'!W13)</f>
        <v>7383.7366220727781</v>
      </c>
      <c r="X38" s="185">
        <f>Inputs!F21*'Output -Jobs vs Yr'!$X$14</f>
        <v>7671.1274655828938</v>
      </c>
      <c r="Y38" s="175">
        <f>MAX(Y62*Y$14,'Output - Jobs vs Yr (BAU)'!Y13)</f>
        <v>7921.6969023736683</v>
      </c>
      <c r="Z38" s="175">
        <f>MAX(Z62*Z$14,'Output - Jobs vs Yr (BAU)'!Z13)</f>
        <v>8184.9921006803906</v>
      </c>
      <c r="AA38" s="175">
        <f>MAX(AA62*AA$14,'Output - Jobs vs Yr (BAU)'!AA13)</f>
        <v>8459.9976200810233</v>
      </c>
      <c r="AB38" s="175">
        <f>MAX(AB62*AB$14,'Output - Jobs vs Yr (BAU)'!AB13)</f>
        <v>8745.2138961747478</v>
      </c>
      <c r="AC38" s="175">
        <f>MAX(AC62*AC$14,'Output - Jobs vs Yr (BAU)'!AC13)</f>
        <v>9041.2030345285475</v>
      </c>
      <c r="AD38" s="175">
        <f>MAX(AD62*AD$14,'Output - Jobs vs Yr (BAU)'!AD13)</f>
        <v>9351.6775028074899</v>
      </c>
      <c r="AE38" s="175">
        <f>MAX(AE62*AE$14,'Output - Jobs vs Yr (BAU)'!AE13)</f>
        <v>9692.4294965448971</v>
      </c>
      <c r="AF38" s="175">
        <f>MAX(AF62*AF$14,'Output - Jobs vs Yr (BAU)'!AF13)</f>
        <v>10032.674875206669</v>
      </c>
      <c r="AG38" s="175">
        <f>MAX(AG62*AG$14,'Output - Jobs vs Yr (BAU)'!AG13)</f>
        <v>10380.396618692623</v>
      </c>
      <c r="AH38" s="185">
        <f>Inputs!I21*'Output -Jobs vs Yr'!$AH$14</f>
        <v>10733.407169881502</v>
      </c>
      <c r="AI38" s="128"/>
    </row>
    <row r="39" spans="1:36" s="20" customFormat="1">
      <c r="A39" s="9" t="s">
        <v>354</v>
      </c>
      <c r="B39" s="35">
        <v>1</v>
      </c>
      <c r="C39" s="300">
        <f>'Output - Jobs vs Yr (BAU)'!C14</f>
        <v>0</v>
      </c>
      <c r="D39" s="300">
        <f>MAX(D63*D$14,'Output - Jobs vs Yr (BAU)'!D14)</f>
        <v>0</v>
      </c>
      <c r="E39" s="300">
        <f>MAX(E63*E$14,'Output - Jobs vs Yr (BAU)'!E14)</f>
        <v>29</v>
      </c>
      <c r="F39" s="300">
        <f>MAX(F63*F$14,'Output - Jobs vs Yr (BAU)'!F14)</f>
        <v>88</v>
      </c>
      <c r="G39" s="300">
        <f>MAX(G63*G$14,'Output - Jobs vs Yr (BAU)'!G14)</f>
        <v>0.1</v>
      </c>
      <c r="H39" s="252">
        <f>'Output - Jobs vs Yr (BAU)'!H14</f>
        <v>0.1</v>
      </c>
      <c r="I39" s="118">
        <f>MAX(I63*I$14,'Output - Jobs vs Yr (BAU)'!I14)</f>
        <v>0.12922169153029336</v>
      </c>
      <c r="J39" s="118">
        <f>MAX(J63*J$14,'Output - Jobs vs Yr (BAU)'!J14)</f>
        <v>0.16594289876087417</v>
      </c>
      <c r="K39" s="118">
        <f>MAX(K63*K$14,'Output - Jobs vs Yr (BAU)'!K14)</f>
        <v>0.21411734710520416</v>
      </c>
      <c r="L39" s="118">
        <f>MAX(L63*L$14,'Output - Jobs vs Yr (BAU)'!L14)</f>
        <v>0.27571958641203453</v>
      </c>
      <c r="M39" s="118">
        <f>MAX(M63*M$14,'Output - Jobs vs Yr (BAU)'!M14)</f>
        <v>0.3550244990698021</v>
      </c>
      <c r="N39" s="185">
        <f>MAX(Inputs!$E22*N$21,'Output - Jobs vs Yr (BAU)'!N14)</f>
        <v>0.45241792582048113</v>
      </c>
      <c r="O39" s="175">
        <f>MAX(O63*O$14,'Output - Jobs vs Yr (BAU)'!O14)</f>
        <v>0.46952226113856549</v>
      </c>
      <c r="P39" s="175">
        <f>MAX(P63*P$14,'Output - Jobs vs Yr (BAU)'!P14)</f>
        <v>0.48895553444856132</v>
      </c>
      <c r="Q39" s="175">
        <f>MAX(Q63*Q$14,'Output - Jobs vs Yr (BAU)'!Q14)</f>
        <v>0.51023633080890951</v>
      </c>
      <c r="R39" s="175">
        <f>MAX(R63*R$14,'Output - Jobs vs Yr (BAU)'!R14)</f>
        <v>0.53572688141031954</v>
      </c>
      <c r="S39" s="175">
        <f>MAX(S63*S$14,'Output - Jobs vs Yr (BAU)'!S14)</f>
        <v>0.56166365278731523</v>
      </c>
      <c r="T39" s="175">
        <f>MAX(T63*T$14,'Output - Jobs vs Yr (BAU)'!T14)</f>
        <v>0.58894256614082108</v>
      </c>
      <c r="U39" s="175">
        <f>MAX(U63*U$14,'Output - Jobs vs Yr (BAU)'!U14)</f>
        <v>0.61766836315977425</v>
      </c>
      <c r="V39" s="175">
        <f>MAX(V63*V$14,'Output - Jobs vs Yr (BAU)'!V14)</f>
        <v>0.64765771715564657</v>
      </c>
      <c r="W39" s="175">
        <f>MAX(W63*W$14,'Output - Jobs vs Yr (BAU)'!W14)</f>
        <v>0.67427320563991333</v>
      </c>
      <c r="X39" s="185">
        <f>Inputs!F22*'Output -Jobs vs Yr'!$X$14</f>
        <v>0.70051736293363998</v>
      </c>
      <c r="Y39" s="175">
        <f>MAX(Y63*Y$14,'Output - Jobs vs Yr (BAU)'!Y14)</f>
        <v>0.7233990373524215</v>
      </c>
      <c r="Z39" s="175">
        <f>MAX(Z63*Z$14,'Output - Jobs vs Yr (BAU)'!Z14)</f>
        <v>0.74744281172827842</v>
      </c>
      <c r="AA39" s="175">
        <f>MAX(AA63*AA$14,'Output - Jobs vs Yr (BAU)'!AA14)</f>
        <v>0.7725559573652202</v>
      </c>
      <c r="AB39" s="175">
        <f>MAX(AB63*AB$14,'Output - Jobs vs Yr (BAU)'!AB14)</f>
        <v>0.79860153599643735</v>
      </c>
      <c r="AC39" s="175">
        <f>MAX(AC63*AC$14,'Output - Jobs vs Yr (BAU)'!AC14)</f>
        <v>0.82563087836975557</v>
      </c>
      <c r="AD39" s="175">
        <f>MAX(AD63*AD$14,'Output - Jobs vs Yr (BAU)'!AD14)</f>
        <v>0.85398300219415901</v>
      </c>
      <c r="AE39" s="175">
        <f>MAX(AE63*AE$14,'Output - Jobs vs Yr (BAU)'!AE14)</f>
        <v>0.885100030184929</v>
      </c>
      <c r="AF39" s="175">
        <f>MAX(AF63*AF$14,'Output - Jobs vs Yr (BAU)'!AF14)</f>
        <v>0.91617079474722685</v>
      </c>
      <c r="AG39" s="175">
        <f>MAX(AG63*AG$14,'Output - Jobs vs Yr (BAU)'!AG14)</f>
        <v>0.9479242912018655</v>
      </c>
      <c r="AH39" s="185">
        <f>Inputs!I22*'Output -Jobs vs Yr'!$AH$14</f>
        <v>0.98016075468341657</v>
      </c>
      <c r="AI39" s="128"/>
    </row>
    <row r="40" spans="1:36" s="20" customFormat="1">
      <c r="A40" s="9" t="s">
        <v>350</v>
      </c>
      <c r="B40" s="35">
        <v>1</v>
      </c>
      <c r="C40" s="300">
        <f>'Output - Jobs vs Yr (BAU)'!C15</f>
        <v>1E-4</v>
      </c>
      <c r="D40" s="300">
        <f>MAX(D64*D$14,'Output - Jobs vs Yr (BAU)'!D15)</f>
        <v>1.3405719161193645E-4</v>
      </c>
      <c r="E40" s="300">
        <f>MAX(E64*E$14,'Output - Jobs vs Yr (BAU)'!E15)</f>
        <v>1.5300701416617955E-4</v>
      </c>
      <c r="F40" s="300">
        <f>MAX(F64*F$14,'Output - Jobs vs Yr (BAU)'!F15)</f>
        <v>1.957253618783534E-4</v>
      </c>
      <c r="G40" s="300">
        <f>MAX(G64*G$14,'Output - Jobs vs Yr (BAU)'!G15)</f>
        <v>2.408263082628483E-4</v>
      </c>
      <c r="H40" s="252">
        <f>'Output - Jobs vs Yr (BAU)'!H15</f>
        <v>1E-4</v>
      </c>
      <c r="I40" s="118">
        <f>MAX(I64*I$14,'Output - Jobs vs Yr (BAU)'!I15)</f>
        <v>1.2922169153029337E-4</v>
      </c>
      <c r="J40" s="118">
        <f>MAX(J64*J$14,'Output - Jobs vs Yr (BAU)'!J15)</f>
        <v>1.6594289876087416E-4</v>
      </c>
      <c r="K40" s="118">
        <f>MAX(K64*K$14,'Output - Jobs vs Yr (BAU)'!K15)</f>
        <v>2.1411734710520414E-4</v>
      </c>
      <c r="L40" s="118">
        <f>MAX(L64*L$14,'Output - Jobs vs Yr (BAU)'!L15)</f>
        <v>2.7571958641203444E-4</v>
      </c>
      <c r="M40" s="118">
        <f>MAX(M64*M$14,'Output - Jobs vs Yr (BAU)'!M15)</f>
        <v>3.5502449906980204E-4</v>
      </c>
      <c r="N40" s="185">
        <f>MAX(Inputs!$E18*N$21,'Output - Jobs vs Yr (BAU)'!N15)</f>
        <v>4.5241792582048109E-4</v>
      </c>
      <c r="O40" s="175">
        <f>MAX(O64*O$14,'Output - Jobs vs Yr (BAU)'!O15)</f>
        <v>4.6952226113856541E-4</v>
      </c>
      <c r="P40" s="175">
        <f>MAX(P64*P$14,'Output - Jobs vs Yr (BAU)'!P15)</f>
        <v>4.8895553444856126E-4</v>
      </c>
      <c r="Q40" s="175">
        <f>MAX(Q64*Q$14,'Output - Jobs vs Yr (BAU)'!Q15)</f>
        <v>5.1023633080890952E-4</v>
      </c>
      <c r="R40" s="175">
        <f>MAX(R64*R$14,'Output - Jobs vs Yr (BAU)'!R15)</f>
        <v>5.3572688141031955E-4</v>
      </c>
      <c r="S40" s="175">
        <f>MAX(S64*S$14,'Output - Jobs vs Yr (BAU)'!S15)</f>
        <v>5.6166365278731531E-4</v>
      </c>
      <c r="T40" s="175">
        <f>MAX(T64*T$14,'Output - Jobs vs Yr (BAU)'!T15)</f>
        <v>5.8894256614082103E-4</v>
      </c>
      <c r="U40" s="175">
        <f>MAX(U64*U$14,'Output - Jobs vs Yr (BAU)'!U15)</f>
        <v>6.1766836315977432E-4</v>
      </c>
      <c r="V40" s="175">
        <f>MAX(V64*V$14,'Output - Jobs vs Yr (BAU)'!V15)</f>
        <v>6.4765771715564677E-4</v>
      </c>
      <c r="W40" s="175">
        <f>MAX(W64*W$14,'Output - Jobs vs Yr (BAU)'!W15)</f>
        <v>6.742732056399136E-4</v>
      </c>
      <c r="X40" s="185">
        <f>Inputs!F18*'Output -Jobs vs Yr'!$X$14</f>
        <v>7.0051736293364007E-4</v>
      </c>
      <c r="Y40" s="175">
        <f>MAX(Y64*Y$14,'Output - Jobs vs Yr (BAU)'!Y15)</f>
        <v>7.2339903735242151E-4</v>
      </c>
      <c r="Z40" s="175">
        <f>MAX(Z64*Z$14,'Output - Jobs vs Yr (BAU)'!Z15)</f>
        <v>7.4744281172827852E-4</v>
      </c>
      <c r="AA40" s="175">
        <f>MAX(AA64*AA$14,'Output - Jobs vs Yr (BAU)'!AA15)</f>
        <v>7.7255595736522016E-4</v>
      </c>
      <c r="AB40" s="175">
        <f>MAX(AB64*AB$14,'Output - Jobs vs Yr (BAU)'!AB15)</f>
        <v>7.9860153599643747E-4</v>
      </c>
      <c r="AC40" s="175">
        <f>MAX(AC64*AC$14,'Output - Jobs vs Yr (BAU)'!AC15)</f>
        <v>8.2563087836975556E-4</v>
      </c>
      <c r="AD40" s="175">
        <f>MAX(AD64*AD$14,'Output - Jobs vs Yr (BAU)'!AD15)</f>
        <v>8.5398300219415913E-4</v>
      </c>
      <c r="AE40" s="175">
        <f>MAX(AE64*AE$14,'Output - Jobs vs Yr (BAU)'!AE15)</f>
        <v>8.851000301849292E-4</v>
      </c>
      <c r="AF40" s="175">
        <f>MAX(AF64*AF$14,'Output - Jobs vs Yr (BAU)'!AF15)</f>
        <v>9.1617079474722691E-4</v>
      </c>
      <c r="AG40" s="175">
        <f>MAX(AG64*AG$14,'Output - Jobs vs Yr (BAU)'!AG15)</f>
        <v>9.4792429120186563E-4</v>
      </c>
      <c r="AH40" s="185">
        <f>Inputs!I18*'Output -Jobs vs Yr'!$AH$14</f>
        <v>9.8016075468341656E-4</v>
      </c>
      <c r="AI40" s="128"/>
    </row>
    <row r="41" spans="1:36" s="218" customFormat="1">
      <c r="A41" s="10" t="s">
        <v>126</v>
      </c>
      <c r="B41" s="37">
        <v>1</v>
      </c>
      <c r="C41" s="300">
        <v>0</v>
      </c>
      <c r="D41" s="300">
        <v>0</v>
      </c>
      <c r="E41" s="300">
        <v>0</v>
      </c>
      <c r="F41" s="300">
        <v>0</v>
      </c>
      <c r="G41" s="300">
        <v>0</v>
      </c>
      <c r="H41" s="252">
        <v>1</v>
      </c>
      <c r="I41" s="252">
        <v>2</v>
      </c>
      <c r="J41" s="252">
        <v>3</v>
      </c>
      <c r="K41" s="252">
        <v>4</v>
      </c>
      <c r="L41" s="252">
        <v>5</v>
      </c>
      <c r="M41" s="252">
        <v>6</v>
      </c>
      <c r="N41" s="253">
        <v>7</v>
      </c>
      <c r="O41" s="252">
        <v>8</v>
      </c>
      <c r="P41" s="252">
        <v>9</v>
      </c>
      <c r="Q41" s="252">
        <v>10</v>
      </c>
      <c r="R41" s="252">
        <v>11</v>
      </c>
      <c r="S41" s="252">
        <v>12</v>
      </c>
      <c r="T41" s="252">
        <v>13</v>
      </c>
      <c r="U41" s="252">
        <v>14</v>
      </c>
      <c r="V41" s="252">
        <v>15</v>
      </c>
      <c r="W41" s="252">
        <v>16</v>
      </c>
      <c r="X41" s="253">
        <v>17</v>
      </c>
      <c r="Y41" s="218">
        <v>18</v>
      </c>
      <c r="Z41" s="218">
        <v>19</v>
      </c>
      <c r="AA41" s="218">
        <v>20</v>
      </c>
      <c r="AB41" s="218">
        <v>21</v>
      </c>
      <c r="AC41" s="218">
        <v>22</v>
      </c>
      <c r="AD41" s="198">
        <v>23</v>
      </c>
      <c r="AE41" s="218">
        <v>24</v>
      </c>
      <c r="AF41" s="218">
        <v>25</v>
      </c>
      <c r="AG41" s="218">
        <v>26</v>
      </c>
      <c r="AH41" s="253">
        <v>27</v>
      </c>
      <c r="AI41" s="218">
        <f>EXP(0.01)</f>
        <v>1.0100501670841679</v>
      </c>
      <c r="AJ41" s="396">
        <v>0.01</v>
      </c>
    </row>
    <row r="42" spans="1:36" s="20" customFormat="1">
      <c r="A42" s="9" t="s">
        <v>55</v>
      </c>
      <c r="B42" s="35">
        <v>1</v>
      </c>
      <c r="C42" s="300">
        <f>EIA_RE_aeo2014!E78*1000</f>
        <v>0.1</v>
      </c>
      <c r="D42" s="300">
        <f>MAX(D66*D$14,'Output - Jobs vs Yr (BAU)'!D16)</f>
        <v>0.13405719161193647</v>
      </c>
      <c r="E42" s="300">
        <f>MAX(E66*E$14,'Output - Jobs vs Yr (BAU)'!E16)</f>
        <v>0.15300701416617957</v>
      </c>
      <c r="F42" s="300">
        <f>MAX(F66*F$14,'Output - Jobs vs Yr (BAU)'!F16)</f>
        <v>0.1957253618783534</v>
      </c>
      <c r="G42" s="300">
        <f>MAX(G66*G$14,'Output - Jobs vs Yr (BAU)'!G16)</f>
        <v>0.24082630826284834</v>
      </c>
      <c r="H42" s="252">
        <f>'Output - Jobs vs Yr (BAU)'!H16</f>
        <v>5.0000000000000001E-3</v>
      </c>
      <c r="I42" s="118">
        <f>MAX(I66*I$14,'Output - Jobs vs Yr (BAU)'!I16)</f>
        <v>6.4610845765146682E-3</v>
      </c>
      <c r="J42" s="118">
        <f>MAX(J66*J$14,'Output - Jobs vs Yr (BAU)'!J16)</f>
        <v>8.297144938043708E-3</v>
      </c>
      <c r="K42" s="118">
        <f>MAX(K66*K$14,'Output - Jobs vs Yr (BAU)'!K16)</f>
        <v>1.0705867355260208E-2</v>
      </c>
      <c r="L42" s="118">
        <f>MAX(L66*L$14,'Output - Jobs vs Yr (BAU)'!L16)</f>
        <v>1.3785979320601724E-2</v>
      </c>
      <c r="M42" s="118">
        <f>MAX(M66*M$14,'Output - Jobs vs Yr (BAU)'!M16)</f>
        <v>1.7751224953490102E-2</v>
      </c>
      <c r="N42" s="185">
        <f>MAX(Inputs!$E23*N$21,'Output - Jobs vs Yr (BAU)'!N16)</f>
        <v>2.2620896291024054E-2</v>
      </c>
      <c r="O42" s="175">
        <f>MAX(O66*O$14,'Output - Jobs vs Yr (BAU)'!O16)</f>
        <v>2.3476113056928271E-2</v>
      </c>
      <c r="P42" s="175">
        <f>MAX(P66*P$14,'Output - Jobs vs Yr (BAU)'!P16)</f>
        <v>2.4447776722428063E-2</v>
      </c>
      <c r="Q42" s="175">
        <f>MAX(Q66*Q$14,'Output - Jobs vs Yr (BAU)'!Q16)</f>
        <v>2.5511816540445473E-2</v>
      </c>
      <c r="R42" s="175">
        <f>MAX(R66*R$14,'Output - Jobs vs Yr (BAU)'!R16)</f>
        <v>2.6786344070515972E-2</v>
      </c>
      <c r="S42" s="175">
        <f>MAX(S66*S$14,'Output - Jobs vs Yr (BAU)'!S16)</f>
        <v>2.8083182639365756E-2</v>
      </c>
      <c r="T42" s="175">
        <f>MAX(T66*T$14,'Output - Jobs vs Yr (BAU)'!T16)</f>
        <v>2.9447128307041045E-2</v>
      </c>
      <c r="U42" s="175">
        <f>MAX(U66*U$14,'Output - Jobs vs Yr (BAU)'!U16)</f>
        <v>3.0883418157988705E-2</v>
      </c>
      <c r="V42" s="175">
        <f>MAX(V66*V$14,'Output - Jobs vs Yr (BAU)'!V16)</f>
        <v>3.2382885857782324E-2</v>
      </c>
      <c r="W42" s="175">
        <f>MAX(W66*W$14,'Output - Jobs vs Yr (BAU)'!W16)</f>
        <v>3.3713660281995662E-2</v>
      </c>
      <c r="X42" s="185">
        <f>Inputs!F23*'Output -Jobs vs Yr'!$X$14</f>
        <v>3.5025868146682002E-2</v>
      </c>
      <c r="Y42" s="175">
        <f>MAX(Y66*Y$14,'Output - Jobs vs Yr (BAU)'!Y16)</f>
        <v>3.6169951867621078E-2</v>
      </c>
      <c r="Z42" s="175">
        <f>MAX(Z66*Z$14,'Output - Jobs vs Yr (BAU)'!Z16)</f>
        <v>3.7372140586413929E-2</v>
      </c>
      <c r="AA42" s="175">
        <f>MAX(AA66*AA$14,'Output - Jobs vs Yr (BAU)'!AA16)</f>
        <v>3.8627797868261017E-2</v>
      </c>
      <c r="AB42" s="175">
        <f>MAX(AB66*AB$14,'Output - Jobs vs Yr (BAU)'!AB16)</f>
        <v>3.993007679982187E-2</v>
      </c>
      <c r="AC42" s="175">
        <f>MAX(AC66*AC$14,'Output - Jobs vs Yr (BAU)'!AC16)</f>
        <v>4.1281543918487776E-2</v>
      </c>
      <c r="AD42" s="175">
        <f>MAX(AD66*AD$14,'Output - Jobs vs Yr (BAU)'!AD16)</f>
        <v>4.5000000000000005E-2</v>
      </c>
      <c r="AE42" s="175">
        <f>MAX(AE66*AE$14,'Output - Jobs vs Yr (BAU)'!AE16)</f>
        <v>7.2000000000000008E-2</v>
      </c>
      <c r="AF42" s="175">
        <f>MAX(AF66*AF$14,'Output - Jobs vs Yr (BAU)'!AF16)</f>
        <v>0.11900000000000001</v>
      </c>
      <c r="AG42" s="175">
        <f>MAX(AG66*AG$14,'Output - Jobs vs Yr (BAU)'!AG16)</f>
        <v>0.20300000000000001</v>
      </c>
      <c r="AH42" s="185">
        <f>Inputs!I23*'Output -Jobs vs Yr'!$AH$14</f>
        <v>4.9008037734170833E-2</v>
      </c>
      <c r="AI42" s="128"/>
    </row>
    <row r="43" spans="1:36">
      <c r="A43" s="10" t="s">
        <v>338</v>
      </c>
      <c r="B43" s="37"/>
      <c r="C43" s="300">
        <f>SUM(C31:C42)</f>
        <v>33656.199999999997</v>
      </c>
      <c r="D43" s="300">
        <f t="shared" ref="D43:AG43" si="28">SUM(D31:D42)</f>
        <v>36458.989658607614</v>
      </c>
      <c r="E43" s="300">
        <f t="shared" si="28"/>
        <v>34166.549064939994</v>
      </c>
      <c r="F43" s="300">
        <f t="shared" si="28"/>
        <v>36283.3712087721</v>
      </c>
      <c r="G43" s="300">
        <f t="shared" si="28"/>
        <v>37459.09937019553</v>
      </c>
      <c r="H43" s="252">
        <f t="shared" si="28"/>
        <v>30032.476000000002</v>
      </c>
      <c r="I43" s="83">
        <f t="shared" si="28"/>
        <v>32189.685913261324</v>
      </c>
      <c r="J43" s="83">
        <f t="shared" si="28"/>
        <v>34755.125745052042</v>
      </c>
      <c r="K43" s="83">
        <f t="shared" si="28"/>
        <v>38299.260374411293</v>
      </c>
      <c r="L43" s="83">
        <f t="shared" si="28"/>
        <v>42866.444921536335</v>
      </c>
      <c r="M43" s="83">
        <f t="shared" si="28"/>
        <v>48901.213136631057</v>
      </c>
      <c r="N43" s="185">
        <f t="shared" si="28"/>
        <v>56329.085850000003</v>
      </c>
      <c r="O43" s="83">
        <f t="shared" si="28"/>
        <v>57584.764537000425</v>
      </c>
      <c r="P43" s="83">
        <f t="shared" si="28"/>
        <v>59087.763576500336</v>
      </c>
      <c r="Q43" s="83">
        <f t="shared" si="28"/>
        <v>60770.716905578935</v>
      </c>
      <c r="R43" s="83">
        <f t="shared" si="28"/>
        <v>62904.038028534211</v>
      </c>
      <c r="S43" s="83">
        <f t="shared" si="28"/>
        <v>65034.069454628014</v>
      </c>
      <c r="T43" s="83">
        <f t="shared" si="28"/>
        <v>67264.186424539686</v>
      </c>
      <c r="U43" s="83">
        <f t="shared" si="28"/>
        <v>69603.151601562728</v>
      </c>
      <c r="V43" s="83">
        <f t="shared" si="28"/>
        <v>72027.339150259475</v>
      </c>
      <c r="W43" s="83">
        <f t="shared" si="28"/>
        <v>74025.553666839871</v>
      </c>
      <c r="X43" s="185">
        <f t="shared" si="28"/>
        <v>75940.438299999994</v>
      </c>
      <c r="Y43" s="175">
        <f t="shared" si="28"/>
        <v>80001.24652622611</v>
      </c>
      <c r="Z43" s="175">
        <f t="shared" si="28"/>
        <v>84206.601605928998</v>
      </c>
      <c r="AA43" s="175">
        <f t="shared" si="28"/>
        <v>88547.869344997744</v>
      </c>
      <c r="AB43" s="175">
        <f t="shared" si="28"/>
        <v>93010.104341453814</v>
      </c>
      <c r="AC43" s="175">
        <f t="shared" si="28"/>
        <v>97599.269017179162</v>
      </c>
      <c r="AD43" s="175">
        <f t="shared" si="28"/>
        <v>102355.86281984011</v>
      </c>
      <c r="AE43" s="175">
        <f t="shared" si="28"/>
        <v>107456.11196014989</v>
      </c>
      <c r="AF43" s="175">
        <f t="shared" si="28"/>
        <v>112561.71393529032</v>
      </c>
      <c r="AG43" s="175">
        <f t="shared" si="28"/>
        <v>117757.52141375566</v>
      </c>
      <c r="AH43" s="185">
        <f>SUM(AH31:AH42)</f>
        <v>123015.62664999999</v>
      </c>
      <c r="AI43" s="128"/>
    </row>
    <row r="44" spans="1:36">
      <c r="A44" s="10" t="s">
        <v>130</v>
      </c>
      <c r="B44" s="37"/>
      <c r="C44" s="301">
        <f>SUMPRODUCT($B34:$B42,C34:C42)</f>
        <v>4330.2001000000009</v>
      </c>
      <c r="D44" s="301">
        <f>SUMPRODUCT($B34:$B42,D34:D42)</f>
        <v>5913.5255643306509</v>
      </c>
      <c r="E44" s="301">
        <f t="shared" ref="E44:AG44" si="29">SUMPRODUCT($B34:$B42*E34:E42)</f>
        <v>7081.1439164209341</v>
      </c>
      <c r="F44" s="301">
        <f t="shared" si="29"/>
        <v>9367.9356091504815</v>
      </c>
      <c r="G44" s="301">
        <f t="shared" si="29"/>
        <v>11734.371992124483</v>
      </c>
      <c r="H44" s="373">
        <f t="shared" si="29"/>
        <v>5867.2001000000009</v>
      </c>
      <c r="I44" s="14">
        <f>SUMPRODUCT($B34:$B42*I34:I42)</f>
        <v>7744.1266906625006</v>
      </c>
      <c r="J44" s="14">
        <f t="shared" si="29"/>
        <v>10180.046285206641</v>
      </c>
      <c r="K44" s="14">
        <f t="shared" si="29"/>
        <v>13476.005944408054</v>
      </c>
      <c r="L44" s="14">
        <f t="shared" si="29"/>
        <v>17843.179132106394</v>
      </c>
      <c r="M44" s="14">
        <f t="shared" si="29"/>
        <v>23677.844016741477</v>
      </c>
      <c r="N44" s="183">
        <f t="shared" si="29"/>
        <v>31166.696950000001</v>
      </c>
      <c r="O44" s="14">
        <f t="shared" si="29"/>
        <v>32345.735826501477</v>
      </c>
      <c r="P44" s="14">
        <f t="shared" si="29"/>
        <v>33685.177281905417</v>
      </c>
      <c r="Q44" s="14">
        <f t="shared" si="29"/>
        <v>35151.864487469917</v>
      </c>
      <c r="R44" s="14">
        <f t="shared" si="29"/>
        <v>36908.493047916811</v>
      </c>
      <c r="S44" s="14">
        <f t="shared" si="29"/>
        <v>38695.854484641372</v>
      </c>
      <c r="T44" s="14">
        <f t="shared" si="29"/>
        <v>40575.654206555635</v>
      </c>
      <c r="U44" s="14">
        <f t="shared" si="29"/>
        <v>42555.106161425705</v>
      </c>
      <c r="V44" s="14">
        <f t="shared" si="29"/>
        <v>44621.583961720593</v>
      </c>
      <c r="W44" s="14">
        <f t="shared" si="29"/>
        <v>46455.691157554924</v>
      </c>
      <c r="X44" s="188">
        <f t="shared" si="29"/>
        <v>48264.223400000017</v>
      </c>
      <c r="Y44" s="14">
        <f t="shared" si="29"/>
        <v>49841.169002298513</v>
      </c>
      <c r="Z44" s="14">
        <f t="shared" si="29"/>
        <v>51498.15272957275</v>
      </c>
      <c r="AA44" s="14">
        <f t="shared" si="29"/>
        <v>53228.788013340927</v>
      </c>
      <c r="AB44" s="14">
        <f t="shared" si="29"/>
        <v>55023.643408359356</v>
      </c>
      <c r="AC44" s="14">
        <f t="shared" si="29"/>
        <v>56886.254253205909</v>
      </c>
      <c r="AD44" s="14">
        <f t="shared" si="29"/>
        <v>58839.972253052751</v>
      </c>
      <c r="AE44" s="14">
        <f t="shared" si="29"/>
        <v>60984.142579046274</v>
      </c>
      <c r="AF44" s="14">
        <f t="shared" si="29"/>
        <v>63125.146573813137</v>
      </c>
      <c r="AG44" s="14">
        <f t="shared" si="29"/>
        <v>65313.209806659659</v>
      </c>
      <c r="AH44" s="188">
        <f>SUMPRODUCT($B34:$B42*AH34:AH42)</f>
        <v>67534.298749999987</v>
      </c>
      <c r="AI44" s="128"/>
    </row>
    <row r="45" spans="1:36">
      <c r="A45" s="10" t="s">
        <v>123</v>
      </c>
      <c r="B45" s="37"/>
      <c r="C45" s="302">
        <f t="shared" ref="C45:AG45" si="30">C44/C14</f>
        <v>1.9868224697860943E-2</v>
      </c>
      <c r="D45" s="302">
        <f t="shared" si="30"/>
        <v>2.5813448883309182E-2</v>
      </c>
      <c r="E45" s="302">
        <f t="shared" si="30"/>
        <v>3.4539840493473001E-2</v>
      </c>
      <c r="F45" s="302">
        <f t="shared" si="30"/>
        <v>4.5557891284772299E-2</v>
      </c>
      <c r="G45" s="302">
        <f t="shared" si="30"/>
        <v>5.9150894962246549E-2</v>
      </c>
      <c r="H45" s="250">
        <f t="shared" si="30"/>
        <v>2.9691852151967204E-2</v>
      </c>
      <c r="I45" s="23">
        <f t="shared" si="30"/>
        <v>3.8679601551792335E-2</v>
      </c>
      <c r="J45" s="23">
        <f t="shared" si="30"/>
        <v>5.0498051310919195E-2</v>
      </c>
      <c r="K45" s="23">
        <f t="shared" si="30"/>
        <v>6.6074130043990043E-2</v>
      </c>
      <c r="L45" s="23">
        <f t="shared" si="30"/>
        <v>8.664934929947618E-2</v>
      </c>
      <c r="M45" s="23">
        <f t="shared" si="30"/>
        <v>0.11388934500651565</v>
      </c>
      <c r="N45" s="179">
        <f t="shared" si="30"/>
        <v>0.15003369737522432</v>
      </c>
      <c r="O45" s="23">
        <f t="shared" si="30"/>
        <v>0.15441609273873697</v>
      </c>
      <c r="P45" s="23">
        <f t="shared" si="30"/>
        <v>0.15892603798941896</v>
      </c>
      <c r="Q45" s="208">
        <f t="shared" si="30"/>
        <v>0.16356728524549796</v>
      </c>
      <c r="R45" s="208">
        <f t="shared" si="30"/>
        <v>0.16834344395159456</v>
      </c>
      <c r="S45" s="208">
        <f t="shared" si="30"/>
        <v>0.1732588101744128</v>
      </c>
      <c r="T45" s="208">
        <f t="shared" si="30"/>
        <v>0.17831737675217235</v>
      </c>
      <c r="U45" s="208">
        <f t="shared" si="30"/>
        <v>0.18352332738656432</v>
      </c>
      <c r="V45" s="208">
        <f t="shared" si="30"/>
        <v>0.18888099653005752</v>
      </c>
      <c r="W45" s="208">
        <f t="shared" si="30"/>
        <v>0.19439528407009407</v>
      </c>
      <c r="X45" s="186">
        <f t="shared" si="30"/>
        <v>0.20007047037653988</v>
      </c>
      <c r="Y45" s="173">
        <f t="shared" si="30"/>
        <v>0.20458692251256055</v>
      </c>
      <c r="Z45" s="173">
        <f t="shared" si="30"/>
        <v>0.20920509574934654</v>
      </c>
      <c r="AA45" s="173">
        <f t="shared" si="30"/>
        <v>0.21392730029930537</v>
      </c>
      <c r="AB45" s="173">
        <f t="shared" si="30"/>
        <v>0.21875590387983371</v>
      </c>
      <c r="AC45" s="173">
        <f t="shared" si="30"/>
        <v>0.2236933081529571</v>
      </c>
      <c r="AD45" s="173">
        <f t="shared" si="30"/>
        <v>0.22874194801645803</v>
      </c>
      <c r="AE45" s="173">
        <f t="shared" si="30"/>
        <v>0.23390427021058838</v>
      </c>
      <c r="AF45" s="173">
        <f t="shared" si="30"/>
        <v>0.23918312804356515</v>
      </c>
      <c r="AG45" s="173">
        <f t="shared" si="30"/>
        <v>0.24458113813105645</v>
      </c>
      <c r="AH45" s="186">
        <f>AH44/AH14</f>
        <v>0.25009998918820614</v>
      </c>
      <c r="AI45" s="128"/>
    </row>
    <row r="46" spans="1:36" s="218" customFormat="1">
      <c r="A46" s="10" t="s">
        <v>339</v>
      </c>
      <c r="B46" s="37"/>
      <c r="C46" s="300">
        <f>SUM(EIA_electricity_aeo2014!E50,EIA_electricity_aeo2014!E55)*1000</f>
        <v>11954</v>
      </c>
      <c r="D46" s="300">
        <f>SUM(EIA_electricity_aeo2014!F50,EIA_electricity_aeo2014!F55)*1000</f>
        <v>11956</v>
      </c>
      <c r="E46" s="300">
        <f>SUM(EIA_electricity_aeo2014!G50,EIA_electricity_aeo2014!G55)*1000</f>
        <v>3232.8969999999999</v>
      </c>
      <c r="F46" s="300">
        <f>SUM(EIA_electricity_aeo2014!H50,EIA_electricity_aeo2014!H55)*1000</f>
        <v>1320.3109999999999</v>
      </c>
      <c r="G46" s="300">
        <f>SUM(EIA_electricity_aeo2014!I50,EIA_electricity_aeo2014!I55)*1000</f>
        <v>290.11099999999999</v>
      </c>
      <c r="H46" s="252">
        <f>SUM(EIA_electricity_aeo2014!J50,EIA_electricity_aeo2014!J55)*1000</f>
        <v>288.04500000000002</v>
      </c>
      <c r="I46" s="252">
        <f>SUM(EIA_electricity_aeo2014!K50,EIA_electricity_aeo2014!K55)*1000</f>
        <v>294.90699999999998</v>
      </c>
      <c r="J46" s="252">
        <f>SUM(EIA_electricity_aeo2014!L50,EIA_electricity_aeo2014!L55)*1000</f>
        <v>302.91400000000004</v>
      </c>
      <c r="K46" s="252">
        <f>SUM(EIA_electricity_aeo2014!M50,EIA_electricity_aeo2014!M55)*1000</f>
        <v>371.13600000000002</v>
      </c>
      <c r="L46" s="252">
        <f>SUM(EIA_electricity_aeo2014!N50,EIA_electricity_aeo2014!N55)*1000</f>
        <v>372.26799999999997</v>
      </c>
      <c r="M46" s="252">
        <f>SUM(EIA_electricity_aeo2014!O50,EIA_electricity_aeo2014!O55)*1000</f>
        <v>372.35500000000002</v>
      </c>
      <c r="N46" s="252">
        <f>SUM(EIA_electricity_aeo2014!P50,EIA_electricity_aeo2014!P55)*1000</f>
        <v>370.59199999999998</v>
      </c>
      <c r="O46" s="252">
        <f>SUM(EIA_electricity_aeo2014!Q50,EIA_electricity_aeo2014!Q55)*1000</f>
        <v>372.89800000000002</v>
      </c>
      <c r="P46" s="252">
        <f>SUM(EIA_electricity_aeo2014!R50,EIA_electricity_aeo2014!R55)*1000</f>
        <v>376.08100000000002</v>
      </c>
      <c r="Q46" s="252">
        <f>SUM(EIA_electricity_aeo2014!S50,EIA_electricity_aeo2014!S55)*1000</f>
        <v>450.43400000000003</v>
      </c>
      <c r="R46" s="252">
        <f>SUM(EIA_electricity_aeo2014!T50,EIA_electricity_aeo2014!T55)*1000</f>
        <v>501.42399999999998</v>
      </c>
      <c r="S46" s="252">
        <f>SUM(EIA_electricity_aeo2014!U50,EIA_electricity_aeo2014!U55)*1000</f>
        <v>483.39400000000001</v>
      </c>
      <c r="T46" s="252">
        <f>SUM(EIA_electricity_aeo2014!V50,EIA_electricity_aeo2014!V55)*1000</f>
        <v>450.50600000000003</v>
      </c>
      <c r="U46" s="252">
        <f>SUM(EIA_electricity_aeo2014!W50,EIA_electricity_aeo2014!W55)*1000</f>
        <v>434.93</v>
      </c>
      <c r="V46" s="252">
        <f>SUM(EIA_electricity_aeo2014!X50,EIA_electricity_aeo2014!X55)*1000</f>
        <v>422.84399999999999</v>
      </c>
      <c r="W46" s="252">
        <f>SUM(EIA_electricity_aeo2014!Y50,EIA_electricity_aeo2014!Y55)*1000</f>
        <v>406.87400000000002</v>
      </c>
      <c r="X46" s="252">
        <f>SUM(EIA_electricity_aeo2014!Z50,EIA_electricity_aeo2014!Z55)*1000</f>
        <v>403.02</v>
      </c>
      <c r="Y46" s="252">
        <f>SUM(EIA_electricity_aeo2014!AA50,EIA_electricity_aeo2014!AA55)*1000</f>
        <v>401.27800000000002</v>
      </c>
      <c r="Z46" s="252">
        <f>SUM(EIA_electricity_aeo2014!AB50,EIA_electricity_aeo2014!AB55)*1000</f>
        <v>394.54200000000003</v>
      </c>
      <c r="AA46" s="252">
        <f>SUM(EIA_electricity_aeo2014!AC50,EIA_electricity_aeo2014!AC55)*1000</f>
        <v>392.99700000000001</v>
      </c>
      <c r="AB46" s="252">
        <f>SUM(EIA_electricity_aeo2014!AD50,EIA_electricity_aeo2014!AD55)*1000</f>
        <v>391.452</v>
      </c>
      <c r="AC46" s="252">
        <f>SUM(EIA_electricity_aeo2014!AE50,EIA_electricity_aeo2014!AE55)*1000</f>
        <v>392.29500000000002</v>
      </c>
      <c r="AD46" s="252">
        <f>SUM(EIA_electricity_aeo2014!AF50,EIA_electricity_aeo2014!AF55)*1000</f>
        <v>394.90500000000003</v>
      </c>
      <c r="AE46" s="252">
        <f>SUM(EIA_electricity_aeo2014!AG50,EIA_electricity_aeo2014!AG55)*1000</f>
        <v>394.69499999999999</v>
      </c>
      <c r="AF46" s="252">
        <f>SUM(EIA_electricity_aeo2014!AH50,EIA_electricity_aeo2014!AH55)*1000</f>
        <v>392.57900000000001</v>
      </c>
      <c r="AG46" s="252">
        <f>SUM(EIA_electricity_aeo2014!AI50,EIA_electricity_aeo2014!AI55)*1000</f>
        <v>391.68</v>
      </c>
      <c r="AH46" s="252">
        <f>SUM(EIA_electricity_aeo2014!AJ50,EIA_electricity_aeo2014!AJ55)*1000</f>
        <v>391.31</v>
      </c>
      <c r="AI46" s="262"/>
    </row>
    <row r="47" spans="1:36" s="218" customFormat="1">
      <c r="A47" s="10" t="s">
        <v>148</v>
      </c>
      <c r="B47" s="37"/>
      <c r="C47" s="300">
        <f>(C$14-C$43-C$46)*0.7</f>
        <v>120635.05999999998</v>
      </c>
      <c r="D47" s="300">
        <f>(D$14-D$30-D$43-D$46)*EIA_electricity_aeo2014!F60</f>
        <v>57400.169751491165</v>
      </c>
      <c r="E47" s="300">
        <f>(E$14-E$30-E$43-E$46)*EIA_electricity_aeo2014!G60</f>
        <v>44000.762406337613</v>
      </c>
      <c r="F47" s="300">
        <f>(F$14-F$30-F$43-F$46)*EIA_electricity_aeo2014!H60</f>
        <v>37290.779426511857</v>
      </c>
      <c r="G47" s="300">
        <f>(G$14-G$30-G$43-G$46)*EIA_electricity_aeo2014!I60</f>
        <v>45902.727396456969</v>
      </c>
      <c r="H47" s="252">
        <f>(H$14-H$30-H$43-H$46)*EIA_electricity_aeo2014!J60</f>
        <v>48446.266713366887</v>
      </c>
      <c r="I47" s="252">
        <f>(I$14-I$30-I$43-I$46)*EIA_electricity_aeo2014!K60</f>
        <v>48708.628277188996</v>
      </c>
      <c r="J47" s="252">
        <f>(J$14-J$30-J$43-J$46)*EIA_electricity_aeo2014!L60</f>
        <v>38463.329553798518</v>
      </c>
      <c r="K47" s="252">
        <f>(K$14-K$30-K$43-K$46)*EIA_electricity_aeo2014!M60</f>
        <v>38265.087882802771</v>
      </c>
      <c r="L47" s="252">
        <f>(L$14-L$30-L$43-L$46)*EIA_electricity_aeo2014!N60</f>
        <v>37540.435279964709</v>
      </c>
      <c r="M47" s="252">
        <f>(M$14-M$30-M$43-M$46)*EIA_electricity_aeo2014!O60</f>
        <v>36527.96988609383</v>
      </c>
      <c r="N47" s="253">
        <f>(N$14-N$43-N$46)*EIA_electricity_aeo2014!P60 - N30</f>
        <v>35023.891168493334</v>
      </c>
      <c r="O47" s="252">
        <f>(O$14-O$43-O$46)*EIA_electricity_aeo2014!Q60 - O30</f>
        <v>35016.95409189233</v>
      </c>
      <c r="P47" s="252">
        <f>(P$14-P$43-P$46)*EIA_electricity_aeo2014!R60 - P30</f>
        <v>34957.845685479697</v>
      </c>
      <c r="Q47" s="252">
        <f>(Q$14-Q$43-Q$46)*EIA_electricity_aeo2014!S60 - Q30</f>
        <v>34871.932697254189</v>
      </c>
      <c r="R47" s="252">
        <f>(R$14-R$43-R$46)*EIA_electricity_aeo2014!T60 - R30</f>
        <v>34771.387982228291</v>
      </c>
      <c r="S47" s="252">
        <f>(S$14-S$43-S$46)*EIA_electricity_aeo2014!U60 - S30</f>
        <v>33144.949536127875</v>
      </c>
      <c r="T47" s="252">
        <f>(T$14-T$43-T$46)*EIA_electricity_aeo2014!V60 - T30</f>
        <v>32765.163382968287</v>
      </c>
      <c r="U47" s="252">
        <f>(U$14-U$43-U$46)*EIA_electricity_aeo2014!W60 - U30</f>
        <v>32454.972025631891</v>
      </c>
      <c r="V47" s="252">
        <f>(V$14-V$43-V$46)*EIA_electricity_aeo2014!X60 - V30</f>
        <v>32276.43479286378</v>
      </c>
      <c r="W47" s="252">
        <f>(W$14-W$43-W$46)*EIA_electricity_aeo2014!Y60 - W30</f>
        <v>32187.584666637926</v>
      </c>
      <c r="X47" s="253">
        <f>(X$14-X$43-X$46)*EIA_electricity_aeo2014!Z60 - X30</f>
        <v>31954.639968056013</v>
      </c>
      <c r="Y47" s="252">
        <f>(Y$14-Y$43-Y$46)*EIA_electricity_aeo2014!AA60 - Y30</f>
        <v>31530.67541985177</v>
      </c>
      <c r="Z47" s="252">
        <f>(Z$14-Z$43-Z$46)*EIA_electricity_aeo2014!AB60 - Z30</f>
        <v>30925.462508724595</v>
      </c>
      <c r="AA47" s="252">
        <f>(AA$14-AA$43-AA$46)*EIA_electricity_aeo2014!AC60 - AA30</f>
        <v>30361.094024364393</v>
      </c>
      <c r="AB47" s="252">
        <f>(AB$14-AB$43-AB$46)*EIA_electricity_aeo2014!AD60 - AB30</f>
        <v>29813.787472178192</v>
      </c>
      <c r="AC47" s="252">
        <f>(AC$14-AC$43-AC$46)*EIA_electricity_aeo2014!AE60 - AC30</f>
        <v>29255.731136263927</v>
      </c>
      <c r="AD47" s="252">
        <f>(AD$14-AD$43-AD$46)*EIA_electricity_aeo2014!AF60 - AD30</f>
        <v>28947.054083901934</v>
      </c>
      <c r="AE47" s="252">
        <f>(AE$14-AE$43-AE$46)*EIA_electricity_aeo2014!AG60 - AE30</f>
        <v>28835.761262120919</v>
      </c>
      <c r="AF47" s="252">
        <f>(AF$14-AF$43-AF$46)*EIA_electricity_aeo2014!AH60 - AF30</f>
        <v>28701.42442011899</v>
      </c>
      <c r="AG47" s="252">
        <f>(AG$14-AG$43-AG$46)*EIA_electricity_aeo2014!AI60 - AG30</f>
        <v>28592.599869008318</v>
      </c>
      <c r="AH47" s="253">
        <f>(AH$14-AH$43-AH$46)*EIA_electricity_aeo2014!AJ60 - AH30</f>
        <v>28457.506147235727</v>
      </c>
      <c r="AI47" s="262"/>
      <c r="AJ47" s="369"/>
    </row>
    <row r="48" spans="1:36" s="218" customFormat="1">
      <c r="A48" s="10" t="s">
        <v>228</v>
      </c>
      <c r="B48" s="37"/>
      <c r="C48" s="300">
        <f>(C$14-C$43-C$46)* 0.3</f>
        <v>51700.74</v>
      </c>
      <c r="D48" s="300">
        <f t="shared" ref="D48:AH48" si="31">(D$14-SUM(D30:D42,D46:D47))</f>
        <v>123271.84058990123</v>
      </c>
      <c r="E48" s="300">
        <f t="shared" si="31"/>
        <v>123613.59052872239</v>
      </c>
      <c r="F48" s="300">
        <f>(F$14-SUM(F30:F42,F46:F47))</f>
        <v>130732.60636471605</v>
      </c>
      <c r="G48" s="300">
        <f t="shared" si="31"/>
        <v>114728.35723334749</v>
      </c>
      <c r="H48" s="252">
        <f t="shared" si="31"/>
        <v>118836.24728663312</v>
      </c>
      <c r="I48" s="252">
        <f t="shared" si="31"/>
        <v>119018.94180954968</v>
      </c>
      <c r="J48" s="252">
        <f t="shared" si="31"/>
        <v>128071.48470114943</v>
      </c>
      <c r="K48" s="252">
        <f t="shared" si="31"/>
        <v>127017.34774278593</v>
      </c>
      <c r="L48" s="252">
        <f t="shared" si="31"/>
        <v>125144.83479849894</v>
      </c>
      <c r="M48" s="252">
        <f t="shared" si="31"/>
        <v>122100.64997727511</v>
      </c>
      <c r="N48" s="253">
        <f t="shared" si="31"/>
        <v>116007.74398150666</v>
      </c>
      <c r="O48" s="252">
        <f t="shared" si="31"/>
        <v>116496.65837110727</v>
      </c>
      <c r="P48" s="252">
        <f t="shared" si="31"/>
        <v>117533.36573801996</v>
      </c>
      <c r="Q48" s="252">
        <f t="shared" si="31"/>
        <v>118814.58839716687</v>
      </c>
      <c r="R48" s="252">
        <f t="shared" si="31"/>
        <v>121068.35598923753</v>
      </c>
      <c r="S48" s="252">
        <f t="shared" si="31"/>
        <v>124678.92500924412</v>
      </c>
      <c r="T48" s="252">
        <f t="shared" si="31"/>
        <v>127067.53719249208</v>
      </c>
      <c r="U48" s="252">
        <f t="shared" si="31"/>
        <v>129385.40437280541</v>
      </c>
      <c r="V48" s="252">
        <f t="shared" si="31"/>
        <v>131515.16805687675</v>
      </c>
      <c r="W48" s="252">
        <f t="shared" si="31"/>
        <v>132355.38966652221</v>
      </c>
      <c r="X48" s="253">
        <f t="shared" si="31"/>
        <v>132938.01873194403</v>
      </c>
      <c r="Y48" s="252">
        <f t="shared" si="31"/>
        <v>131685.34805392212</v>
      </c>
      <c r="Z48" s="252">
        <f t="shared" si="31"/>
        <v>130634.47588534643</v>
      </c>
      <c r="AA48" s="252">
        <f t="shared" si="31"/>
        <v>129515.22163063788</v>
      </c>
      <c r="AB48" s="252">
        <f t="shared" si="31"/>
        <v>128314.52318636799</v>
      </c>
      <c r="AC48" s="252">
        <f t="shared" si="31"/>
        <v>127057.38084655689</v>
      </c>
      <c r="AD48" s="252">
        <f t="shared" si="31"/>
        <v>125535.15509625798</v>
      </c>
      <c r="AE48" s="252">
        <f t="shared" si="31"/>
        <v>124036.08777772915</v>
      </c>
      <c r="AF48" s="252">
        <f t="shared" si="31"/>
        <v>122264.01264459066</v>
      </c>
      <c r="AG48" s="252">
        <f t="shared" si="31"/>
        <v>120299.27271723599</v>
      </c>
      <c r="AH48" s="253">
        <f t="shared" si="31"/>
        <v>118164.75220276424</v>
      </c>
      <c r="AI48" s="262"/>
    </row>
    <row r="49" spans="1:35" s="218" customFormat="1">
      <c r="A49" s="10" t="s">
        <v>340</v>
      </c>
      <c r="B49" s="37"/>
      <c r="C49" s="300">
        <f>SUM(C43,C46:C48)</f>
        <v>217945.99999999997</v>
      </c>
      <c r="D49" s="300">
        <f t="shared" ref="D49:M49" si="32">SUM(D43,D46:D48)+D30</f>
        <v>229087</v>
      </c>
      <c r="E49" s="300">
        <f t="shared" si="32"/>
        <v>205013.799</v>
      </c>
      <c r="F49" s="300">
        <f t="shared" si="32"/>
        <v>205627.068</v>
      </c>
      <c r="G49" s="300">
        <f t="shared" si="32"/>
        <v>198380.29499999998</v>
      </c>
      <c r="H49" s="252">
        <f>SUM(H43,H46:H48)+H30</f>
        <v>197603.035</v>
      </c>
      <c r="I49" s="252">
        <f t="shared" si="32"/>
        <v>200212.163</v>
      </c>
      <c r="J49" s="252">
        <f t="shared" si="32"/>
        <v>201592.85399999999</v>
      </c>
      <c r="K49" s="252">
        <f t="shared" si="32"/>
        <v>203952.83199999999</v>
      </c>
      <c r="L49" s="252">
        <f t="shared" si="32"/>
        <v>205923.98299999998</v>
      </c>
      <c r="M49" s="252">
        <f t="shared" si="32"/>
        <v>207902.18799999999</v>
      </c>
      <c r="N49" s="253">
        <f t="shared" ref="N49:AH49" si="33">SUM(N43,N46:N48)+N30</f>
        <v>207731.31299999999</v>
      </c>
      <c r="O49" s="252">
        <f t="shared" si="33"/>
        <v>209471.27500000002</v>
      </c>
      <c r="P49" s="252">
        <f t="shared" si="33"/>
        <v>211955.05599999998</v>
      </c>
      <c r="Q49" s="252">
        <f t="shared" si="33"/>
        <v>214907.67199999999</v>
      </c>
      <c r="R49" s="252">
        <f t="shared" si="33"/>
        <v>219245.20600000003</v>
      </c>
      <c r="S49" s="252">
        <f t="shared" si="33"/>
        <v>223341.33800000002</v>
      </c>
      <c r="T49" s="252">
        <f t="shared" si="33"/>
        <v>227547.39300000004</v>
      </c>
      <c r="U49" s="252">
        <f t="shared" si="33"/>
        <v>231878.45800000001</v>
      </c>
      <c r="V49" s="252">
        <f t="shared" si="33"/>
        <v>236241.78599999999</v>
      </c>
      <c r="W49" s="252">
        <f t="shared" si="33"/>
        <v>238975.402</v>
      </c>
      <c r="X49" s="253">
        <f t="shared" si="33"/>
        <v>241236.11700000003</v>
      </c>
      <c r="Y49" s="252">
        <f t="shared" si="33"/>
        <v>243618.54800000001</v>
      </c>
      <c r="Z49" s="252">
        <f t="shared" si="33"/>
        <v>246161.08200000002</v>
      </c>
      <c r="AA49" s="252">
        <f t="shared" si="33"/>
        <v>248817.18200000003</v>
      </c>
      <c r="AB49" s="252">
        <f t="shared" si="33"/>
        <v>251529.867</v>
      </c>
      <c r="AC49" s="252">
        <f t="shared" si="33"/>
        <v>254304.67599999998</v>
      </c>
      <c r="AD49" s="252">
        <f t="shared" si="33"/>
        <v>257232.97700000001</v>
      </c>
      <c r="AE49" s="252">
        <f t="shared" si="33"/>
        <v>260722.65599999996</v>
      </c>
      <c r="AF49" s="252">
        <f t="shared" si="33"/>
        <v>263919.73</v>
      </c>
      <c r="AG49" s="252">
        <f t="shared" si="33"/>
        <v>267041.07399999996</v>
      </c>
      <c r="AH49" s="253">
        <f t="shared" si="33"/>
        <v>270029.19499999995</v>
      </c>
      <c r="AI49" s="262"/>
    </row>
    <row r="50" spans="1:35">
      <c r="A50" s="10"/>
      <c r="B50" s="37"/>
      <c r="C50" s="302" t="b">
        <f t="shared" ref="C50:AH50" si="34">(C49=C14)</f>
        <v>1</v>
      </c>
      <c r="D50" s="302" t="b">
        <f t="shared" si="34"/>
        <v>1</v>
      </c>
      <c r="E50" s="302" t="b">
        <f t="shared" si="34"/>
        <v>1</v>
      </c>
      <c r="F50" s="302" t="b">
        <f t="shared" si="34"/>
        <v>1</v>
      </c>
      <c r="G50" s="302" t="b">
        <f t="shared" si="34"/>
        <v>1</v>
      </c>
      <c r="H50" s="250" t="b">
        <f t="shared" si="34"/>
        <v>1</v>
      </c>
      <c r="I50" s="91" t="b">
        <f t="shared" si="34"/>
        <v>1</v>
      </c>
      <c r="J50" s="91" t="b">
        <f t="shared" si="34"/>
        <v>1</v>
      </c>
      <c r="K50" s="91" t="b">
        <f t="shared" si="34"/>
        <v>1</v>
      </c>
      <c r="L50" s="91" t="b">
        <f t="shared" si="34"/>
        <v>1</v>
      </c>
      <c r="M50" s="91" t="b">
        <f t="shared" si="34"/>
        <v>1</v>
      </c>
      <c r="N50" s="186" t="b">
        <f t="shared" si="34"/>
        <v>1</v>
      </c>
      <c r="O50" s="91" t="b">
        <f t="shared" si="34"/>
        <v>1</v>
      </c>
      <c r="P50" s="91" t="b">
        <f t="shared" si="34"/>
        <v>1</v>
      </c>
      <c r="Q50" s="91" t="b">
        <f t="shared" si="34"/>
        <v>1</v>
      </c>
      <c r="R50" s="91" t="b">
        <f t="shared" si="34"/>
        <v>1</v>
      </c>
      <c r="S50" s="91" t="b">
        <f t="shared" si="34"/>
        <v>1</v>
      </c>
      <c r="T50" s="91" t="b">
        <f t="shared" si="34"/>
        <v>1</v>
      </c>
      <c r="U50" s="91" t="b">
        <f t="shared" si="34"/>
        <v>1</v>
      </c>
      <c r="V50" s="91" t="b">
        <f t="shared" si="34"/>
        <v>1</v>
      </c>
      <c r="W50" s="91" t="b">
        <f t="shared" si="34"/>
        <v>1</v>
      </c>
      <c r="X50" s="186" t="b">
        <f t="shared" si="34"/>
        <v>1</v>
      </c>
      <c r="Y50" s="173" t="b">
        <f t="shared" si="34"/>
        <v>1</v>
      </c>
      <c r="Z50" s="173" t="b">
        <f t="shared" si="34"/>
        <v>1</v>
      </c>
      <c r="AA50" s="173" t="b">
        <f t="shared" si="34"/>
        <v>1</v>
      </c>
      <c r="AB50" s="173" t="b">
        <f t="shared" si="34"/>
        <v>1</v>
      </c>
      <c r="AC50" s="173" t="b">
        <f t="shared" si="34"/>
        <v>1</v>
      </c>
      <c r="AD50" s="173" t="b">
        <f t="shared" si="34"/>
        <v>1</v>
      </c>
      <c r="AE50" s="173" t="b">
        <f t="shared" si="34"/>
        <v>1</v>
      </c>
      <c r="AF50" s="173" t="b">
        <f t="shared" si="34"/>
        <v>1</v>
      </c>
      <c r="AG50" s="173" t="b">
        <f t="shared" si="34"/>
        <v>1</v>
      </c>
      <c r="AH50" s="186" t="b">
        <f t="shared" si="34"/>
        <v>1</v>
      </c>
      <c r="AI50" s="128"/>
    </row>
    <row r="51" spans="1:35">
      <c r="A51" s="10" t="s">
        <v>549</v>
      </c>
      <c r="B51" s="37"/>
      <c r="C51" s="302"/>
      <c r="D51" s="302">
        <f>D44/C44-1</f>
        <v>0.36564718206224467</v>
      </c>
      <c r="E51" s="302">
        <f t="shared" ref="E51:X51" si="35">E44/D44-1</f>
        <v>0.19744877051570597</v>
      </c>
      <c r="F51" s="302">
        <f t="shared" si="35"/>
        <v>0.32294099932449538</v>
      </c>
      <c r="G51" s="302">
        <f>G44/F44-1</f>
        <v>0.2526102315074088</v>
      </c>
      <c r="H51" s="250"/>
      <c r="I51" s="165">
        <f t="shared" ref="I51:N51" si="36">I44/H44-1</f>
        <v>0.31990158144810832</v>
      </c>
      <c r="J51" s="173">
        <f t="shared" si="36"/>
        <v>0.31455058676677594</v>
      </c>
      <c r="K51" s="173">
        <f t="shared" si="36"/>
        <v>0.32376666734718196</v>
      </c>
      <c r="L51" s="173">
        <f t="shared" si="36"/>
        <v>0.32407029246751873</v>
      </c>
      <c r="M51" s="173">
        <f t="shared" si="36"/>
        <v>0.32699693487560144</v>
      </c>
      <c r="N51" s="173">
        <f t="shared" si="36"/>
        <v>0.31628103166671395</v>
      </c>
      <c r="O51" s="173">
        <f t="shared" ref="O51:R51" si="37">O44/N44-1</f>
        <v>3.783008762182849E-2</v>
      </c>
      <c r="P51" s="173">
        <f t="shared" si="37"/>
        <v>4.1410140198650636E-2</v>
      </c>
      <c r="Q51" s="173">
        <f t="shared" si="37"/>
        <v>4.3541026763494584E-2</v>
      </c>
      <c r="R51" s="173">
        <f t="shared" si="37"/>
        <v>4.9972557247228044E-2</v>
      </c>
      <c r="S51" s="165">
        <f t="shared" si="35"/>
        <v>4.8426833206224318E-2</v>
      </c>
      <c r="T51" s="165">
        <f t="shared" si="35"/>
        <v>4.857883995455814E-2</v>
      </c>
      <c r="U51" s="165">
        <f t="shared" si="35"/>
        <v>4.8784227724177009E-2</v>
      </c>
      <c r="V51" s="165">
        <f t="shared" si="35"/>
        <v>4.8560043357806393E-2</v>
      </c>
      <c r="W51" s="165">
        <f t="shared" si="35"/>
        <v>4.1103587837844291E-2</v>
      </c>
      <c r="X51" s="186">
        <f t="shared" si="35"/>
        <v>3.8930262307613539E-2</v>
      </c>
      <c r="Y51" s="173">
        <f t="shared" ref="Y51:AH51" si="38">Y44/X44-1</f>
        <v>3.2673178831227112E-2</v>
      </c>
      <c r="Z51" s="173">
        <f t="shared" si="38"/>
        <v>3.3245282172210233E-2</v>
      </c>
      <c r="AA51" s="173">
        <f t="shared" si="38"/>
        <v>3.3605774033412361E-2</v>
      </c>
      <c r="AB51" s="173">
        <f t="shared" si="38"/>
        <v>3.3719636723056334E-2</v>
      </c>
      <c r="AC51" s="173">
        <f t="shared" si="38"/>
        <v>3.3851099808552165E-2</v>
      </c>
      <c r="AD51" s="173">
        <f t="shared" si="38"/>
        <v>3.4344289767272551E-2</v>
      </c>
      <c r="AE51" s="173">
        <f t="shared" si="38"/>
        <v>3.6440709332290266E-2</v>
      </c>
      <c r="AF51" s="173">
        <f t="shared" si="38"/>
        <v>3.5107552623073079E-2</v>
      </c>
      <c r="AG51" s="173">
        <f t="shared" si="38"/>
        <v>3.4662307362534062E-2</v>
      </c>
      <c r="AH51" s="186">
        <f t="shared" si="38"/>
        <v>3.4006733858513494E-2</v>
      </c>
      <c r="AI51" s="128"/>
    </row>
    <row r="52" spans="1:35">
      <c r="A52" s="10"/>
      <c r="B52" s="37"/>
      <c r="C52" s="302"/>
      <c r="D52" s="302"/>
      <c r="E52" s="302"/>
      <c r="F52" s="302"/>
      <c r="G52" s="302"/>
      <c r="H52" s="250"/>
      <c r="I52" s="173"/>
      <c r="J52" s="173"/>
      <c r="K52" s="173"/>
      <c r="L52" s="173"/>
      <c r="M52" s="173"/>
      <c r="N52" s="186"/>
      <c r="O52" s="173"/>
      <c r="P52" s="173"/>
      <c r="Q52" s="173"/>
      <c r="R52" s="173"/>
      <c r="S52" s="173"/>
      <c r="T52" s="173"/>
      <c r="U52" s="173"/>
      <c r="V52" s="173"/>
      <c r="W52" s="173"/>
      <c r="X52" s="186"/>
      <c r="Y52" s="20"/>
      <c r="Z52" s="20"/>
      <c r="AA52" s="20"/>
      <c r="AB52" s="20"/>
      <c r="AC52" s="20"/>
      <c r="AD52" s="20"/>
      <c r="AE52" s="20"/>
      <c r="AF52" s="20"/>
      <c r="AG52" s="20"/>
      <c r="AH52" s="245"/>
      <c r="AI52" s="128"/>
    </row>
    <row r="53" spans="1:35">
      <c r="A53" s="1" t="s">
        <v>548</v>
      </c>
      <c r="B53" s="37"/>
      <c r="C53" s="302"/>
      <c r="D53" s="302"/>
      <c r="E53" s="302"/>
      <c r="F53" s="302"/>
      <c r="G53" s="302"/>
      <c r="H53" s="250"/>
      <c r="I53" s="165"/>
      <c r="J53" s="165"/>
      <c r="K53" s="165"/>
      <c r="L53" s="165"/>
      <c r="M53" s="165"/>
      <c r="N53" s="185" t="s">
        <v>0</v>
      </c>
      <c r="O53" s="175" t="s">
        <v>0</v>
      </c>
      <c r="P53" s="165"/>
      <c r="Q53" s="165"/>
      <c r="R53" s="165"/>
      <c r="S53" s="165"/>
      <c r="T53" s="165"/>
      <c r="U53" s="165"/>
      <c r="V53" s="165"/>
      <c r="W53" s="165"/>
      <c r="X53" s="186"/>
      <c r="Y53" s="20"/>
      <c r="Z53" s="20"/>
      <c r="AA53" s="20"/>
      <c r="AB53" s="20"/>
      <c r="AC53" s="20"/>
      <c r="AD53" s="20"/>
      <c r="AE53" s="20"/>
      <c r="AF53" s="20"/>
      <c r="AG53" s="20"/>
      <c r="AH53" s="245"/>
      <c r="AI53" s="128"/>
    </row>
    <row r="54" spans="1:35">
      <c r="A54" s="9" t="s">
        <v>288</v>
      </c>
      <c r="B54" s="37"/>
      <c r="C54" s="302"/>
      <c r="D54" s="302"/>
      <c r="E54" s="302"/>
      <c r="F54" s="302"/>
      <c r="G54" s="302"/>
      <c r="H54" s="250"/>
      <c r="I54" s="165"/>
      <c r="J54" s="165"/>
      <c r="K54" s="165"/>
      <c r="L54" s="165"/>
      <c r="M54" s="165"/>
      <c r="N54" s="186" t="s">
        <v>0</v>
      </c>
      <c r="O54" s="165"/>
      <c r="P54" s="165"/>
      <c r="Q54" s="165"/>
      <c r="R54" s="165"/>
      <c r="S54" s="165"/>
      <c r="T54" s="165"/>
      <c r="U54" s="165"/>
      <c r="V54" s="165"/>
      <c r="W54" s="165"/>
      <c r="X54" s="186"/>
      <c r="Y54" s="20"/>
      <c r="Z54" s="20"/>
      <c r="AA54" s="20"/>
      <c r="AB54" s="20"/>
      <c r="AC54" s="20"/>
      <c r="AD54" s="20"/>
      <c r="AE54" s="20"/>
      <c r="AF54" s="20"/>
      <c r="AG54" s="20"/>
      <c r="AH54" s="245"/>
      <c r="AI54" s="128"/>
    </row>
    <row r="55" spans="1:35">
      <c r="A55" s="20" t="s">
        <v>128</v>
      </c>
      <c r="B55" s="37"/>
      <c r="C55" s="302"/>
      <c r="D55" s="302"/>
      <c r="E55" s="302"/>
      <c r="F55" s="302"/>
      <c r="G55" s="302"/>
      <c r="H55" s="250"/>
      <c r="I55" s="165"/>
      <c r="J55" s="165"/>
      <c r="K55" s="165"/>
      <c r="L55" s="165"/>
      <c r="M55" s="165"/>
      <c r="N55" s="186"/>
      <c r="O55" s="165"/>
      <c r="P55" s="165"/>
      <c r="Q55" s="165"/>
      <c r="R55" s="165"/>
      <c r="S55" s="165"/>
      <c r="T55" s="165"/>
      <c r="U55" s="165"/>
      <c r="V55" s="165"/>
      <c r="W55" s="165"/>
      <c r="X55" s="186"/>
      <c r="Y55" s="20"/>
      <c r="Z55" s="20"/>
      <c r="AA55" s="20"/>
      <c r="AB55" s="20"/>
      <c r="AC55" s="20"/>
      <c r="AD55" s="20"/>
      <c r="AE55" s="20"/>
      <c r="AF55" s="20"/>
      <c r="AG55" s="20"/>
      <c r="AH55" s="245"/>
      <c r="AI55" s="128"/>
    </row>
    <row r="56" spans="1:35">
      <c r="A56" s="9" t="s">
        <v>51</v>
      </c>
      <c r="B56" s="37"/>
      <c r="C56" s="306">
        <f t="shared" ref="C56:M56" si="39">C31/C$49</f>
        <v>9.5436438383819861E-4</v>
      </c>
      <c r="D56" s="306">
        <f t="shared" si="39"/>
        <v>8.8502154588135048E-4</v>
      </c>
      <c r="E56" s="306">
        <f t="shared" si="39"/>
        <v>8.1567870792450246E-4</v>
      </c>
      <c r="F56" s="306">
        <f t="shared" si="39"/>
        <v>7.4633586996765454E-4</v>
      </c>
      <c r="G56" s="306">
        <f t="shared" si="39"/>
        <v>6.7699303201080641E-4</v>
      </c>
      <c r="H56" s="367">
        <f t="shared" si="39"/>
        <v>1.9101376656487079E-4</v>
      </c>
      <c r="I56" s="174">
        <f t="shared" si="39"/>
        <v>1.9111033318953746E-4</v>
      </c>
      <c r="J56" s="174">
        <f t="shared" si="39"/>
        <v>1.912068998142041E-4</v>
      </c>
      <c r="K56" s="174">
        <f t="shared" si="39"/>
        <v>1.913034664388708E-4</v>
      </c>
      <c r="L56" s="174">
        <f t="shared" si="39"/>
        <v>1.9140003306353747E-4</v>
      </c>
      <c r="M56" s="174">
        <f t="shared" si="39"/>
        <v>1.9149659968820414E-4</v>
      </c>
      <c r="N56" s="179">
        <f>N26</f>
        <v>1.9159316631287072E-4</v>
      </c>
      <c r="O56" s="116">
        <f t="shared" ref="O56:AH56" si="40">O31/O$49</f>
        <v>1.9058041663167101E-4</v>
      </c>
      <c r="P56" s="116">
        <f t="shared" si="40"/>
        <v>1.8956766695047136E-4</v>
      </c>
      <c r="Q56" s="116">
        <f t="shared" si="40"/>
        <v>1.8855491726927167E-4</v>
      </c>
      <c r="R56" s="116">
        <f t="shared" si="40"/>
        <v>1.8754216758807199E-4</v>
      </c>
      <c r="S56" s="116">
        <f t="shared" si="40"/>
        <v>1.865294179068723E-4</v>
      </c>
      <c r="T56" s="116">
        <f t="shared" si="40"/>
        <v>1.8551666822567262E-4</v>
      </c>
      <c r="U56" s="116">
        <f t="shared" si="40"/>
        <v>1.8450391854447294E-4</v>
      </c>
      <c r="V56" s="116">
        <f t="shared" si="40"/>
        <v>1.8349116886327325E-4</v>
      </c>
      <c r="W56" s="116">
        <f t="shared" si="40"/>
        <v>1.8247841918207357E-4</v>
      </c>
      <c r="X56" s="179">
        <f t="shared" si="40"/>
        <v>1.8146566950087397E-4</v>
      </c>
      <c r="Y56" s="174">
        <f t="shared" si="40"/>
        <v>1.9581782103118633E-4</v>
      </c>
      <c r="Z56" s="174">
        <f t="shared" si="40"/>
        <v>2.1016997256149874E-4</v>
      </c>
      <c r="AA56" s="174">
        <f t="shared" si="40"/>
        <v>2.2452212409181113E-4</v>
      </c>
      <c r="AB56" s="174">
        <f t="shared" si="40"/>
        <v>2.3887427562212352E-4</v>
      </c>
      <c r="AC56" s="174">
        <f t="shared" si="40"/>
        <v>2.5322642715243593E-4</v>
      </c>
      <c r="AD56" s="174">
        <f t="shared" si="40"/>
        <v>2.6757857868274835E-4</v>
      </c>
      <c r="AE56" s="174">
        <f t="shared" si="40"/>
        <v>2.8193073021306076E-4</v>
      </c>
      <c r="AF56" s="174">
        <f t="shared" si="40"/>
        <v>2.9628288174337317E-4</v>
      </c>
      <c r="AG56" s="174">
        <f t="shared" si="40"/>
        <v>3.1063503327368559E-4</v>
      </c>
      <c r="AH56" s="179">
        <f t="shared" si="40"/>
        <v>3.2498718480399789E-4</v>
      </c>
      <c r="AI56" s="128"/>
    </row>
    <row r="57" spans="1:35">
      <c r="A57" s="9" t="s">
        <v>61</v>
      </c>
      <c r="B57" s="37"/>
      <c r="C57" s="306">
        <f t="shared" ref="C57:M57" si="41">C32/C$49</f>
        <v>0.13360190138841732</v>
      </c>
      <c r="D57" s="306">
        <f t="shared" si="41"/>
        <v>0.13245062864062837</v>
      </c>
      <c r="E57" s="306">
        <f t="shared" si="41"/>
        <v>0.13129935589283942</v>
      </c>
      <c r="F57" s="306">
        <f t="shared" si="41"/>
        <v>0.13014808314505047</v>
      </c>
      <c r="G57" s="306">
        <f t="shared" si="41"/>
        <v>0.12899681039726152</v>
      </c>
      <c r="H57" s="367">
        <f t="shared" si="41"/>
        <v>0.12210101428857104</v>
      </c>
      <c r="I57" s="116">
        <f t="shared" si="41"/>
        <v>0.12190716210093236</v>
      </c>
      <c r="J57" s="116">
        <f t="shared" si="41"/>
        <v>0.12171330991329368</v>
      </c>
      <c r="K57" s="116">
        <f t="shared" si="41"/>
        <v>0.12151945772565501</v>
      </c>
      <c r="L57" s="116">
        <f t="shared" si="41"/>
        <v>0.12132560553801633</v>
      </c>
      <c r="M57" s="116">
        <f t="shared" si="41"/>
        <v>0.12113175335037765</v>
      </c>
      <c r="N57" s="179">
        <f>N18</f>
        <v>0.120937901162739</v>
      </c>
      <c r="O57" s="116">
        <f t="shared" ref="O57:AH57" si="42">O32/O$49</f>
        <v>0.12029863086304829</v>
      </c>
      <c r="P57" s="116">
        <f t="shared" si="42"/>
        <v>0.11965936056335758</v>
      </c>
      <c r="Q57" s="116">
        <f t="shared" si="42"/>
        <v>0.11902009026366688</v>
      </c>
      <c r="R57" s="116">
        <f t="shared" si="42"/>
        <v>0.11838081996397615</v>
      </c>
      <c r="S57" s="116">
        <f t="shared" si="42"/>
        <v>0.11774154966428543</v>
      </c>
      <c r="T57" s="116">
        <f t="shared" si="42"/>
        <v>0.11710227936459473</v>
      </c>
      <c r="U57" s="116">
        <f t="shared" si="42"/>
        <v>0.11646300906490401</v>
      </c>
      <c r="V57" s="116">
        <f t="shared" si="42"/>
        <v>0.11582373876521329</v>
      </c>
      <c r="W57" s="116">
        <f>W32/W$49</f>
        <v>0.11518446846552258</v>
      </c>
      <c r="X57" s="179">
        <f t="shared" si="42"/>
        <v>0.11454519816583186</v>
      </c>
      <c r="Y57" s="174">
        <f t="shared" si="42"/>
        <v>0.12360459791713171</v>
      </c>
      <c r="Z57" s="174">
        <f t="shared" si="42"/>
        <v>0.13266399766843157</v>
      </c>
      <c r="AA57" s="174">
        <f t="shared" si="42"/>
        <v>0.14172339741973142</v>
      </c>
      <c r="AB57" s="174">
        <f t="shared" si="42"/>
        <v>0.15078279717103127</v>
      </c>
      <c r="AC57" s="174">
        <f t="shared" si="42"/>
        <v>0.15984219692233112</v>
      </c>
      <c r="AD57" s="174">
        <f t="shared" si="42"/>
        <v>0.16890159667363097</v>
      </c>
      <c r="AE57" s="174">
        <f t="shared" si="42"/>
        <v>0.17796099642493082</v>
      </c>
      <c r="AF57" s="174">
        <f t="shared" si="42"/>
        <v>0.18702039617623067</v>
      </c>
      <c r="AG57" s="174">
        <f t="shared" si="42"/>
        <v>0.19607979592753053</v>
      </c>
      <c r="AH57" s="179">
        <f t="shared" si="42"/>
        <v>0.20513919567883043</v>
      </c>
      <c r="AI57" s="128"/>
    </row>
    <row r="58" spans="1:35">
      <c r="A58" s="9" t="s">
        <v>127</v>
      </c>
      <c r="B58" s="37"/>
      <c r="C58" s="306">
        <f>C34/C$49</f>
        <v>1.1397318601855506E-2</v>
      </c>
      <c r="D58" s="306">
        <f t="shared" ref="D58:G59" si="43">C58*($N71)</f>
        <v>1.5298202361649029E-2</v>
      </c>
      <c r="E58" s="306">
        <f t="shared" si="43"/>
        <v>2.0534215430273447E-2</v>
      </c>
      <c r="F58" s="306">
        <f t="shared" si="43"/>
        <v>2.7562323557303828E-2</v>
      </c>
      <c r="G58" s="306">
        <f t="shared" si="43"/>
        <v>3.6995895093099702E-2</v>
      </c>
      <c r="H58" s="367">
        <f>H34/H$49</f>
        <v>1.286534389514817E-2</v>
      </c>
      <c r="I58" s="116">
        <f t="shared" ref="I58:N59" si="44">H58*($N71)</f>
        <v>1.7268678821362467E-2</v>
      </c>
      <c r="J58" s="116">
        <f t="shared" si="44"/>
        <v>2.3179113645600539E-2</v>
      </c>
      <c r="K58" s="116">
        <f t="shared" si="44"/>
        <v>3.1112473337046836E-2</v>
      </c>
      <c r="L58" s="116">
        <f t="shared" si="44"/>
        <v>4.1761130815809983E-2</v>
      </c>
      <c r="M58" s="116">
        <f t="shared" si="44"/>
        <v>5.6054432835417001E-2</v>
      </c>
      <c r="N58" s="179">
        <f t="shared" si="44"/>
        <v>7.5239807426640271E-2</v>
      </c>
      <c r="O58" s="116">
        <f t="shared" ref="O58:W58" si="45">N58*$X71</f>
        <v>7.7435757120701054E-2</v>
      </c>
      <c r="P58" s="116">
        <f t="shared" si="45"/>
        <v>7.9695797822218861E-2</v>
      </c>
      <c r="Q58" s="116">
        <f t="shared" si="45"/>
        <v>8.2021800091911887E-2</v>
      </c>
      <c r="R58" s="116">
        <f t="shared" si="45"/>
        <v>8.4415689084700235E-2</v>
      </c>
      <c r="S58" s="116">
        <f t="shared" si="45"/>
        <v>8.6879446143092745E-2</v>
      </c>
      <c r="T58" s="116">
        <f t="shared" si="45"/>
        <v>8.941511043707849E-2</v>
      </c>
      <c r="U58" s="116">
        <f t="shared" si="45"/>
        <v>9.202478065188012E-2</v>
      </c>
      <c r="V58" s="116">
        <f t="shared" si="45"/>
        <v>9.4710616724966029E-2</v>
      </c>
      <c r="W58" s="116">
        <f t="shared" si="45"/>
        <v>9.7474841633758899E-2</v>
      </c>
      <c r="X58" s="179">
        <f t="shared" ref="X58:X66" si="46">X34/X$49</f>
        <v>0.10031974323552033</v>
      </c>
      <c r="Y58" s="174">
        <f>X58*$AH71</f>
        <v>0.1025834765563606</v>
      </c>
      <c r="Z58" s="174">
        <f t="shared" ref="Z58:AG58" si="47">Y58*$AH71</f>
        <v>0.10489829143286088</v>
      </c>
      <c r="AA58" s="174">
        <f t="shared" si="47"/>
        <v>0.10726534052965025</v>
      </c>
      <c r="AB58" s="174">
        <f t="shared" si="47"/>
        <v>0.10968580252144562</v>
      </c>
      <c r="AC58" s="174">
        <f t="shared" si="47"/>
        <v>0.11216088267997404</v>
      </c>
      <c r="AD58" s="174">
        <f t="shared" si="47"/>
        <v>0.11469181347413913</v>
      </c>
      <c r="AE58" s="174">
        <f t="shared" si="47"/>
        <v>0.11727985518373032</v>
      </c>
      <c r="AF58" s="174">
        <f t="shared" si="47"/>
        <v>0.11992629652698059</v>
      </c>
      <c r="AG58" s="174">
        <f t="shared" si="47"/>
        <v>0.12263245530228507</v>
      </c>
      <c r="AH58" s="179">
        <f t="shared" ref="AH58:AH66" si="48">AH34/AH$49</f>
        <v>0.12539967904440041</v>
      </c>
      <c r="AI58" s="128"/>
    </row>
    <row r="59" spans="1:35">
      <c r="A59" s="9" t="s">
        <v>52</v>
      </c>
      <c r="B59" s="37"/>
      <c r="C59" s="306">
        <f t="shared" ref="C59:C65" si="49">C35/C$49</f>
        <v>4.5882925128242786E-7</v>
      </c>
      <c r="D59" s="306">
        <f t="shared" si="43"/>
        <v>5.8518026606458014E-7</v>
      </c>
      <c r="E59" s="306">
        <f t="shared" si="43"/>
        <v>7.4632544205563241E-7</v>
      </c>
      <c r="F59" s="306">
        <f t="shared" si="43"/>
        <v>9.518462903840724E-7</v>
      </c>
      <c r="G59" s="306">
        <f t="shared" si="43"/>
        <v>1.2139628498024381E-6</v>
      </c>
      <c r="H59" s="367">
        <f>H35/H$49</f>
        <v>5.060651016822692E-7</v>
      </c>
      <c r="I59" s="116">
        <f t="shared" si="44"/>
        <v>6.4542378242171714E-7</v>
      </c>
      <c r="J59" s="116">
        <f t="shared" si="44"/>
        <v>8.2315863617305687E-7</v>
      </c>
      <c r="K59" s="116">
        <f t="shared" si="44"/>
        <v>1.0498375776669979E-6</v>
      </c>
      <c r="L59" s="116">
        <f t="shared" si="44"/>
        <v>1.3389386821059815E-6</v>
      </c>
      <c r="M59" s="116">
        <f t="shared" si="44"/>
        <v>1.7076515763739922E-6</v>
      </c>
      <c r="N59" s="179">
        <f t="shared" si="44"/>
        <v>2.1778995149396717E-6</v>
      </c>
      <c r="O59" s="116">
        <f t="shared" ref="O59:V59" si="50">N59*$X72</f>
        <v>2.2414637097070489E-6</v>
      </c>
      <c r="P59" s="116">
        <f t="shared" si="50"/>
        <v>2.3068830896327445E-6</v>
      </c>
      <c r="Q59" s="116">
        <f t="shared" si="50"/>
        <v>2.3742118001674204E-6</v>
      </c>
      <c r="R59" s="116">
        <f t="shared" si="50"/>
        <v>2.4435055670513471E-6</v>
      </c>
      <c r="S59" s="116">
        <f t="shared" si="50"/>
        <v>2.5148217424367504E-6</v>
      </c>
      <c r="T59" s="116">
        <f t="shared" si="50"/>
        <v>2.5882193523562845E-6</v>
      </c>
      <c r="U59" s="116">
        <f t="shared" si="50"/>
        <v>2.6637591455769219E-6</v>
      </c>
      <c r="V59" s="116">
        <f t="shared" si="50"/>
        <v>2.741503643879693E-6</v>
      </c>
      <c r="W59" s="116">
        <f>V59*$X72</f>
        <v>2.8215171938068895E-6</v>
      </c>
      <c r="X59" s="179">
        <f t="shared" si="46"/>
        <v>2.9038660199195626E-6</v>
      </c>
      <c r="Y59" s="174">
        <f>X59*$AH72</f>
        <v>2.9693922867992032E-6</v>
      </c>
      <c r="Z59" s="174">
        <f t="shared" ref="Z59:AG59" si="51">Y59*$AH72</f>
        <v>3.0363971658536924E-6</v>
      </c>
      <c r="AA59" s="174">
        <f t="shared" si="51"/>
        <v>3.1049140222366961E-6</v>
      </c>
      <c r="AB59" s="174">
        <f t="shared" si="51"/>
        <v>3.1749769739926645E-6</v>
      </c>
      <c r="AC59" s="174">
        <f t="shared" si="51"/>
        <v>3.2466209090459493E-6</v>
      </c>
      <c r="AD59" s="174">
        <f t="shared" si="51"/>
        <v>3.319881502573284E-6</v>
      </c>
      <c r="AE59" s="174">
        <f t="shared" si="51"/>
        <v>3.3947952347682787E-6</v>
      </c>
      <c r="AF59" s="174">
        <f t="shared" si="51"/>
        <v>3.4713994090067722E-6</v>
      </c>
      <c r="AG59" s="174">
        <f t="shared" si="51"/>
        <v>3.5497321704220889E-6</v>
      </c>
      <c r="AH59" s="179">
        <f t="shared" si="48"/>
        <v>3.6298325248994531E-6</v>
      </c>
      <c r="AI59" s="128"/>
    </row>
    <row r="60" spans="1:35">
      <c r="A60" s="9" t="s">
        <v>125</v>
      </c>
      <c r="B60" s="37"/>
      <c r="C60" s="306">
        <f t="shared" si="49"/>
        <v>0</v>
      </c>
      <c r="D60" s="306">
        <v>0</v>
      </c>
      <c r="E60" s="306">
        <v>0</v>
      </c>
      <c r="F60" s="306">
        <v>0</v>
      </c>
      <c r="G60" s="306">
        <v>0</v>
      </c>
      <c r="H60" s="367">
        <f t="shared" ref="H60:H66" si="52">H36/H$49</f>
        <v>0</v>
      </c>
      <c r="I60" s="174">
        <v>0</v>
      </c>
      <c r="J60" s="174">
        <v>0</v>
      </c>
      <c r="K60" s="174">
        <v>0</v>
      </c>
      <c r="L60" s="174">
        <v>0</v>
      </c>
      <c r="M60" s="174">
        <v>0</v>
      </c>
      <c r="N60" s="179">
        <v>0</v>
      </c>
      <c r="O60" s="116">
        <f t="shared" ref="O60:W60" si="53">O36/O$49</f>
        <v>0</v>
      </c>
      <c r="P60" s="116">
        <f t="shared" si="53"/>
        <v>0</v>
      </c>
      <c r="Q60" s="116">
        <f t="shared" si="53"/>
        <v>0</v>
      </c>
      <c r="R60" s="116">
        <f t="shared" si="53"/>
        <v>0</v>
      </c>
      <c r="S60" s="116">
        <f t="shared" si="53"/>
        <v>0</v>
      </c>
      <c r="T60" s="116">
        <f t="shared" si="53"/>
        <v>0</v>
      </c>
      <c r="U60" s="116">
        <f t="shared" si="53"/>
        <v>0</v>
      </c>
      <c r="V60" s="116">
        <f t="shared" si="53"/>
        <v>0</v>
      </c>
      <c r="W60" s="116">
        <f t="shared" si="53"/>
        <v>0</v>
      </c>
      <c r="X60" s="179">
        <f t="shared" si="46"/>
        <v>0</v>
      </c>
      <c r="Y60" s="174">
        <f t="shared" ref="Y60:AG66" si="54">X60*$AH73</f>
        <v>0</v>
      </c>
      <c r="Z60" s="174">
        <f t="shared" si="54"/>
        <v>0</v>
      </c>
      <c r="AA60" s="174">
        <f t="shared" si="54"/>
        <v>0</v>
      </c>
      <c r="AB60" s="174">
        <f t="shared" si="54"/>
        <v>0</v>
      </c>
      <c r="AC60" s="174">
        <f t="shared" si="54"/>
        <v>0</v>
      </c>
      <c r="AD60" s="174">
        <f t="shared" si="54"/>
        <v>0</v>
      </c>
      <c r="AE60" s="174">
        <f t="shared" si="54"/>
        <v>0</v>
      </c>
      <c r="AF60" s="174">
        <f t="shared" si="54"/>
        <v>0</v>
      </c>
      <c r="AG60" s="174">
        <f t="shared" si="54"/>
        <v>0</v>
      </c>
      <c r="AH60" s="179">
        <f t="shared" si="48"/>
        <v>0</v>
      </c>
      <c r="AI60" s="128"/>
    </row>
    <row r="61" spans="1:35">
      <c r="A61" s="9" t="s">
        <v>53</v>
      </c>
      <c r="B61" s="37"/>
      <c r="C61" s="306">
        <f t="shared" si="49"/>
        <v>8.4699879786736178E-3</v>
      </c>
      <c r="D61" s="306">
        <f t="shared" ref="D61:M61" si="55">C61*($N74)</f>
        <v>1.0514075575947763E-2</v>
      </c>
      <c r="E61" s="306">
        <f t="shared" si="55"/>
        <v>1.3051468962539486E-2</v>
      </c>
      <c r="F61" s="306">
        <f t="shared" si="55"/>
        <v>1.6201219103827547E-2</v>
      </c>
      <c r="G61" s="306">
        <f t="shared" si="55"/>
        <v>2.0111107891655655E-2</v>
      </c>
      <c r="H61" s="367">
        <f t="shared" si="52"/>
        <v>1.3913667874585022E-2</v>
      </c>
      <c r="I61" s="116">
        <f t="shared" si="55"/>
        <v>1.7271495064734674E-2</v>
      </c>
      <c r="J61" s="116">
        <f t="shared" si="55"/>
        <v>2.1439676759572729E-2</v>
      </c>
      <c r="K61" s="116">
        <f t="shared" si="55"/>
        <v>2.6613778241670959E-2</v>
      </c>
      <c r="L61" s="116">
        <f t="shared" si="55"/>
        <v>3.3036561149672579E-2</v>
      </c>
      <c r="M61" s="116">
        <f t="shared" si="55"/>
        <v>4.1009373516427507E-2</v>
      </c>
      <c r="N61" s="179">
        <f>M61*($N74)</f>
        <v>5.090628859918532E-2</v>
      </c>
      <c r="O61" s="116">
        <f t="shared" ref="O61:W61" si="56">N61*$X74</f>
        <v>5.2392039994603838E-2</v>
      </c>
      <c r="P61" s="116">
        <f t="shared" si="56"/>
        <v>5.3921154543568446E-2</v>
      </c>
      <c r="Q61" s="116">
        <f t="shared" si="56"/>
        <v>5.5494897843467277E-2</v>
      </c>
      <c r="R61" s="116">
        <f t="shared" si="56"/>
        <v>5.7114572429425185E-2</v>
      </c>
      <c r="S61" s="116">
        <f t="shared" si="56"/>
        <v>5.8781518852368861E-2</v>
      </c>
      <c r="T61" s="116">
        <f t="shared" si="56"/>
        <v>6.0497116788556349E-2</v>
      </c>
      <c r="U61" s="116">
        <f t="shared" si="56"/>
        <v>6.2262786181489324E-2</v>
      </c>
      <c r="V61" s="116">
        <f t="shared" si="56"/>
        <v>6.4079988417153247E-2</v>
      </c>
      <c r="W61" s="116">
        <f t="shared" si="56"/>
        <v>6.5950227533558045E-2</v>
      </c>
      <c r="X61" s="179">
        <f t="shared" si="46"/>
        <v>6.7875051465580469E-2</v>
      </c>
      <c r="Y61" s="174">
        <f t="shared" si="54"/>
        <v>6.9406664393413198E-2</v>
      </c>
      <c r="Z61" s="174">
        <f t="shared" si="54"/>
        <v>7.0972838446579201E-2</v>
      </c>
      <c r="AA61" s="174">
        <f t="shared" si="54"/>
        <v>7.2574353503181227E-2</v>
      </c>
      <c r="AB61" s="174">
        <f t="shared" si="54"/>
        <v>7.4212007039413788E-2</v>
      </c>
      <c r="AC61" s="174">
        <f t="shared" si="54"/>
        <v>7.5886614526667312E-2</v>
      </c>
      <c r="AD61" s="174">
        <f t="shared" si="54"/>
        <v>7.7599009837593047E-2</v>
      </c>
      <c r="AE61" s="174">
        <f t="shared" si="54"/>
        <v>7.9350045661330817E-2</v>
      </c>
      <c r="AF61" s="174">
        <f t="shared" si="54"/>
        <v>8.1140593928106589E-2</v>
      </c>
      <c r="AG61" s="174">
        <f t="shared" si="54"/>
        <v>8.2971546243411048E-2</v>
      </c>
      <c r="AH61" s="179">
        <f t="shared" si="48"/>
        <v>8.4843814331975576E-2</v>
      </c>
      <c r="AI61" s="128"/>
    </row>
    <row r="62" spans="1:35">
      <c r="A62" s="9" t="s">
        <v>353</v>
      </c>
      <c r="B62" s="37"/>
      <c r="C62" s="309">
        <f t="shared" si="49"/>
        <v>0</v>
      </c>
      <c r="D62" s="309">
        <f t="shared" ref="D62:N62" si="57">C62*($N75)</f>
        <v>0</v>
      </c>
      <c r="E62" s="309">
        <f t="shared" si="57"/>
        <v>0</v>
      </c>
      <c r="F62" s="309">
        <f t="shared" si="57"/>
        <v>0</v>
      </c>
      <c r="G62" s="309">
        <f t="shared" si="57"/>
        <v>0</v>
      </c>
      <c r="H62" s="367">
        <f t="shared" si="52"/>
        <v>2.9067417916936351E-3</v>
      </c>
      <c r="I62" s="116">
        <f t="shared" si="57"/>
        <v>4.1281144984260934E-3</v>
      </c>
      <c r="J62" s="116">
        <f t="shared" si="57"/>
        <v>5.8626911275068763E-3</v>
      </c>
      <c r="K62" s="116">
        <f t="shared" si="57"/>
        <v>8.3261128705738111E-3</v>
      </c>
      <c r="L62" s="116">
        <f t="shared" si="57"/>
        <v>1.1824630366125929E-2</v>
      </c>
      <c r="M62" s="116">
        <f t="shared" si="57"/>
        <v>1.6793176536156099E-2</v>
      </c>
      <c r="N62" s="179">
        <f t="shared" si="57"/>
        <v>2.3849437102269281E-2</v>
      </c>
      <c r="O62" s="116">
        <f t="shared" ref="O62:W62" si="58">N62*$X75</f>
        <v>2.4545506987340607E-2</v>
      </c>
      <c r="P62" s="116">
        <f t="shared" si="58"/>
        <v>2.5261892374317724E-2</v>
      </c>
      <c r="Q62" s="116">
        <f t="shared" si="58"/>
        <v>2.5999186191621379E-2</v>
      </c>
      <c r="R62" s="116">
        <f t="shared" si="58"/>
        <v>2.6757998672886522E-2</v>
      </c>
      <c r="S62" s="116">
        <f t="shared" si="58"/>
        <v>2.7538957862032441E-2</v>
      </c>
      <c r="T62" s="116">
        <f t="shared" si="58"/>
        <v>2.8342710133073885E-2</v>
      </c>
      <c r="U62" s="116">
        <f t="shared" si="58"/>
        <v>2.9169920725103392E-2</v>
      </c>
      <c r="V62" s="116">
        <f t="shared" si="58"/>
        <v>3.0021274292887618E-2</v>
      </c>
      <c r="W62" s="116">
        <f t="shared" si="58"/>
        <v>3.0897475473533373E-2</v>
      </c>
      <c r="X62" s="179">
        <f t="shared" si="46"/>
        <v>3.1799249469692356E-2</v>
      </c>
      <c r="Y62" s="174">
        <f t="shared" si="54"/>
        <v>3.2516805339360563E-2</v>
      </c>
      <c r="Z62" s="174">
        <f t="shared" si="54"/>
        <v>3.3250552988227398E-2</v>
      </c>
      <c r="AA62" s="174">
        <f t="shared" si="54"/>
        <v>3.4000857786746504E-2</v>
      </c>
      <c r="AB62" s="174">
        <f t="shared" si="54"/>
        <v>3.4768093350022518E-2</v>
      </c>
      <c r="AC62" s="174">
        <f t="shared" si="54"/>
        <v>3.5552641723853119E-2</v>
      </c>
      <c r="AD62" s="174">
        <f t="shared" si="54"/>
        <v>3.6354893574969162E-2</v>
      </c>
      <c r="AE62" s="174">
        <f t="shared" si="54"/>
        <v>3.7175248385567607E-2</v>
      </c>
      <c r="AF62" s="174">
        <f t="shared" si="54"/>
        <v>3.8014114652234109E-2</v>
      </c>
      <c r="AG62" s="174">
        <f t="shared" si="54"/>
        <v>3.887191008935436E-2</v>
      </c>
      <c r="AH62" s="179">
        <f t="shared" si="48"/>
        <v>3.9749061837115442E-2</v>
      </c>
      <c r="AI62" s="128"/>
    </row>
    <row r="63" spans="1:35">
      <c r="A63" s="9" t="s">
        <v>354</v>
      </c>
      <c r="B63" s="37"/>
      <c r="C63" s="309">
        <f t="shared" si="49"/>
        <v>0</v>
      </c>
      <c r="D63" s="309">
        <f t="shared" ref="D63:N63" si="59">C63*($N76)</f>
        <v>0</v>
      </c>
      <c r="E63" s="309">
        <f t="shared" si="59"/>
        <v>0</v>
      </c>
      <c r="F63" s="309">
        <f t="shared" si="59"/>
        <v>0</v>
      </c>
      <c r="G63" s="309">
        <f t="shared" si="59"/>
        <v>0</v>
      </c>
      <c r="H63" s="367">
        <f t="shared" si="52"/>
        <v>5.060651016822692E-7</v>
      </c>
      <c r="I63" s="116">
        <f t="shared" si="59"/>
        <v>6.4542378242171714E-7</v>
      </c>
      <c r="J63" s="116">
        <f t="shared" si="59"/>
        <v>8.2315863617305687E-7</v>
      </c>
      <c r="K63" s="116">
        <f t="shared" si="59"/>
        <v>1.0498375776669979E-6</v>
      </c>
      <c r="L63" s="116">
        <f t="shared" si="59"/>
        <v>1.3389386821059815E-6</v>
      </c>
      <c r="M63" s="116">
        <f t="shared" si="59"/>
        <v>1.7076515763739922E-6</v>
      </c>
      <c r="N63" s="179">
        <f t="shared" si="59"/>
        <v>2.1778995149396717E-6</v>
      </c>
      <c r="O63" s="116">
        <f t="shared" ref="O63:W63" si="60">N63*$X76</f>
        <v>2.2414637097070489E-6</v>
      </c>
      <c r="P63" s="116">
        <f t="shared" si="60"/>
        <v>2.3068830896327445E-6</v>
      </c>
      <c r="Q63" s="116">
        <f t="shared" si="60"/>
        <v>2.3742118001674204E-6</v>
      </c>
      <c r="R63" s="116">
        <f t="shared" si="60"/>
        <v>2.4435055670513471E-6</v>
      </c>
      <c r="S63" s="116">
        <f t="shared" si="60"/>
        <v>2.5148217424367504E-6</v>
      </c>
      <c r="T63" s="116">
        <f t="shared" si="60"/>
        <v>2.5882193523562845E-6</v>
      </c>
      <c r="U63" s="116">
        <f t="shared" si="60"/>
        <v>2.6637591455769219E-6</v>
      </c>
      <c r="V63" s="116">
        <f t="shared" si="60"/>
        <v>2.741503643879693E-6</v>
      </c>
      <c r="W63" s="116">
        <f t="shared" si="60"/>
        <v>2.8215171938068895E-6</v>
      </c>
      <c r="X63" s="179">
        <f t="shared" si="46"/>
        <v>2.9038660199195626E-6</v>
      </c>
      <c r="Y63" s="174">
        <f t="shared" si="54"/>
        <v>2.9693922867992032E-6</v>
      </c>
      <c r="Z63" s="174">
        <f t="shared" si="54"/>
        <v>3.0363971658536924E-6</v>
      </c>
      <c r="AA63" s="174">
        <f t="shared" si="54"/>
        <v>3.1049140222366961E-6</v>
      </c>
      <c r="AB63" s="174">
        <f t="shared" si="54"/>
        <v>3.1749769739926645E-6</v>
      </c>
      <c r="AC63" s="174">
        <f t="shared" si="54"/>
        <v>3.2466209090459493E-6</v>
      </c>
      <c r="AD63" s="174">
        <f t="shared" si="54"/>
        <v>3.319881502573284E-6</v>
      </c>
      <c r="AE63" s="174">
        <f t="shared" si="54"/>
        <v>3.3947952347682787E-6</v>
      </c>
      <c r="AF63" s="174">
        <f t="shared" si="54"/>
        <v>3.4713994090067722E-6</v>
      </c>
      <c r="AG63" s="174">
        <f t="shared" si="54"/>
        <v>3.5497321704220889E-6</v>
      </c>
      <c r="AH63" s="179">
        <f t="shared" si="48"/>
        <v>3.6298325248994531E-6</v>
      </c>
      <c r="AI63" s="128"/>
    </row>
    <row r="64" spans="1:35">
      <c r="A64" s="9" t="s">
        <v>350</v>
      </c>
      <c r="B64" s="37"/>
      <c r="C64" s="306">
        <f t="shared" si="49"/>
        <v>4.5882925128242786E-10</v>
      </c>
      <c r="D64" s="306">
        <f t="shared" ref="D64:N64" si="61">C64*($N77)</f>
        <v>5.8518026606458008E-10</v>
      </c>
      <c r="E64" s="306">
        <f t="shared" si="61"/>
        <v>7.4632544205563233E-10</v>
      </c>
      <c r="F64" s="306">
        <f t="shared" si="61"/>
        <v>9.5184629038407236E-10</v>
      </c>
      <c r="G64" s="306">
        <f t="shared" si="61"/>
        <v>1.2139628498024379E-9</v>
      </c>
      <c r="H64" s="367">
        <f t="shared" si="52"/>
        <v>5.0606510168226924E-10</v>
      </c>
      <c r="I64" s="116">
        <f t="shared" si="61"/>
        <v>6.4542378242171715E-10</v>
      </c>
      <c r="J64" s="116">
        <f t="shared" si="61"/>
        <v>8.2315863617305688E-10</v>
      </c>
      <c r="K64" s="116">
        <f t="shared" si="61"/>
        <v>1.0498375776669978E-9</v>
      </c>
      <c r="L64" s="116">
        <f t="shared" si="61"/>
        <v>1.3389386821059812E-9</v>
      </c>
      <c r="M64" s="116">
        <f t="shared" si="61"/>
        <v>1.707651576373992E-9</v>
      </c>
      <c r="N64" s="179">
        <f t="shared" si="61"/>
        <v>2.1778995149396713E-9</v>
      </c>
      <c r="O64" s="116">
        <f t="shared" ref="O64:W64" si="62">N64*$X77</f>
        <v>2.2414637097070486E-9</v>
      </c>
      <c r="P64" s="116">
        <f t="shared" si="62"/>
        <v>2.3068830896327443E-9</v>
      </c>
      <c r="Q64" s="116">
        <f t="shared" si="62"/>
        <v>2.3742118001674205E-9</v>
      </c>
      <c r="R64" s="116">
        <f t="shared" si="62"/>
        <v>2.4435055670513475E-9</v>
      </c>
      <c r="S64" s="116">
        <f t="shared" si="62"/>
        <v>2.5148217424367505E-9</v>
      </c>
      <c r="T64" s="116">
        <f t="shared" si="62"/>
        <v>2.5882193523562845E-9</v>
      </c>
      <c r="U64" s="116">
        <f t="shared" si="62"/>
        <v>2.6637591455769222E-9</v>
      </c>
      <c r="V64" s="116">
        <f t="shared" si="62"/>
        <v>2.7415036438796936E-9</v>
      </c>
      <c r="W64" s="116">
        <f t="shared" si="62"/>
        <v>2.8215171938068904E-9</v>
      </c>
      <c r="X64" s="179">
        <f t="shared" si="46"/>
        <v>2.9038660199195628E-9</v>
      </c>
      <c r="Y64" s="174">
        <f t="shared" si="54"/>
        <v>2.9693922867992034E-9</v>
      </c>
      <c r="Z64" s="174">
        <f t="shared" si="54"/>
        <v>3.0363971658536926E-9</v>
      </c>
      <c r="AA64" s="174">
        <f t="shared" si="54"/>
        <v>3.1049140222366963E-9</v>
      </c>
      <c r="AB64" s="174">
        <f t="shared" si="54"/>
        <v>3.1749769739926648E-9</v>
      </c>
      <c r="AC64" s="174">
        <f t="shared" si="54"/>
        <v>3.2466209090459496E-9</v>
      </c>
      <c r="AD64" s="174">
        <f t="shared" si="54"/>
        <v>3.3198815025732844E-9</v>
      </c>
      <c r="AE64" s="174">
        <f t="shared" si="54"/>
        <v>3.3947952347682793E-9</v>
      </c>
      <c r="AF64" s="174">
        <f t="shared" si="54"/>
        <v>3.4713994090067727E-9</v>
      </c>
      <c r="AG64" s="174">
        <f t="shared" si="54"/>
        <v>3.5497321704220894E-9</v>
      </c>
      <c r="AH64" s="179">
        <f t="shared" si="48"/>
        <v>3.6298325248994529E-9</v>
      </c>
      <c r="AI64" s="128"/>
    </row>
    <row r="65" spans="1:35">
      <c r="A65" s="9" t="s">
        <v>126</v>
      </c>
      <c r="B65" s="37"/>
      <c r="C65" s="306">
        <f t="shared" si="49"/>
        <v>0</v>
      </c>
      <c r="D65" s="306">
        <v>0</v>
      </c>
      <c r="E65" s="306">
        <v>0</v>
      </c>
      <c r="F65" s="306">
        <v>0</v>
      </c>
      <c r="G65" s="306">
        <v>0</v>
      </c>
      <c r="H65" s="367">
        <f t="shared" si="52"/>
        <v>5.0606510168226916E-6</v>
      </c>
      <c r="I65" s="174">
        <v>0</v>
      </c>
      <c r="J65" s="174">
        <v>0</v>
      </c>
      <c r="K65" s="174">
        <v>0</v>
      </c>
      <c r="L65" s="174">
        <v>0</v>
      </c>
      <c r="M65" s="174">
        <v>0</v>
      </c>
      <c r="N65" s="179">
        <v>0</v>
      </c>
      <c r="O65" s="116">
        <f t="shared" ref="O65:AG65" si="63">O41/O$49</f>
        <v>3.8191394022879741E-5</v>
      </c>
      <c r="P65" s="116">
        <f t="shared" si="63"/>
        <v>4.2461832097083828E-5</v>
      </c>
      <c r="Q65" s="116">
        <f t="shared" si="63"/>
        <v>4.6531610095334338E-5</v>
      </c>
      <c r="R65" s="116">
        <f t="shared" si="63"/>
        <v>5.0172134664600136E-5</v>
      </c>
      <c r="S65" s="116">
        <f t="shared" si="63"/>
        <v>5.3729417525026197E-5</v>
      </c>
      <c r="T65" s="116">
        <f t="shared" si="63"/>
        <v>5.7130955571967362E-5</v>
      </c>
      <c r="U65" s="116">
        <f t="shared" si="63"/>
        <v>6.0376458083915668E-5</v>
      </c>
      <c r="V65" s="116">
        <f t="shared" si="63"/>
        <v>6.3494271077005825E-5</v>
      </c>
      <c r="W65" s="116">
        <f t="shared" si="63"/>
        <v>6.6952497479217548E-5</v>
      </c>
      <c r="X65" s="179">
        <f t="shared" si="46"/>
        <v>7.047037653984456E-5</v>
      </c>
      <c r="Y65" s="174">
        <f t="shared" si="63"/>
        <v>7.3885999845955895E-5</v>
      </c>
      <c r="Z65" s="174">
        <f t="shared" si="63"/>
        <v>7.7185231091891283E-5</v>
      </c>
      <c r="AA65" s="174">
        <f t="shared" si="63"/>
        <v>8.0380301067793606E-5</v>
      </c>
      <c r="AB65" s="174">
        <f t="shared" si="63"/>
        <v>8.3489091178186013E-5</v>
      </c>
      <c r="AC65" s="174">
        <f t="shared" si="63"/>
        <v>8.6510402978197696E-5</v>
      </c>
      <c r="AD65" s="174">
        <f t="shared" si="63"/>
        <v>8.9413108180138193E-5</v>
      </c>
      <c r="AE65" s="174">
        <f t="shared" si="63"/>
        <v>9.2051839177336416E-5</v>
      </c>
      <c r="AF65" s="174">
        <f t="shared" si="63"/>
        <v>9.4725771354797918E-5</v>
      </c>
      <c r="AG65" s="174">
        <f t="shared" si="63"/>
        <v>9.7363299250361778E-5</v>
      </c>
      <c r="AH65" s="179">
        <f t="shared" si="48"/>
        <v>9.9989188206112324E-5</v>
      </c>
      <c r="AI65" s="128"/>
    </row>
    <row r="66" spans="1:35">
      <c r="A66" s="9" t="s">
        <v>55</v>
      </c>
      <c r="B66" s="37"/>
      <c r="C66" s="306">
        <f>C42/C$49</f>
        <v>4.5882925128242786E-7</v>
      </c>
      <c r="D66" s="306">
        <f t="shared" ref="D66:N66" si="64">C66*($N79)</f>
        <v>5.8518026606458014E-7</v>
      </c>
      <c r="E66" s="306">
        <f t="shared" si="64"/>
        <v>7.4632544205563241E-7</v>
      </c>
      <c r="F66" s="306">
        <f t="shared" si="64"/>
        <v>9.518462903840724E-7</v>
      </c>
      <c r="G66" s="306">
        <f t="shared" si="64"/>
        <v>1.2139628498024381E-6</v>
      </c>
      <c r="H66" s="367">
        <f t="shared" si="52"/>
        <v>2.5303255084113459E-8</v>
      </c>
      <c r="I66" s="116">
        <f t="shared" si="64"/>
        <v>3.2271189121085857E-8</v>
      </c>
      <c r="J66" s="116">
        <f t="shared" si="64"/>
        <v>4.1157931808652844E-8</v>
      </c>
      <c r="K66" s="116">
        <f t="shared" si="64"/>
        <v>5.2491878883349894E-8</v>
      </c>
      <c r="L66" s="116">
        <f t="shared" si="64"/>
        <v>6.6946934105299069E-8</v>
      </c>
      <c r="M66" s="116">
        <f t="shared" si="64"/>
        <v>8.5382578818699598E-8</v>
      </c>
      <c r="N66" s="179">
        <f t="shared" si="64"/>
        <v>1.0889497574698357E-7</v>
      </c>
      <c r="O66" s="116">
        <f t="shared" ref="O66:W66" si="65">N66*$X79</f>
        <v>1.1207318548535243E-7</v>
      </c>
      <c r="P66" s="116">
        <f t="shared" si="65"/>
        <v>1.1534415448163721E-7</v>
      </c>
      <c r="Q66" s="116">
        <f t="shared" si="65"/>
        <v>1.1871059000837101E-7</v>
      </c>
      <c r="R66" s="116">
        <f t="shared" si="65"/>
        <v>1.2217527835256735E-7</v>
      </c>
      <c r="S66" s="116">
        <f t="shared" si="65"/>
        <v>1.257410871218375E-7</v>
      </c>
      <c r="T66" s="116">
        <f t="shared" si="65"/>
        <v>1.2941096761781419E-7</v>
      </c>
      <c r="U66" s="116">
        <f t="shared" si="65"/>
        <v>1.3318795727884607E-7</v>
      </c>
      <c r="V66" s="116">
        <f t="shared" si="65"/>
        <v>1.3707518219398463E-7</v>
      </c>
      <c r="W66" s="116">
        <f t="shared" si="65"/>
        <v>1.4107585969034446E-7</v>
      </c>
      <c r="X66" s="179">
        <f t="shared" si="46"/>
        <v>1.4519330099597813E-7</v>
      </c>
      <c r="Y66" s="174">
        <f t="shared" si="54"/>
        <v>1.4846961433996018E-7</v>
      </c>
      <c r="Z66" s="174">
        <f t="shared" si="54"/>
        <v>1.5181985829268464E-7</v>
      </c>
      <c r="AA66" s="174">
        <f t="shared" si="54"/>
        <v>1.5524570111183483E-7</v>
      </c>
      <c r="AB66" s="174">
        <f t="shared" si="54"/>
        <v>1.5874884869963325E-7</v>
      </c>
      <c r="AC66" s="174">
        <f t="shared" si="54"/>
        <v>1.6233104545229747E-7</v>
      </c>
      <c r="AD66" s="174">
        <f t="shared" si="54"/>
        <v>1.659940751286642E-7</v>
      </c>
      <c r="AE66" s="174">
        <f t="shared" si="54"/>
        <v>1.6973976173841393E-7</v>
      </c>
      <c r="AF66" s="174">
        <f t="shared" si="54"/>
        <v>1.735699704503386E-7</v>
      </c>
      <c r="AG66" s="174">
        <f t="shared" si="54"/>
        <v>1.7748660852110445E-7</v>
      </c>
      <c r="AH66" s="179">
        <f t="shared" si="48"/>
        <v>1.8149162624497266E-7</v>
      </c>
      <c r="AI66" s="128"/>
    </row>
    <row r="67" spans="1:35" s="1" customFormat="1">
      <c r="A67" s="11" t="s">
        <v>547</v>
      </c>
      <c r="B67" s="36"/>
      <c r="C67" s="310">
        <f t="shared" ref="C67:AG67" si="66">SUM(C58:C66)</f>
        <v>1.9868224697860943E-2</v>
      </c>
      <c r="D67" s="310">
        <f t="shared" si="66"/>
        <v>2.5813448883309185E-2</v>
      </c>
      <c r="E67" s="310">
        <f t="shared" si="66"/>
        <v>3.3587177790022481E-2</v>
      </c>
      <c r="F67" s="310">
        <f t="shared" si="66"/>
        <v>4.3765447305558432E-2</v>
      </c>
      <c r="G67" s="310">
        <f t="shared" si="66"/>
        <v>5.7109432124417804E-2</v>
      </c>
      <c r="H67" s="374">
        <f t="shared" si="66"/>
        <v>2.96918521519672E-2</v>
      </c>
      <c r="I67" s="85">
        <f t="shared" si="66"/>
        <v>3.8669612148700988E-2</v>
      </c>
      <c r="J67" s="85">
        <f t="shared" si="66"/>
        <v>5.0483169831042937E-2</v>
      </c>
      <c r="K67" s="85">
        <f t="shared" si="66"/>
        <v>6.6054517666163409E-2</v>
      </c>
      <c r="L67" s="85">
        <f t="shared" si="66"/>
        <v>8.6625068494845497E-2</v>
      </c>
      <c r="M67" s="85">
        <f t="shared" si="66"/>
        <v>0.11386048528138375</v>
      </c>
      <c r="N67" s="184">
        <f>SUM(N58:N66)</f>
        <v>0.15000000000000002</v>
      </c>
      <c r="O67" s="85">
        <f t="shared" si="66"/>
        <v>0.15441609273873697</v>
      </c>
      <c r="P67" s="85">
        <f t="shared" si="66"/>
        <v>0.15892603798941896</v>
      </c>
      <c r="Q67" s="85">
        <f t="shared" si="66"/>
        <v>0.16356728524549802</v>
      </c>
      <c r="R67" s="85">
        <f t="shared" si="66"/>
        <v>0.16834344395159456</v>
      </c>
      <c r="S67" s="85">
        <f t="shared" si="66"/>
        <v>0.1732588101744128</v>
      </c>
      <c r="T67" s="85">
        <f t="shared" si="66"/>
        <v>0.17831737675217238</v>
      </c>
      <c r="U67" s="85">
        <f t="shared" si="66"/>
        <v>0.18352332738656429</v>
      </c>
      <c r="V67" s="85">
        <f t="shared" si="66"/>
        <v>0.18888099653005752</v>
      </c>
      <c r="W67" s="85">
        <f t="shared" si="66"/>
        <v>0.19439528407009402</v>
      </c>
      <c r="X67" s="184">
        <f t="shared" si="66"/>
        <v>0.20007047037653983</v>
      </c>
      <c r="Y67" s="85">
        <f t="shared" si="66"/>
        <v>0.20458692251256058</v>
      </c>
      <c r="Z67" s="85">
        <f t="shared" si="66"/>
        <v>0.20920509574934656</v>
      </c>
      <c r="AA67" s="85">
        <f t="shared" si="66"/>
        <v>0.2139273002993054</v>
      </c>
      <c r="AB67" s="85">
        <f t="shared" si="66"/>
        <v>0.21875590387983379</v>
      </c>
      <c r="AC67" s="85">
        <f t="shared" si="66"/>
        <v>0.2236933081529571</v>
      </c>
      <c r="AD67" s="85">
        <f t="shared" si="66"/>
        <v>0.22874193907184323</v>
      </c>
      <c r="AE67" s="85">
        <f t="shared" si="66"/>
        <v>0.23390416379483259</v>
      </c>
      <c r="AF67" s="85">
        <f t="shared" si="66"/>
        <v>0.23918285071886397</v>
      </c>
      <c r="AG67" s="85">
        <f t="shared" si="66"/>
        <v>0.24458055543498242</v>
      </c>
      <c r="AH67" s="184">
        <f>SUM(AH58:AH66)</f>
        <v>0.25009998918820608</v>
      </c>
      <c r="AI67" s="197"/>
    </row>
    <row r="68" spans="1:35" s="218" customFormat="1">
      <c r="A68" s="10" t="s">
        <v>555</v>
      </c>
      <c r="B68" s="37"/>
      <c r="C68" s="302"/>
      <c r="D68" s="302">
        <f>D67/C67-1</f>
        <v>0.29923278379715113</v>
      </c>
      <c r="E68" s="302">
        <f t="shared" ref="E68:W68" si="67">E67/D67-1</f>
        <v>0.30115033995863061</v>
      </c>
      <c r="F68" s="302">
        <f t="shared" si="67"/>
        <v>0.30304033221152449</v>
      </c>
      <c r="G68" s="302">
        <f t="shared" si="67"/>
        <v>0.30489771361629892</v>
      </c>
      <c r="H68" s="250"/>
      <c r="I68" s="250">
        <f t="shared" si="67"/>
        <v>0.30236443152095438</v>
      </c>
      <c r="J68" s="250">
        <f t="shared" si="67"/>
        <v>0.30549977167895626</v>
      </c>
      <c r="K68" s="250">
        <f t="shared" si="67"/>
        <v>0.30844631759920493</v>
      </c>
      <c r="L68" s="250">
        <f t="shared" si="67"/>
        <v>0.31141777361307432</v>
      </c>
      <c r="M68" s="250">
        <f t="shared" si="67"/>
        <v>0.31440571718750054</v>
      </c>
      <c r="N68" s="249">
        <f t="shared" si="67"/>
        <v>0.31740172746765127</v>
      </c>
      <c r="O68" s="250">
        <f t="shared" si="67"/>
        <v>2.9440618258246287E-2</v>
      </c>
      <c r="P68" s="250">
        <f t="shared" si="67"/>
        <v>2.9206445848313001E-2</v>
      </c>
      <c r="Q68" s="250">
        <f t="shared" si="67"/>
        <v>2.9203819051904389E-2</v>
      </c>
      <c r="R68" s="250">
        <f t="shared" si="67"/>
        <v>2.9199963176792965E-2</v>
      </c>
      <c r="S68" s="250">
        <f t="shared" si="67"/>
        <v>2.9198441634778582E-2</v>
      </c>
      <c r="T68" s="250">
        <f t="shared" si="67"/>
        <v>2.9196590768846509E-2</v>
      </c>
      <c r="U68" s="250">
        <f t="shared" si="67"/>
        <v>2.9194858791733003E-2</v>
      </c>
      <c r="V68" s="250">
        <f t="shared" si="67"/>
        <v>2.9193395846665915E-2</v>
      </c>
      <c r="W68" s="250">
        <f t="shared" si="67"/>
        <v>2.9194506812965537E-2</v>
      </c>
      <c r="X68" s="250">
        <f>X67/W67-1</f>
        <v>2.9194053413350796E-2</v>
      </c>
      <c r="Y68" s="255">
        <f t="shared" ref="Y68:AG68" si="68">Y67/X67-1</f>
        <v>2.2574306580679382E-2</v>
      </c>
      <c r="Z68" s="255">
        <f t="shared" si="68"/>
        <v>2.2573159516109609E-2</v>
      </c>
      <c r="AA68" s="255">
        <f t="shared" si="68"/>
        <v>2.2572129675161534E-2</v>
      </c>
      <c r="AB68" s="255">
        <f t="shared" si="68"/>
        <v>2.2571235993595451E-2</v>
      </c>
      <c r="AC68" s="255">
        <f t="shared" si="68"/>
        <v>2.2570381807091699E-2</v>
      </c>
      <c r="AD68" s="255">
        <f t="shared" si="68"/>
        <v>2.2569432052182758E-2</v>
      </c>
      <c r="AE68" s="255">
        <f t="shared" si="68"/>
        <v>2.2567897884996135E-2</v>
      </c>
      <c r="AF68" s="255">
        <f t="shared" si="68"/>
        <v>2.2567733888916752E-2</v>
      </c>
      <c r="AG68" s="255">
        <f t="shared" si="68"/>
        <v>2.2567273112999775E-2</v>
      </c>
      <c r="AH68" s="249">
        <f>AH67/AG67-1</f>
        <v>2.2566936048564745E-2</v>
      </c>
      <c r="AI68" s="262"/>
    </row>
    <row r="69" spans="1:35">
      <c r="A69" s="10"/>
      <c r="B69" s="37"/>
      <c r="C69" s="302"/>
      <c r="D69" s="302"/>
      <c r="E69" s="302"/>
      <c r="F69" s="302"/>
      <c r="G69" s="302"/>
      <c r="H69" s="250"/>
      <c r="I69" s="165"/>
      <c r="J69" s="165"/>
      <c r="K69" s="165"/>
      <c r="L69" s="165"/>
      <c r="M69" s="165"/>
      <c r="N69" s="186"/>
      <c r="O69" s="165"/>
      <c r="P69" s="165"/>
      <c r="Q69" s="165"/>
      <c r="R69" s="165"/>
      <c r="S69" s="165"/>
      <c r="T69" s="165"/>
      <c r="U69" s="165"/>
      <c r="V69" s="165"/>
      <c r="W69" s="165"/>
      <c r="X69" s="186"/>
      <c r="Y69" s="20"/>
      <c r="Z69" s="20"/>
      <c r="AA69" s="20"/>
      <c r="AB69" s="20"/>
      <c r="AC69" s="20"/>
      <c r="AD69" s="20"/>
      <c r="AE69" s="20"/>
      <c r="AF69" s="20"/>
      <c r="AG69" s="20"/>
      <c r="AH69" s="245"/>
      <c r="AI69" s="128"/>
    </row>
    <row r="70" spans="1:35">
      <c r="A70" s="11" t="s">
        <v>552</v>
      </c>
      <c r="B70" s="37"/>
      <c r="C70" s="302"/>
      <c r="D70" s="302"/>
      <c r="E70" s="302"/>
      <c r="F70" s="302"/>
      <c r="G70" s="302"/>
      <c r="H70" s="250"/>
      <c r="I70" s="165"/>
      <c r="J70" s="165"/>
      <c r="K70" s="165"/>
      <c r="L70" s="165"/>
      <c r="M70" s="165"/>
      <c r="N70" s="200" t="s">
        <v>718</v>
      </c>
      <c r="O70" s="165"/>
      <c r="P70" s="165"/>
      <c r="Q70" s="165"/>
      <c r="R70" s="165"/>
      <c r="S70" s="165"/>
      <c r="T70" s="165"/>
      <c r="U70" s="165"/>
      <c r="V70" s="165"/>
      <c r="W70" s="165"/>
      <c r="X70" s="200" t="s">
        <v>553</v>
      </c>
      <c r="Y70" s="20"/>
      <c r="Z70" s="20"/>
      <c r="AA70" s="20"/>
      <c r="AB70" s="20"/>
      <c r="AC70" s="20"/>
      <c r="AD70" s="20"/>
      <c r="AE70" s="20"/>
      <c r="AF70" s="20"/>
      <c r="AG70" s="20"/>
      <c r="AH70" s="245" t="s">
        <v>715</v>
      </c>
      <c r="AI70" s="128"/>
    </row>
    <row r="71" spans="1:35">
      <c r="A71" s="9" t="s">
        <v>127</v>
      </c>
      <c r="B71" s="37"/>
      <c r="C71" s="302"/>
      <c r="D71" s="302"/>
      <c r="E71" s="302"/>
      <c r="F71" s="302"/>
      <c r="G71" s="302"/>
      <c r="H71" s="250"/>
      <c r="I71" s="165"/>
      <c r="J71" s="165"/>
      <c r="K71" s="366"/>
      <c r="L71" s="366"/>
      <c r="M71" s="165"/>
      <c r="N71" s="187">
        <f>(N86/H86)^(1/6)</f>
        <v>1.3422632898196292</v>
      </c>
      <c r="O71" s="165"/>
      <c r="P71" s="165"/>
      <c r="Q71" s="165"/>
      <c r="R71" s="165"/>
      <c r="S71" s="165"/>
      <c r="T71" s="165"/>
      <c r="U71" s="165"/>
      <c r="V71" s="165"/>
      <c r="W71" s="165"/>
      <c r="X71" s="187">
        <f>(X86/N86)^(1/10)</f>
        <v>1.0291860089647606</v>
      </c>
      <c r="Y71" s="20"/>
      <c r="Z71" s="20"/>
      <c r="AA71" s="20"/>
      <c r="AB71" s="20"/>
      <c r="AC71" s="20"/>
      <c r="AD71" s="20"/>
      <c r="AE71" s="20"/>
      <c r="AF71" s="20"/>
      <c r="AG71" s="20"/>
      <c r="AH71" s="187">
        <f>(AH86/X86)^(1/10)</f>
        <v>1.0225651825635729</v>
      </c>
      <c r="AI71" s="128"/>
    </row>
    <row r="72" spans="1:35">
      <c r="A72" s="9" t="s">
        <v>52</v>
      </c>
      <c r="B72" s="37"/>
      <c r="C72" s="302"/>
      <c r="D72" s="302"/>
      <c r="E72" s="302"/>
      <c r="F72" s="302"/>
      <c r="G72" s="302"/>
      <c r="H72" s="250"/>
      <c r="I72" s="165"/>
      <c r="J72" s="165"/>
      <c r="K72" s="366"/>
      <c r="L72" s="366"/>
      <c r="M72" s="165"/>
      <c r="N72" s="180">
        <f>(N87/H87)^(1/6)</f>
        <v>1.2753769826771095</v>
      </c>
      <c r="O72" s="165"/>
      <c r="P72" s="165"/>
      <c r="Q72" s="165"/>
      <c r="R72" s="165"/>
      <c r="S72" s="165"/>
      <c r="T72" s="165"/>
      <c r="U72" s="165"/>
      <c r="V72" s="165"/>
      <c r="W72" s="165"/>
      <c r="X72" s="187">
        <f>(X87/N87)^(1/10)</f>
        <v>1.0291860089647606</v>
      </c>
      <c r="Y72" s="20"/>
      <c r="Z72" s="20"/>
      <c r="AA72" s="20"/>
      <c r="AB72" s="20"/>
      <c r="AC72" s="20"/>
      <c r="AD72" s="20"/>
      <c r="AE72" s="20"/>
      <c r="AF72" s="20"/>
      <c r="AG72" s="20"/>
      <c r="AH72" s="187">
        <f>(AH87/X87)^(1/10)</f>
        <v>1.0225651825635729</v>
      </c>
      <c r="AI72" s="128"/>
    </row>
    <row r="73" spans="1:35">
      <c r="A73" s="9" t="s">
        <v>125</v>
      </c>
      <c r="B73" s="37"/>
      <c r="C73" s="302"/>
      <c r="D73" s="302"/>
      <c r="E73" s="302"/>
      <c r="F73" s="302"/>
      <c r="G73" s="302"/>
      <c r="H73" s="250"/>
      <c r="I73" s="165"/>
      <c r="J73" s="165"/>
      <c r="K73" s="366"/>
      <c r="L73" s="366"/>
      <c r="M73" s="165"/>
      <c r="N73" s="187"/>
      <c r="O73" s="165"/>
      <c r="P73" s="165"/>
      <c r="Q73" s="165"/>
      <c r="R73" s="165"/>
      <c r="S73" s="165"/>
      <c r="T73" s="165"/>
      <c r="U73" s="165"/>
      <c r="V73" s="165"/>
      <c r="W73" s="165"/>
      <c r="X73" s="187"/>
      <c r="AH73" s="187"/>
      <c r="AI73" s="128"/>
    </row>
    <row r="74" spans="1:35">
      <c r="A74" s="9" t="s">
        <v>53</v>
      </c>
      <c r="B74" s="37"/>
      <c r="C74" s="302"/>
      <c r="D74" s="302"/>
      <c r="E74" s="302"/>
      <c r="F74" s="302"/>
      <c r="G74" s="302"/>
      <c r="H74" s="250"/>
      <c r="I74" s="165"/>
      <c r="J74" s="165"/>
      <c r="K74" s="366"/>
      <c r="L74" s="366"/>
      <c r="M74" s="165"/>
      <c r="N74" s="180">
        <f>(N89/H89)^(1/6)</f>
        <v>1.2413329986324544</v>
      </c>
      <c r="O74" s="165"/>
      <c r="P74" s="165"/>
      <c r="Q74" s="165"/>
      <c r="R74" s="165"/>
      <c r="S74" s="165"/>
      <c r="T74" s="165"/>
      <c r="U74" s="165"/>
      <c r="V74" s="165"/>
      <c r="W74" s="165"/>
      <c r="X74" s="187">
        <f>(X89/N89)^(1/10)</f>
        <v>1.0291860089647606</v>
      </c>
      <c r="AH74" s="187">
        <f>(AH89/X89)^(1/10)</f>
        <v>1.0225651825635729</v>
      </c>
      <c r="AI74" s="128"/>
    </row>
    <row r="75" spans="1:35">
      <c r="A75" s="9" t="s">
        <v>353</v>
      </c>
      <c r="B75" s="37"/>
      <c r="C75" s="302"/>
      <c r="D75" s="302"/>
      <c r="E75" s="302"/>
      <c r="F75" s="302"/>
      <c r="G75" s="302"/>
      <c r="H75" s="250"/>
      <c r="I75" s="165"/>
      <c r="J75" s="165"/>
      <c r="K75" s="366"/>
      <c r="L75" s="366"/>
      <c r="M75" s="165"/>
      <c r="N75" s="180">
        <f>(N90/H90)^(1/6)</f>
        <v>1.4201861720991791</v>
      </c>
      <c r="O75" s="165"/>
      <c r="P75" s="165"/>
      <c r="Q75" s="165"/>
      <c r="R75" s="165"/>
      <c r="S75" s="165"/>
      <c r="T75" s="165"/>
      <c r="U75" s="165"/>
      <c r="V75" s="165"/>
      <c r="W75" s="165"/>
      <c r="X75" s="187">
        <f>(X90/N90)^(1/10)</f>
        <v>1.0291860089647606</v>
      </c>
      <c r="AH75" s="187">
        <f>(AH90/X90)^(1/10)</f>
        <v>1.0225651825635729</v>
      </c>
      <c r="AI75" s="128"/>
    </row>
    <row r="76" spans="1:35">
      <c r="A76" s="9" t="s">
        <v>354</v>
      </c>
      <c r="B76" s="37"/>
      <c r="C76" s="302"/>
      <c r="D76" s="302"/>
      <c r="E76" s="302"/>
      <c r="F76" s="302"/>
      <c r="G76" s="302"/>
      <c r="H76" s="250"/>
      <c r="I76" s="165"/>
      <c r="J76" s="165"/>
      <c r="K76" s="366"/>
      <c r="L76" s="366"/>
      <c r="M76" s="165"/>
      <c r="N76" s="180">
        <f>(N91/H91)^(1/6)</f>
        <v>1.2753769826771095</v>
      </c>
      <c r="O76" s="165"/>
      <c r="P76" s="165"/>
      <c r="Q76" s="165"/>
      <c r="R76" s="165"/>
      <c r="S76" s="165"/>
      <c r="T76" s="165"/>
      <c r="U76" s="165"/>
      <c r="V76" s="165"/>
      <c r="W76" s="165"/>
      <c r="X76" s="187">
        <f>(X91/N91)^(1/10)</f>
        <v>1.0291860089647606</v>
      </c>
      <c r="AH76" s="187">
        <f>(AH91/X91)^(1/10)</f>
        <v>1.0225651825635729</v>
      </c>
      <c r="AI76" s="128"/>
    </row>
    <row r="77" spans="1:35">
      <c r="A77" s="9" t="s">
        <v>350</v>
      </c>
      <c r="B77" s="37"/>
      <c r="C77" s="302"/>
      <c r="D77" s="302"/>
      <c r="E77" s="302"/>
      <c r="F77" s="302"/>
      <c r="G77" s="302"/>
      <c r="H77" s="250"/>
      <c r="I77" s="165"/>
      <c r="J77" s="165"/>
      <c r="K77" s="366"/>
      <c r="L77" s="366"/>
      <c r="M77" s="165"/>
      <c r="N77" s="180">
        <f>(N92/H92)^(1/6)</f>
        <v>1.2753769826771095</v>
      </c>
      <c r="O77" s="165"/>
      <c r="P77" s="165"/>
      <c r="Q77" s="165"/>
      <c r="R77" s="165"/>
      <c r="S77" s="165"/>
      <c r="T77" s="165"/>
      <c r="U77" s="165"/>
      <c r="V77" s="165"/>
      <c r="W77" s="165"/>
      <c r="X77" s="187">
        <f>(X92/N92)^(1/10)</f>
        <v>1.0291860089647606</v>
      </c>
      <c r="AH77" s="187">
        <f>(AH92/X92)^(1/10)</f>
        <v>1.0225651825635729</v>
      </c>
      <c r="AI77" s="128"/>
    </row>
    <row r="78" spans="1:35">
      <c r="A78" s="9" t="s">
        <v>126</v>
      </c>
      <c r="B78" s="37"/>
      <c r="C78" s="302"/>
      <c r="D78" s="302"/>
      <c r="E78" s="302"/>
      <c r="F78" s="302"/>
      <c r="G78" s="302"/>
      <c r="H78" s="250"/>
      <c r="I78" s="165"/>
      <c r="J78" s="165"/>
      <c r="K78" s="366"/>
      <c r="L78" s="366"/>
      <c r="M78" s="165"/>
      <c r="N78" s="187"/>
      <c r="O78" s="165"/>
      <c r="P78" s="165"/>
      <c r="Q78" s="165"/>
      <c r="R78" s="165"/>
      <c r="S78" s="165"/>
      <c r="T78" s="165"/>
      <c r="U78" s="165"/>
      <c r="V78" s="165"/>
      <c r="W78" s="165"/>
      <c r="X78" s="187" t="s">
        <v>0</v>
      </c>
      <c r="AH78" s="187" t="s">
        <v>0</v>
      </c>
      <c r="AI78" s="128"/>
    </row>
    <row r="79" spans="1:35">
      <c r="A79" s="9" t="s">
        <v>55</v>
      </c>
      <c r="B79" s="37"/>
      <c r="C79" s="302"/>
      <c r="D79" s="302"/>
      <c r="E79" s="302"/>
      <c r="F79" s="302"/>
      <c r="G79" s="302"/>
      <c r="H79" s="250"/>
      <c r="I79" s="165"/>
      <c r="J79" s="165"/>
      <c r="K79" s="366"/>
      <c r="L79" s="366"/>
      <c r="M79" s="165"/>
      <c r="N79" s="180">
        <f>(N94/H94)^(1/6)</f>
        <v>1.2753769826771095</v>
      </c>
      <c r="O79" s="165"/>
      <c r="P79" s="165"/>
      <c r="Q79" s="165"/>
      <c r="R79" s="165"/>
      <c r="S79" s="165"/>
      <c r="T79" s="165"/>
      <c r="U79" s="165"/>
      <c r="V79" s="165"/>
      <c r="W79" s="165"/>
      <c r="X79" s="187">
        <f>(X94/N94)^(1/10)</f>
        <v>1.0291860089647606</v>
      </c>
      <c r="AH79" s="187">
        <f>(AH94/X94)^(1/10)</f>
        <v>1.0225651825635729</v>
      </c>
      <c r="AI79" s="128"/>
    </row>
    <row r="80" spans="1:35">
      <c r="A80" s="10"/>
      <c r="B80" s="37"/>
      <c r="C80" s="302"/>
      <c r="D80" s="302"/>
      <c r="E80" s="302"/>
      <c r="F80" s="302"/>
      <c r="G80" s="302"/>
      <c r="H80" s="250"/>
      <c r="I80" s="165"/>
      <c r="J80" s="165"/>
      <c r="K80" s="165"/>
      <c r="L80" s="165"/>
      <c r="M80" s="165"/>
      <c r="N80" s="181"/>
      <c r="O80" s="165"/>
      <c r="P80" s="165"/>
      <c r="Q80" s="165"/>
      <c r="R80" s="165"/>
      <c r="S80" s="165"/>
      <c r="T80" s="165"/>
      <c r="U80" s="165"/>
      <c r="V80" s="165"/>
      <c r="W80" s="165"/>
      <c r="X80" s="186"/>
      <c r="AI80" s="128"/>
    </row>
    <row r="81" spans="1:35">
      <c r="A81" s="1" t="s">
        <v>554</v>
      </c>
      <c r="B81" s="37"/>
      <c r="C81" s="302"/>
      <c r="D81" s="302"/>
      <c r="E81" s="302"/>
      <c r="F81" s="302"/>
      <c r="G81" s="302"/>
      <c r="H81" s="250"/>
      <c r="I81" s="165"/>
      <c r="J81" s="165"/>
      <c r="K81" s="165"/>
      <c r="L81" s="165"/>
      <c r="M81" s="165"/>
      <c r="N81" s="185" t="s">
        <v>0</v>
      </c>
      <c r="O81" s="165"/>
      <c r="P81" s="165"/>
      <c r="Q81" s="165"/>
      <c r="R81" s="165"/>
      <c r="S81" s="165"/>
      <c r="T81" s="165"/>
      <c r="U81" s="165"/>
      <c r="V81" s="165"/>
      <c r="W81" s="165"/>
      <c r="X81" s="186"/>
      <c r="AI81" s="128"/>
    </row>
    <row r="82" spans="1:35">
      <c r="A82" s="9" t="s">
        <v>288</v>
      </c>
      <c r="B82" s="37"/>
      <c r="C82" s="302"/>
      <c r="D82" s="302"/>
      <c r="E82" s="302"/>
      <c r="F82" s="302"/>
      <c r="G82" s="302"/>
      <c r="H82" s="250"/>
      <c r="I82" s="165"/>
      <c r="J82" s="165"/>
      <c r="K82" s="165"/>
      <c r="L82" s="165"/>
      <c r="M82" s="165"/>
      <c r="N82" s="186" t="s">
        <v>0</v>
      </c>
      <c r="O82" s="165"/>
      <c r="P82" s="165"/>
      <c r="Q82" s="165"/>
      <c r="R82" s="165"/>
      <c r="S82" s="165"/>
      <c r="T82" s="165"/>
      <c r="U82" s="165"/>
      <c r="V82" s="165"/>
      <c r="W82" s="165"/>
      <c r="X82" s="186"/>
      <c r="AI82" s="128"/>
    </row>
    <row r="83" spans="1:35">
      <c r="A83" s="20" t="s">
        <v>128</v>
      </c>
      <c r="B83" s="37"/>
      <c r="C83" s="302"/>
      <c r="D83" s="302"/>
      <c r="E83" s="302"/>
      <c r="F83" s="302"/>
      <c r="G83" s="302"/>
      <c r="H83" s="250"/>
      <c r="I83" s="165"/>
      <c r="J83" s="165"/>
      <c r="K83" s="165"/>
      <c r="L83" s="165"/>
      <c r="M83" s="165"/>
      <c r="N83" s="181"/>
      <c r="O83" s="165"/>
      <c r="P83" s="165"/>
      <c r="Q83" s="165"/>
      <c r="R83" s="165"/>
      <c r="S83" s="165"/>
      <c r="T83" s="165"/>
      <c r="U83" s="165"/>
      <c r="V83" s="165"/>
      <c r="W83" s="165"/>
      <c r="X83" s="186"/>
      <c r="AI83" s="128"/>
    </row>
    <row r="84" spans="1:35">
      <c r="A84" s="9" t="s">
        <v>51</v>
      </c>
      <c r="B84" s="37"/>
      <c r="C84" s="306">
        <f t="shared" ref="C84:AH84" si="69">C31/C$49</f>
        <v>9.5436438383819861E-4</v>
      </c>
      <c r="D84" s="306">
        <f t="shared" si="69"/>
        <v>8.8502154588135048E-4</v>
      </c>
      <c r="E84" s="306">
        <f t="shared" si="69"/>
        <v>8.1567870792450246E-4</v>
      </c>
      <c r="F84" s="306">
        <f t="shared" si="69"/>
        <v>7.4633586996765454E-4</v>
      </c>
      <c r="G84" s="306">
        <f t="shared" si="69"/>
        <v>6.7699303201080641E-4</v>
      </c>
      <c r="H84" s="367">
        <f t="shared" si="69"/>
        <v>1.9101376656487079E-4</v>
      </c>
      <c r="I84" s="116">
        <f t="shared" si="69"/>
        <v>1.9111033318953746E-4</v>
      </c>
      <c r="J84" s="116">
        <f t="shared" si="69"/>
        <v>1.912068998142041E-4</v>
      </c>
      <c r="K84" s="116">
        <f t="shared" si="69"/>
        <v>1.913034664388708E-4</v>
      </c>
      <c r="L84" s="116">
        <f t="shared" si="69"/>
        <v>1.9140003306353747E-4</v>
      </c>
      <c r="M84" s="116">
        <f t="shared" si="69"/>
        <v>1.9149659968820414E-4</v>
      </c>
      <c r="N84" s="179">
        <f t="shared" si="69"/>
        <v>1.9159316631287072E-4</v>
      </c>
      <c r="O84" s="116">
        <f t="shared" si="69"/>
        <v>1.9058041663167101E-4</v>
      </c>
      <c r="P84" s="116">
        <f t="shared" si="69"/>
        <v>1.8956766695047136E-4</v>
      </c>
      <c r="Q84" s="116">
        <f t="shared" si="69"/>
        <v>1.8855491726927167E-4</v>
      </c>
      <c r="R84" s="116">
        <f t="shared" si="69"/>
        <v>1.8754216758807199E-4</v>
      </c>
      <c r="S84" s="116">
        <f t="shared" si="69"/>
        <v>1.865294179068723E-4</v>
      </c>
      <c r="T84" s="116">
        <f t="shared" si="69"/>
        <v>1.8551666822567262E-4</v>
      </c>
      <c r="U84" s="116">
        <f t="shared" si="69"/>
        <v>1.8450391854447294E-4</v>
      </c>
      <c r="V84" s="116">
        <f t="shared" si="69"/>
        <v>1.8349116886327325E-4</v>
      </c>
      <c r="W84" s="116">
        <f t="shared" si="69"/>
        <v>1.8247841918207357E-4</v>
      </c>
      <c r="X84" s="179">
        <f t="shared" si="69"/>
        <v>1.8146566950087397E-4</v>
      </c>
      <c r="Y84" s="174">
        <f t="shared" si="69"/>
        <v>1.9581782103118633E-4</v>
      </c>
      <c r="Z84" s="174">
        <f t="shared" si="69"/>
        <v>2.1016997256149874E-4</v>
      </c>
      <c r="AA84" s="174">
        <f t="shared" si="69"/>
        <v>2.2452212409181113E-4</v>
      </c>
      <c r="AB84" s="174">
        <f t="shared" si="69"/>
        <v>2.3887427562212352E-4</v>
      </c>
      <c r="AC84" s="174">
        <f t="shared" si="69"/>
        <v>2.5322642715243593E-4</v>
      </c>
      <c r="AD84" s="174">
        <f t="shared" si="69"/>
        <v>2.6757857868274835E-4</v>
      </c>
      <c r="AE84" s="174">
        <f t="shared" si="69"/>
        <v>2.8193073021306076E-4</v>
      </c>
      <c r="AF84" s="174">
        <f t="shared" si="69"/>
        <v>2.9628288174337317E-4</v>
      </c>
      <c r="AG84" s="174">
        <f t="shared" si="69"/>
        <v>3.1063503327368559E-4</v>
      </c>
      <c r="AH84" s="179">
        <f t="shared" si="69"/>
        <v>3.2498718480399789E-4</v>
      </c>
      <c r="AI84" s="128"/>
    </row>
    <row r="85" spans="1:35">
      <c r="A85" s="9" t="s">
        <v>61</v>
      </c>
      <c r="B85" s="37"/>
      <c r="C85" s="306">
        <f t="shared" ref="C85:AH85" si="70">C32/C$49</f>
        <v>0.13360190138841732</v>
      </c>
      <c r="D85" s="306">
        <f t="shared" si="70"/>
        <v>0.13245062864062837</v>
      </c>
      <c r="E85" s="306">
        <f t="shared" si="70"/>
        <v>0.13129935589283942</v>
      </c>
      <c r="F85" s="306">
        <f t="shared" si="70"/>
        <v>0.13014808314505047</v>
      </c>
      <c r="G85" s="306">
        <f t="shared" si="70"/>
        <v>0.12899681039726152</v>
      </c>
      <c r="H85" s="367">
        <f t="shared" si="70"/>
        <v>0.12210101428857104</v>
      </c>
      <c r="I85" s="116">
        <f t="shared" si="70"/>
        <v>0.12190716210093236</v>
      </c>
      <c r="J85" s="116">
        <f t="shared" si="70"/>
        <v>0.12171330991329368</v>
      </c>
      <c r="K85" s="116">
        <f t="shared" si="70"/>
        <v>0.12151945772565501</v>
      </c>
      <c r="L85" s="116">
        <f t="shared" si="70"/>
        <v>0.12132560553801633</v>
      </c>
      <c r="M85" s="116">
        <f t="shared" si="70"/>
        <v>0.12113175335037765</v>
      </c>
      <c r="N85" s="179">
        <f t="shared" si="70"/>
        <v>0.120937901162739</v>
      </c>
      <c r="O85" s="116">
        <f t="shared" si="70"/>
        <v>0.12029863086304829</v>
      </c>
      <c r="P85" s="116">
        <f t="shared" si="70"/>
        <v>0.11965936056335758</v>
      </c>
      <c r="Q85" s="116">
        <f t="shared" si="70"/>
        <v>0.11902009026366688</v>
      </c>
      <c r="R85" s="116">
        <f t="shared" si="70"/>
        <v>0.11838081996397615</v>
      </c>
      <c r="S85" s="116">
        <f t="shared" si="70"/>
        <v>0.11774154966428543</v>
      </c>
      <c r="T85" s="116">
        <f t="shared" si="70"/>
        <v>0.11710227936459473</v>
      </c>
      <c r="U85" s="116">
        <f t="shared" si="70"/>
        <v>0.11646300906490401</v>
      </c>
      <c r="V85" s="116">
        <f t="shared" si="70"/>
        <v>0.11582373876521329</v>
      </c>
      <c r="W85" s="116">
        <f t="shared" si="70"/>
        <v>0.11518446846552258</v>
      </c>
      <c r="X85" s="179">
        <f t="shared" si="70"/>
        <v>0.11454519816583186</v>
      </c>
      <c r="Y85" s="174">
        <f t="shared" si="70"/>
        <v>0.12360459791713171</v>
      </c>
      <c r="Z85" s="174">
        <f t="shared" si="70"/>
        <v>0.13266399766843157</v>
      </c>
      <c r="AA85" s="174">
        <f t="shared" si="70"/>
        <v>0.14172339741973142</v>
      </c>
      <c r="AB85" s="174">
        <f t="shared" si="70"/>
        <v>0.15078279717103127</v>
      </c>
      <c r="AC85" s="174">
        <f t="shared" si="70"/>
        <v>0.15984219692233112</v>
      </c>
      <c r="AD85" s="174">
        <f t="shared" si="70"/>
        <v>0.16890159667363097</v>
      </c>
      <c r="AE85" s="174">
        <f t="shared" si="70"/>
        <v>0.17796099642493082</v>
      </c>
      <c r="AF85" s="174">
        <f t="shared" si="70"/>
        <v>0.18702039617623067</v>
      </c>
      <c r="AG85" s="174">
        <f t="shared" si="70"/>
        <v>0.19607979592753053</v>
      </c>
      <c r="AH85" s="179">
        <f t="shared" si="70"/>
        <v>0.20513919567883043</v>
      </c>
      <c r="AI85" s="128"/>
    </row>
    <row r="86" spans="1:35" s="218" customFormat="1">
      <c r="A86" s="10" t="s">
        <v>127</v>
      </c>
      <c r="B86" s="37"/>
      <c r="C86" s="381">
        <f t="shared" ref="C86:AH86" si="71">C34/C$49</f>
        <v>1.1397318601855506E-2</v>
      </c>
      <c r="D86" s="306">
        <f t="shared" si="71"/>
        <v>1.5298202361649029E-2</v>
      </c>
      <c r="E86" s="306">
        <f t="shared" si="71"/>
        <v>2.0534215430273443E-2</v>
      </c>
      <c r="F86" s="306">
        <f t="shared" si="71"/>
        <v>2.7562323557303824E-2</v>
      </c>
      <c r="G86" s="306">
        <f t="shared" si="71"/>
        <v>3.6995895093099702E-2</v>
      </c>
      <c r="H86" s="380">
        <f t="shared" si="71"/>
        <v>1.286534389514817E-2</v>
      </c>
      <c r="I86" s="367">
        <f t="shared" si="71"/>
        <v>1.7268678821362467E-2</v>
      </c>
      <c r="J86" s="367">
        <f t="shared" si="71"/>
        <v>2.3179113645600536E-2</v>
      </c>
      <c r="K86" s="367">
        <f t="shared" si="71"/>
        <v>3.1112473337046836E-2</v>
      </c>
      <c r="L86" s="367">
        <f t="shared" si="71"/>
        <v>4.1761130815809976E-2</v>
      </c>
      <c r="M86" s="367">
        <f t="shared" si="71"/>
        <v>5.6054432835416994E-2</v>
      </c>
      <c r="N86" s="368">
        <f>N34/N$49</f>
        <v>7.5239807426640243E-2</v>
      </c>
      <c r="O86" s="367">
        <f t="shared" si="71"/>
        <v>7.7435757120701054E-2</v>
      </c>
      <c r="P86" s="367">
        <f t="shared" si="71"/>
        <v>7.9695797822218861E-2</v>
      </c>
      <c r="Q86" s="367">
        <f t="shared" si="71"/>
        <v>8.2021800091911873E-2</v>
      </c>
      <c r="R86" s="367">
        <f t="shared" si="71"/>
        <v>8.4415689084700221E-2</v>
      </c>
      <c r="S86" s="367">
        <f t="shared" si="71"/>
        <v>8.6879446143092745E-2</v>
      </c>
      <c r="T86" s="367">
        <f t="shared" si="71"/>
        <v>8.941511043707849E-2</v>
      </c>
      <c r="U86" s="367">
        <f t="shared" si="71"/>
        <v>9.202478065188012E-2</v>
      </c>
      <c r="V86" s="367">
        <f t="shared" si="71"/>
        <v>9.4710616724966029E-2</v>
      </c>
      <c r="W86" s="367">
        <f t="shared" si="71"/>
        <v>9.7474841633758899E-2</v>
      </c>
      <c r="X86" s="368">
        <f t="shared" si="71"/>
        <v>0.10031974323552033</v>
      </c>
      <c r="Y86" s="367">
        <f>Y34/Y$49</f>
        <v>0.1025834765563606</v>
      </c>
      <c r="Z86" s="367">
        <f t="shared" si="71"/>
        <v>0.10489829143286088</v>
      </c>
      <c r="AA86" s="367">
        <f t="shared" si="71"/>
        <v>0.10726534052965025</v>
      </c>
      <c r="AB86" s="367">
        <f t="shared" si="71"/>
        <v>0.10968580252144561</v>
      </c>
      <c r="AC86" s="367">
        <f t="shared" si="71"/>
        <v>0.11216088267997404</v>
      </c>
      <c r="AD86" s="367">
        <f t="shared" si="71"/>
        <v>0.11469181347413913</v>
      </c>
      <c r="AE86" s="367">
        <f t="shared" si="71"/>
        <v>0.11727985518373032</v>
      </c>
      <c r="AF86" s="367">
        <f t="shared" si="71"/>
        <v>0.11992629652698059</v>
      </c>
      <c r="AG86" s="367">
        <f t="shared" si="71"/>
        <v>0.12263245530228507</v>
      </c>
      <c r="AH86" s="368">
        <f t="shared" si="71"/>
        <v>0.12539967904440041</v>
      </c>
      <c r="AI86" s="262"/>
    </row>
    <row r="87" spans="1:35">
      <c r="A87" s="9" t="s">
        <v>52</v>
      </c>
      <c r="B87" s="37"/>
      <c r="C87" s="381">
        <f t="shared" ref="C87:AH87" si="72">C35/C$49</f>
        <v>4.5882925128242786E-7</v>
      </c>
      <c r="D87" s="306">
        <f t="shared" si="72"/>
        <v>5.8518026606458014E-7</v>
      </c>
      <c r="E87" s="306">
        <f t="shared" si="72"/>
        <v>7.4632544205563241E-7</v>
      </c>
      <c r="F87" s="306">
        <f t="shared" si="72"/>
        <v>9.518462903840724E-7</v>
      </c>
      <c r="G87" s="306">
        <f t="shared" si="72"/>
        <v>1.2139628498024381E-6</v>
      </c>
      <c r="H87" s="380">
        <f t="shared" si="72"/>
        <v>5.060651016822692E-7</v>
      </c>
      <c r="I87" s="116">
        <f t="shared" si="72"/>
        <v>6.4542378242171714E-7</v>
      </c>
      <c r="J87" s="116">
        <f>J35/J$49</f>
        <v>8.2315863617305687E-7</v>
      </c>
      <c r="K87" s="116">
        <f t="shared" si="72"/>
        <v>1.0498375776669979E-6</v>
      </c>
      <c r="L87" s="116">
        <f t="shared" si="72"/>
        <v>1.3389386821059815E-6</v>
      </c>
      <c r="M87" s="116">
        <f t="shared" si="72"/>
        <v>1.7076515763739922E-6</v>
      </c>
      <c r="N87" s="179">
        <f t="shared" si="72"/>
        <v>2.1778995149396717E-6</v>
      </c>
      <c r="O87" s="116">
        <f t="shared" si="72"/>
        <v>2.2414637097070489E-6</v>
      </c>
      <c r="P87" s="116">
        <f t="shared" si="72"/>
        <v>2.3068830896327445E-6</v>
      </c>
      <c r="Q87" s="116">
        <f t="shared" si="72"/>
        <v>2.3742118001674204E-6</v>
      </c>
      <c r="R87" s="116">
        <f t="shared" si="72"/>
        <v>2.4435055670513475E-6</v>
      </c>
      <c r="S87" s="116">
        <f t="shared" si="72"/>
        <v>2.5148217424367504E-6</v>
      </c>
      <c r="T87" s="116">
        <f t="shared" si="72"/>
        <v>2.5882193523562845E-6</v>
      </c>
      <c r="U87" s="116">
        <f t="shared" si="72"/>
        <v>2.6637591455769219E-6</v>
      </c>
      <c r="V87" s="116">
        <f t="shared" si="72"/>
        <v>2.741503643879693E-6</v>
      </c>
      <c r="W87" s="116">
        <f t="shared" si="72"/>
        <v>2.8215171938068895E-6</v>
      </c>
      <c r="X87" s="179">
        <f t="shared" si="72"/>
        <v>2.9038660199195626E-6</v>
      </c>
      <c r="Y87" s="174">
        <f t="shared" si="72"/>
        <v>2.9693922867992032E-6</v>
      </c>
      <c r="Z87" s="174">
        <f t="shared" si="72"/>
        <v>3.0363971658536924E-6</v>
      </c>
      <c r="AA87" s="174">
        <f t="shared" si="72"/>
        <v>3.1049140222366961E-6</v>
      </c>
      <c r="AB87" s="174">
        <f t="shared" si="72"/>
        <v>3.1749769739926645E-6</v>
      </c>
      <c r="AC87" s="174">
        <f t="shared" si="72"/>
        <v>3.2466209090459493E-6</v>
      </c>
      <c r="AD87" s="174">
        <f t="shared" si="72"/>
        <v>3.319881502573284E-6</v>
      </c>
      <c r="AE87" s="174">
        <f t="shared" si="72"/>
        <v>3.3947952347682787E-6</v>
      </c>
      <c r="AF87" s="174">
        <f t="shared" si="72"/>
        <v>3.4713994090067722E-6</v>
      </c>
      <c r="AG87" s="174">
        <f t="shared" si="72"/>
        <v>3.5497321704220889E-6</v>
      </c>
      <c r="AH87" s="179">
        <f t="shared" si="72"/>
        <v>3.6298325248994531E-6</v>
      </c>
      <c r="AI87" s="128"/>
    </row>
    <row r="88" spans="1:35">
      <c r="A88" s="9" t="s">
        <v>125</v>
      </c>
      <c r="B88" s="37"/>
      <c r="C88" s="381">
        <f t="shared" ref="C88:AH88" si="73">C36/C$49</f>
        <v>0</v>
      </c>
      <c r="D88" s="306">
        <f t="shared" si="73"/>
        <v>0</v>
      </c>
      <c r="E88" s="306">
        <f t="shared" si="73"/>
        <v>0</v>
      </c>
      <c r="F88" s="306">
        <f t="shared" si="73"/>
        <v>0</v>
      </c>
      <c r="G88" s="306">
        <f t="shared" si="73"/>
        <v>0</v>
      </c>
      <c r="H88" s="380">
        <f t="shared" si="73"/>
        <v>0</v>
      </c>
      <c r="I88" s="116">
        <f t="shared" si="73"/>
        <v>0</v>
      </c>
      <c r="J88" s="116">
        <f t="shared" si="73"/>
        <v>0</v>
      </c>
      <c r="K88" s="116">
        <f t="shared" si="73"/>
        <v>0</v>
      </c>
      <c r="L88" s="116">
        <f t="shared" si="73"/>
        <v>0</v>
      </c>
      <c r="M88" s="116">
        <f t="shared" si="73"/>
        <v>0</v>
      </c>
      <c r="N88" s="179">
        <f t="shared" si="73"/>
        <v>0</v>
      </c>
      <c r="O88" s="116">
        <f t="shared" si="73"/>
        <v>0</v>
      </c>
      <c r="P88" s="116">
        <f t="shared" si="73"/>
        <v>0</v>
      </c>
      <c r="Q88" s="116">
        <f t="shared" si="73"/>
        <v>0</v>
      </c>
      <c r="R88" s="116">
        <f t="shared" si="73"/>
        <v>0</v>
      </c>
      <c r="S88" s="116">
        <f t="shared" si="73"/>
        <v>0</v>
      </c>
      <c r="T88" s="116">
        <f t="shared" si="73"/>
        <v>0</v>
      </c>
      <c r="U88" s="116">
        <f t="shared" si="73"/>
        <v>0</v>
      </c>
      <c r="V88" s="116">
        <f t="shared" si="73"/>
        <v>0</v>
      </c>
      <c r="W88" s="116">
        <f t="shared" si="73"/>
        <v>0</v>
      </c>
      <c r="X88" s="179">
        <f t="shared" si="73"/>
        <v>0</v>
      </c>
      <c r="Y88" s="174">
        <f t="shared" si="73"/>
        <v>0</v>
      </c>
      <c r="Z88" s="174">
        <f t="shared" si="73"/>
        <v>0</v>
      </c>
      <c r="AA88" s="174">
        <f t="shared" si="73"/>
        <v>0</v>
      </c>
      <c r="AB88" s="174">
        <f t="shared" si="73"/>
        <v>0</v>
      </c>
      <c r="AC88" s="174">
        <f t="shared" si="73"/>
        <v>0</v>
      </c>
      <c r="AD88" s="174">
        <f t="shared" si="73"/>
        <v>0</v>
      </c>
      <c r="AE88" s="174">
        <f t="shared" si="73"/>
        <v>0</v>
      </c>
      <c r="AF88" s="174">
        <f t="shared" si="73"/>
        <v>0</v>
      </c>
      <c r="AG88" s="174">
        <f t="shared" si="73"/>
        <v>0</v>
      </c>
      <c r="AH88" s="179">
        <f t="shared" si="73"/>
        <v>0</v>
      </c>
      <c r="AI88" s="128"/>
    </row>
    <row r="89" spans="1:35">
      <c r="A89" s="9" t="s">
        <v>53</v>
      </c>
      <c r="B89" s="37"/>
      <c r="C89" s="381">
        <f t="shared" ref="C89:AH89" si="74">C37/C$49</f>
        <v>8.4699879786736178E-3</v>
      </c>
      <c r="D89" s="306">
        <f t="shared" si="74"/>
        <v>1.0514075575947763E-2</v>
      </c>
      <c r="E89" s="306">
        <f t="shared" si="74"/>
        <v>1.3051468962539486E-2</v>
      </c>
      <c r="F89" s="306">
        <f t="shared" si="74"/>
        <v>1.6201219103827547E-2</v>
      </c>
      <c r="G89" s="306">
        <f t="shared" si="74"/>
        <v>2.0111107891655655E-2</v>
      </c>
      <c r="H89" s="380">
        <f t="shared" si="74"/>
        <v>1.3913667874585022E-2</v>
      </c>
      <c r="I89" s="116">
        <f t="shared" si="74"/>
        <v>1.7271495064734674E-2</v>
      </c>
      <c r="J89" s="116">
        <f t="shared" si="74"/>
        <v>2.1439676759572729E-2</v>
      </c>
      <c r="K89" s="116">
        <f t="shared" si="74"/>
        <v>2.6613778241670959E-2</v>
      </c>
      <c r="L89" s="116">
        <f t="shared" si="74"/>
        <v>3.3036561149672579E-2</v>
      </c>
      <c r="M89" s="116">
        <f t="shared" si="74"/>
        <v>4.1009373516427507E-2</v>
      </c>
      <c r="N89" s="179">
        <f t="shared" si="74"/>
        <v>5.0906288599185348E-2</v>
      </c>
      <c r="O89" s="116">
        <f t="shared" si="74"/>
        <v>5.2392039994603838E-2</v>
      </c>
      <c r="P89" s="116">
        <f t="shared" si="74"/>
        <v>5.3921154543568439E-2</v>
      </c>
      <c r="Q89" s="116">
        <f t="shared" si="74"/>
        <v>5.5494897843467277E-2</v>
      </c>
      <c r="R89" s="116">
        <f t="shared" si="74"/>
        <v>5.7114572429425185E-2</v>
      </c>
      <c r="S89" s="116">
        <f t="shared" si="74"/>
        <v>5.8781518852368861E-2</v>
      </c>
      <c r="T89" s="116">
        <f t="shared" si="74"/>
        <v>6.0497116788556349E-2</v>
      </c>
      <c r="U89" s="116">
        <f t="shared" si="74"/>
        <v>6.2262786181489324E-2</v>
      </c>
      <c r="V89" s="116">
        <f t="shared" si="74"/>
        <v>6.4079988417153247E-2</v>
      </c>
      <c r="W89" s="116">
        <f t="shared" si="74"/>
        <v>6.5950227533558045E-2</v>
      </c>
      <c r="X89" s="179">
        <f t="shared" si="74"/>
        <v>6.7875051465580469E-2</v>
      </c>
      <c r="Y89" s="174">
        <f t="shared" si="74"/>
        <v>6.9406664393413198E-2</v>
      </c>
      <c r="Z89" s="174">
        <f t="shared" si="74"/>
        <v>7.0972838446579201E-2</v>
      </c>
      <c r="AA89" s="174">
        <f t="shared" si="74"/>
        <v>7.2574353503181227E-2</v>
      </c>
      <c r="AB89" s="174">
        <f t="shared" si="74"/>
        <v>7.4212007039413788E-2</v>
      </c>
      <c r="AC89" s="174">
        <f t="shared" si="74"/>
        <v>7.5886614526667312E-2</v>
      </c>
      <c r="AD89" s="174">
        <f t="shared" si="74"/>
        <v>7.7599009837593047E-2</v>
      </c>
      <c r="AE89" s="174">
        <f t="shared" si="74"/>
        <v>7.9350045661330817E-2</v>
      </c>
      <c r="AF89" s="174">
        <f t="shared" si="74"/>
        <v>8.1140593928106589E-2</v>
      </c>
      <c r="AG89" s="174">
        <f t="shared" si="74"/>
        <v>8.2971546243411048E-2</v>
      </c>
      <c r="AH89" s="179">
        <f t="shared" si="74"/>
        <v>8.4843814331975576E-2</v>
      </c>
      <c r="AI89" s="128"/>
    </row>
    <row r="90" spans="1:35" s="218" customFormat="1">
      <c r="A90" s="10" t="s">
        <v>353</v>
      </c>
      <c r="B90" s="37"/>
      <c r="C90" s="381">
        <f t="shared" ref="C90:AH90" si="75">C38/C$49</f>
        <v>0</v>
      </c>
      <c r="D90" s="306">
        <f t="shared" si="75"/>
        <v>0</v>
      </c>
      <c r="E90" s="306">
        <f t="shared" si="75"/>
        <v>8.1120881038841686E-4</v>
      </c>
      <c r="F90" s="306">
        <f t="shared" si="75"/>
        <v>1.3644847574250296E-3</v>
      </c>
      <c r="G90" s="306">
        <f t="shared" si="75"/>
        <v>2.0409587555054298E-3</v>
      </c>
      <c r="H90" s="380">
        <f t="shared" si="75"/>
        <v>2.9067417916936351E-3</v>
      </c>
      <c r="I90" s="367">
        <f t="shared" si="75"/>
        <v>4.1281144984260934E-3</v>
      </c>
      <c r="J90" s="367">
        <f t="shared" si="75"/>
        <v>5.8626911275068763E-3</v>
      </c>
      <c r="K90" s="367">
        <f t="shared" si="75"/>
        <v>8.3261128705738111E-3</v>
      </c>
      <c r="L90" s="367">
        <f t="shared" si="75"/>
        <v>1.1824630366125929E-2</v>
      </c>
      <c r="M90" s="367">
        <f t="shared" si="75"/>
        <v>1.6793176536156099E-2</v>
      </c>
      <c r="N90" s="368">
        <f t="shared" si="75"/>
        <v>2.3849437102269267E-2</v>
      </c>
      <c r="O90" s="367">
        <f t="shared" si="75"/>
        <v>2.4545506987340607E-2</v>
      </c>
      <c r="P90" s="367">
        <f t="shared" si="75"/>
        <v>2.5261892374317727E-2</v>
      </c>
      <c r="Q90" s="367">
        <f t="shared" si="75"/>
        <v>2.5999186191621379E-2</v>
      </c>
      <c r="R90" s="367">
        <f t="shared" si="75"/>
        <v>2.6757998672886522E-2</v>
      </c>
      <c r="S90" s="367">
        <f t="shared" si="75"/>
        <v>2.7538957862032441E-2</v>
      </c>
      <c r="T90" s="367">
        <f t="shared" si="75"/>
        <v>2.8342710133073885E-2</v>
      </c>
      <c r="U90" s="367">
        <f t="shared" si="75"/>
        <v>2.9169920725103392E-2</v>
      </c>
      <c r="V90" s="367">
        <f t="shared" si="75"/>
        <v>3.0021274292887618E-2</v>
      </c>
      <c r="W90" s="367">
        <f t="shared" si="75"/>
        <v>3.0897475473533373E-2</v>
      </c>
      <c r="X90" s="368">
        <f t="shared" si="75"/>
        <v>3.1799249469692356E-2</v>
      </c>
      <c r="Y90" s="367">
        <f t="shared" si="75"/>
        <v>3.2516805339360563E-2</v>
      </c>
      <c r="Z90" s="367">
        <f t="shared" si="75"/>
        <v>3.3250552988227398E-2</v>
      </c>
      <c r="AA90" s="367">
        <f t="shared" si="75"/>
        <v>3.4000857786746504E-2</v>
      </c>
      <c r="AB90" s="367">
        <f t="shared" si="75"/>
        <v>3.4768093350022518E-2</v>
      </c>
      <c r="AC90" s="367">
        <f t="shared" si="75"/>
        <v>3.5552641723853119E-2</v>
      </c>
      <c r="AD90" s="367">
        <f t="shared" si="75"/>
        <v>3.6354893574969162E-2</v>
      </c>
      <c r="AE90" s="367">
        <f t="shared" si="75"/>
        <v>3.7175248385567607E-2</v>
      </c>
      <c r="AF90" s="367">
        <f t="shared" si="75"/>
        <v>3.8014114652234109E-2</v>
      </c>
      <c r="AG90" s="367">
        <f t="shared" si="75"/>
        <v>3.887191008935436E-2</v>
      </c>
      <c r="AH90" s="368">
        <f t="shared" si="75"/>
        <v>3.9749061837115442E-2</v>
      </c>
      <c r="AI90" s="262"/>
    </row>
    <row r="91" spans="1:35" s="218" customFormat="1">
      <c r="A91" s="10" t="s">
        <v>354</v>
      </c>
      <c r="B91" s="37"/>
      <c r="C91" s="381">
        <f t="shared" ref="C91:AH91" si="76">C39/C$49</f>
        <v>0</v>
      </c>
      <c r="D91" s="306">
        <f t="shared" si="76"/>
        <v>0</v>
      </c>
      <c r="E91" s="306">
        <f t="shared" si="76"/>
        <v>1.4145389306209578E-4</v>
      </c>
      <c r="F91" s="306">
        <f t="shared" si="76"/>
        <v>4.2795922178883572E-4</v>
      </c>
      <c r="G91" s="306">
        <f t="shared" si="76"/>
        <v>5.0408232329728115E-7</v>
      </c>
      <c r="H91" s="380">
        <f t="shared" si="76"/>
        <v>5.060651016822692E-7</v>
      </c>
      <c r="I91" s="367">
        <f t="shared" si="76"/>
        <v>6.4542378242171714E-7</v>
      </c>
      <c r="J91" s="367">
        <f t="shared" si="76"/>
        <v>8.2315863617305687E-7</v>
      </c>
      <c r="K91" s="367">
        <f t="shared" si="76"/>
        <v>1.0498375776669979E-6</v>
      </c>
      <c r="L91" s="367">
        <f t="shared" si="76"/>
        <v>1.3389386821059815E-6</v>
      </c>
      <c r="M91" s="367">
        <f t="shared" si="76"/>
        <v>1.7076515763739922E-6</v>
      </c>
      <c r="N91" s="368">
        <f t="shared" si="76"/>
        <v>2.1778995149396717E-6</v>
      </c>
      <c r="O91" s="367">
        <f t="shared" si="76"/>
        <v>2.2414637097070489E-6</v>
      </c>
      <c r="P91" s="367">
        <f t="shared" si="76"/>
        <v>2.3068830896327445E-6</v>
      </c>
      <c r="Q91" s="367">
        <f t="shared" si="76"/>
        <v>2.3742118001674204E-6</v>
      </c>
      <c r="R91" s="367">
        <f t="shared" si="76"/>
        <v>2.4435055670513475E-6</v>
      </c>
      <c r="S91" s="367">
        <f t="shared" si="76"/>
        <v>2.5148217424367504E-6</v>
      </c>
      <c r="T91" s="367">
        <f t="shared" si="76"/>
        <v>2.5882193523562845E-6</v>
      </c>
      <c r="U91" s="367">
        <f t="shared" si="76"/>
        <v>2.6637591455769219E-6</v>
      </c>
      <c r="V91" s="367">
        <f t="shared" si="76"/>
        <v>2.741503643879693E-6</v>
      </c>
      <c r="W91" s="367">
        <f t="shared" si="76"/>
        <v>2.8215171938068895E-6</v>
      </c>
      <c r="X91" s="368">
        <f t="shared" si="76"/>
        <v>2.9038660199195626E-6</v>
      </c>
      <c r="Y91" s="367">
        <f t="shared" si="76"/>
        <v>2.9693922867992032E-6</v>
      </c>
      <c r="Z91" s="367">
        <f t="shared" si="76"/>
        <v>3.0363971658536924E-6</v>
      </c>
      <c r="AA91" s="367">
        <f t="shared" si="76"/>
        <v>3.1049140222366961E-6</v>
      </c>
      <c r="AB91" s="367">
        <f t="shared" si="76"/>
        <v>3.1749769739926645E-6</v>
      </c>
      <c r="AC91" s="367">
        <f t="shared" si="76"/>
        <v>3.2466209090459493E-6</v>
      </c>
      <c r="AD91" s="367">
        <f t="shared" si="76"/>
        <v>3.319881502573284E-6</v>
      </c>
      <c r="AE91" s="367">
        <f t="shared" si="76"/>
        <v>3.3947952347682787E-6</v>
      </c>
      <c r="AF91" s="367">
        <f t="shared" si="76"/>
        <v>3.4713994090067722E-6</v>
      </c>
      <c r="AG91" s="367">
        <f t="shared" si="76"/>
        <v>3.5497321704220889E-6</v>
      </c>
      <c r="AH91" s="368">
        <f t="shared" si="76"/>
        <v>3.6298325248994531E-6</v>
      </c>
      <c r="AI91" s="262"/>
    </row>
    <row r="92" spans="1:35">
      <c r="A92" s="9" t="s">
        <v>350</v>
      </c>
      <c r="B92" s="37"/>
      <c r="C92" s="381">
        <f t="shared" ref="C92:AH92" si="77">C40/C$49</f>
        <v>4.5882925128242786E-10</v>
      </c>
      <c r="D92" s="306">
        <f t="shared" si="77"/>
        <v>5.8518026606458008E-10</v>
      </c>
      <c r="E92" s="306">
        <f t="shared" si="77"/>
        <v>7.4632544205563233E-10</v>
      </c>
      <c r="F92" s="306">
        <f t="shared" si="77"/>
        <v>9.5184629038407236E-10</v>
      </c>
      <c r="G92" s="306">
        <f t="shared" si="77"/>
        <v>1.2139628498024379E-9</v>
      </c>
      <c r="H92" s="380">
        <f t="shared" si="77"/>
        <v>5.0606510168226924E-10</v>
      </c>
      <c r="I92" s="116">
        <f t="shared" si="77"/>
        <v>6.4542378242171715E-10</v>
      </c>
      <c r="J92" s="116">
        <f t="shared" si="77"/>
        <v>8.2315863617305688E-10</v>
      </c>
      <c r="K92" s="116">
        <f t="shared" si="77"/>
        <v>1.0498375776669978E-9</v>
      </c>
      <c r="L92" s="116">
        <f t="shared" si="77"/>
        <v>1.3389386821059812E-9</v>
      </c>
      <c r="M92" s="116">
        <f t="shared" si="77"/>
        <v>1.707651576373992E-9</v>
      </c>
      <c r="N92" s="179">
        <f t="shared" si="77"/>
        <v>2.1778995149396718E-9</v>
      </c>
      <c r="O92" s="116">
        <f t="shared" si="77"/>
        <v>2.2414637097070486E-9</v>
      </c>
      <c r="P92" s="116">
        <f t="shared" si="77"/>
        <v>2.3068830896327443E-9</v>
      </c>
      <c r="Q92" s="116">
        <f t="shared" si="77"/>
        <v>2.3742118001674205E-9</v>
      </c>
      <c r="R92" s="116">
        <f t="shared" si="77"/>
        <v>2.4435055670513475E-9</v>
      </c>
      <c r="S92" s="116">
        <f t="shared" si="77"/>
        <v>2.5148217424367505E-9</v>
      </c>
      <c r="T92" s="116">
        <f t="shared" si="77"/>
        <v>2.5882193523562845E-9</v>
      </c>
      <c r="U92" s="116">
        <f t="shared" si="77"/>
        <v>2.6637591455769222E-9</v>
      </c>
      <c r="V92" s="116">
        <f t="shared" si="77"/>
        <v>2.7415036438796936E-9</v>
      </c>
      <c r="W92" s="116">
        <f t="shared" si="77"/>
        <v>2.8215171938068904E-9</v>
      </c>
      <c r="X92" s="179">
        <f t="shared" si="77"/>
        <v>2.9038660199195628E-9</v>
      </c>
      <c r="Y92" s="174">
        <f t="shared" si="77"/>
        <v>2.9693922867992034E-9</v>
      </c>
      <c r="Z92" s="174">
        <f t="shared" si="77"/>
        <v>3.0363971658536926E-9</v>
      </c>
      <c r="AA92" s="174">
        <f t="shared" si="77"/>
        <v>3.1049140222366963E-9</v>
      </c>
      <c r="AB92" s="174">
        <f t="shared" si="77"/>
        <v>3.1749769739926648E-9</v>
      </c>
      <c r="AC92" s="174">
        <f t="shared" si="77"/>
        <v>3.2466209090459496E-9</v>
      </c>
      <c r="AD92" s="174">
        <f t="shared" si="77"/>
        <v>3.3198815025732844E-9</v>
      </c>
      <c r="AE92" s="174">
        <f t="shared" si="77"/>
        <v>3.3947952347682793E-9</v>
      </c>
      <c r="AF92" s="174">
        <f t="shared" si="77"/>
        <v>3.4713994090067727E-9</v>
      </c>
      <c r="AG92" s="174">
        <f t="shared" si="77"/>
        <v>3.5497321704220894E-9</v>
      </c>
      <c r="AH92" s="179">
        <f t="shared" si="77"/>
        <v>3.6298325248994529E-9</v>
      </c>
      <c r="AI92" s="128"/>
    </row>
    <row r="93" spans="1:35">
      <c r="A93" s="9" t="s">
        <v>126</v>
      </c>
      <c r="B93" s="37"/>
      <c r="C93" s="381">
        <f t="shared" ref="C93:AH93" si="78">C41/C$49</f>
        <v>0</v>
      </c>
      <c r="D93" s="306">
        <f t="shared" si="78"/>
        <v>0</v>
      </c>
      <c r="E93" s="306">
        <f t="shared" si="78"/>
        <v>0</v>
      </c>
      <c r="F93" s="306">
        <f t="shared" si="78"/>
        <v>0</v>
      </c>
      <c r="G93" s="306">
        <f t="shared" si="78"/>
        <v>0</v>
      </c>
      <c r="H93" s="380">
        <f t="shared" si="78"/>
        <v>5.0606510168226916E-6</v>
      </c>
      <c r="I93" s="116">
        <f t="shared" si="78"/>
        <v>9.9894030913596399E-6</v>
      </c>
      <c r="J93" s="116">
        <f t="shared" si="78"/>
        <v>1.4881479876265852E-5</v>
      </c>
      <c r="K93" s="116">
        <f t="shared" si="78"/>
        <v>1.9612377826653568E-5</v>
      </c>
      <c r="L93" s="116">
        <f t="shared" si="78"/>
        <v>2.4280804630706859E-5</v>
      </c>
      <c r="M93" s="116">
        <f t="shared" si="78"/>
        <v>2.885972513189712E-5</v>
      </c>
      <c r="N93" s="179">
        <f t="shared" si="78"/>
        <v>3.3697375224311995E-5</v>
      </c>
      <c r="O93" s="116">
        <f t="shared" si="78"/>
        <v>3.8191394022879741E-5</v>
      </c>
      <c r="P93" s="116">
        <f t="shared" si="78"/>
        <v>4.2461832097083828E-5</v>
      </c>
      <c r="Q93" s="116">
        <f t="shared" si="78"/>
        <v>4.6531610095334338E-5</v>
      </c>
      <c r="R93" s="116">
        <f t="shared" si="78"/>
        <v>5.0172134664600136E-5</v>
      </c>
      <c r="S93" s="116">
        <f t="shared" si="78"/>
        <v>5.3729417525026197E-5</v>
      </c>
      <c r="T93" s="116">
        <f t="shared" si="78"/>
        <v>5.7130955571967362E-5</v>
      </c>
      <c r="U93" s="116">
        <f t="shared" si="78"/>
        <v>6.0376458083915668E-5</v>
      </c>
      <c r="V93" s="116">
        <f t="shared" si="78"/>
        <v>6.3494271077005825E-5</v>
      </c>
      <c r="W93" s="116">
        <f t="shared" si="78"/>
        <v>6.6952497479217548E-5</v>
      </c>
      <c r="X93" s="179">
        <f t="shared" si="78"/>
        <v>7.047037653984456E-5</v>
      </c>
      <c r="Y93" s="174">
        <f t="shared" si="78"/>
        <v>7.3885999845955895E-5</v>
      </c>
      <c r="Z93" s="174">
        <f t="shared" si="78"/>
        <v>7.7185231091891283E-5</v>
      </c>
      <c r="AA93" s="174">
        <f t="shared" si="78"/>
        <v>8.0380301067793606E-5</v>
      </c>
      <c r="AB93" s="174">
        <f t="shared" si="78"/>
        <v>8.3489091178186013E-5</v>
      </c>
      <c r="AC93" s="174">
        <f t="shared" si="78"/>
        <v>8.6510402978197696E-5</v>
      </c>
      <c r="AD93" s="174">
        <f t="shared" si="78"/>
        <v>8.9413108180138193E-5</v>
      </c>
      <c r="AE93" s="174">
        <f t="shared" si="78"/>
        <v>9.2051839177336416E-5</v>
      </c>
      <c r="AF93" s="174">
        <f t="shared" si="78"/>
        <v>9.4725771354797918E-5</v>
      </c>
      <c r="AG93" s="174">
        <f t="shared" si="78"/>
        <v>9.7363299250361778E-5</v>
      </c>
      <c r="AH93" s="179">
        <f t="shared" si="78"/>
        <v>9.9989188206112324E-5</v>
      </c>
      <c r="AI93" s="128"/>
    </row>
    <row r="94" spans="1:35">
      <c r="A94" s="9" t="s">
        <v>55</v>
      </c>
      <c r="B94" s="37"/>
      <c r="C94" s="381">
        <f t="shared" ref="C94:AH94" si="79">C42/C$49</f>
        <v>4.5882925128242786E-7</v>
      </c>
      <c r="D94" s="306">
        <f t="shared" si="79"/>
        <v>5.8518026606458014E-7</v>
      </c>
      <c r="E94" s="306">
        <f t="shared" si="79"/>
        <v>7.4632544205563241E-7</v>
      </c>
      <c r="F94" s="306">
        <f t="shared" si="79"/>
        <v>9.518462903840724E-7</v>
      </c>
      <c r="G94" s="306">
        <f t="shared" si="79"/>
        <v>1.2139628498024381E-6</v>
      </c>
      <c r="H94" s="380">
        <f t="shared" si="79"/>
        <v>2.5303255084113459E-8</v>
      </c>
      <c r="I94" s="116">
        <f t="shared" si="79"/>
        <v>3.2271189121085857E-8</v>
      </c>
      <c r="J94" s="116">
        <f t="shared" si="79"/>
        <v>4.1157931808652844E-8</v>
      </c>
      <c r="K94" s="116">
        <f t="shared" si="79"/>
        <v>5.2491878883349887E-8</v>
      </c>
      <c r="L94" s="116">
        <f t="shared" si="79"/>
        <v>6.6946934105299069E-8</v>
      </c>
      <c r="M94" s="116">
        <f t="shared" si="79"/>
        <v>8.5382578818699598E-8</v>
      </c>
      <c r="N94" s="179">
        <f t="shared" si="79"/>
        <v>1.0889497574698357E-7</v>
      </c>
      <c r="O94" s="116">
        <f t="shared" si="79"/>
        <v>1.1207318548535243E-7</v>
      </c>
      <c r="P94" s="116">
        <f t="shared" si="79"/>
        <v>1.1534415448163721E-7</v>
      </c>
      <c r="Q94" s="116">
        <f t="shared" si="79"/>
        <v>1.1871059000837101E-7</v>
      </c>
      <c r="R94" s="116">
        <f t="shared" si="79"/>
        <v>1.2217527835256735E-7</v>
      </c>
      <c r="S94" s="116">
        <f t="shared" si="79"/>
        <v>1.257410871218375E-7</v>
      </c>
      <c r="T94" s="116">
        <f t="shared" si="79"/>
        <v>1.2941096761781419E-7</v>
      </c>
      <c r="U94" s="116">
        <f t="shared" si="79"/>
        <v>1.3318795727884607E-7</v>
      </c>
      <c r="V94" s="116">
        <f t="shared" si="79"/>
        <v>1.3707518219398463E-7</v>
      </c>
      <c r="W94" s="116">
        <f t="shared" si="79"/>
        <v>1.4107585969034446E-7</v>
      </c>
      <c r="X94" s="179">
        <f t="shared" si="79"/>
        <v>1.4519330099597813E-7</v>
      </c>
      <c r="Y94" s="174">
        <f t="shared" si="79"/>
        <v>1.4846961433996018E-7</v>
      </c>
      <c r="Z94" s="174">
        <f t="shared" si="79"/>
        <v>1.5181985829268464E-7</v>
      </c>
      <c r="AA94" s="174">
        <f t="shared" si="79"/>
        <v>1.5524570111183483E-7</v>
      </c>
      <c r="AB94" s="174">
        <f t="shared" si="79"/>
        <v>1.5874884869963325E-7</v>
      </c>
      <c r="AC94" s="174">
        <f t="shared" si="79"/>
        <v>1.6233104545229747E-7</v>
      </c>
      <c r="AD94" s="174">
        <f t="shared" si="79"/>
        <v>1.7493868991766169E-7</v>
      </c>
      <c r="AE94" s="174">
        <f t="shared" si="79"/>
        <v>2.7615551753200927E-7</v>
      </c>
      <c r="AF94" s="174">
        <f t="shared" si="79"/>
        <v>4.5089467164883813E-7</v>
      </c>
      <c r="AG94" s="174">
        <f t="shared" si="79"/>
        <v>7.6018268260859392E-7</v>
      </c>
      <c r="AH94" s="179">
        <f t="shared" si="79"/>
        <v>1.8149162624497266E-7</v>
      </c>
      <c r="AI94" s="128"/>
    </row>
    <row r="95" spans="1:35" s="349" customFormat="1">
      <c r="A95" s="344" t="s">
        <v>547</v>
      </c>
      <c r="B95" s="345"/>
      <c r="C95" s="346">
        <f>SUM(C86:C94)</f>
        <v>1.9868224697860943E-2</v>
      </c>
      <c r="D95" s="346">
        <f>SUM(D86:D94)</f>
        <v>2.5813448883309185E-2</v>
      </c>
      <c r="E95" s="346">
        <f>SUM(E86:E94)</f>
        <v>3.4539840493472994E-2</v>
      </c>
      <c r="F95" s="346">
        <f>SUM(F86:F94)</f>
        <v>4.5557891284772299E-2</v>
      </c>
      <c r="G95" s="346">
        <f t="shared" ref="G95:AH95" si="80">SUM(G86:G94)</f>
        <v>5.9150894962246535E-2</v>
      </c>
      <c r="H95" s="346">
        <f t="shared" si="80"/>
        <v>2.96918521519672E-2</v>
      </c>
      <c r="I95" s="346">
        <f t="shared" si="80"/>
        <v>3.8679601551792349E-2</v>
      </c>
      <c r="J95" s="346">
        <f t="shared" si="80"/>
        <v>5.0498051310919195E-2</v>
      </c>
      <c r="K95" s="346">
        <f t="shared" si="80"/>
        <v>6.6074130043990056E-2</v>
      </c>
      <c r="L95" s="346">
        <f t="shared" si="80"/>
        <v>8.6649349299476194E-2</v>
      </c>
      <c r="M95" s="346">
        <f t="shared" si="80"/>
        <v>0.11388934500651562</v>
      </c>
      <c r="N95" s="347">
        <f t="shared" si="80"/>
        <v>0.15003369737522435</v>
      </c>
      <c r="O95" s="346">
        <f t="shared" si="80"/>
        <v>0.15441609273873697</v>
      </c>
      <c r="P95" s="346">
        <f t="shared" si="80"/>
        <v>0.15892603798941896</v>
      </c>
      <c r="Q95" s="346">
        <f t="shared" si="80"/>
        <v>0.16356728524549796</v>
      </c>
      <c r="R95" s="346">
        <f t="shared" si="80"/>
        <v>0.16834344395159456</v>
      </c>
      <c r="S95" s="346">
        <f t="shared" si="80"/>
        <v>0.1732588101744128</v>
      </c>
      <c r="T95" s="346">
        <f t="shared" si="80"/>
        <v>0.17831737675217238</v>
      </c>
      <c r="U95" s="346">
        <f t="shared" si="80"/>
        <v>0.18352332738656429</v>
      </c>
      <c r="V95" s="346">
        <f t="shared" si="80"/>
        <v>0.18888099653005752</v>
      </c>
      <c r="W95" s="346">
        <f t="shared" si="80"/>
        <v>0.19439528407009402</v>
      </c>
      <c r="X95" s="347">
        <f t="shared" si="80"/>
        <v>0.20007047037653983</v>
      </c>
      <c r="Y95" s="346">
        <f t="shared" si="80"/>
        <v>0.20458692251256058</v>
      </c>
      <c r="Z95" s="346">
        <f t="shared" si="80"/>
        <v>0.20920509574934656</v>
      </c>
      <c r="AA95" s="346">
        <f t="shared" si="80"/>
        <v>0.2139273002993054</v>
      </c>
      <c r="AB95" s="346">
        <f t="shared" si="80"/>
        <v>0.21875590387983376</v>
      </c>
      <c r="AC95" s="346">
        <f t="shared" si="80"/>
        <v>0.2236933081529571</v>
      </c>
      <c r="AD95" s="346">
        <f t="shared" si="80"/>
        <v>0.22874194801645803</v>
      </c>
      <c r="AE95" s="346">
        <f t="shared" si="80"/>
        <v>0.23390427021058838</v>
      </c>
      <c r="AF95" s="346">
        <f t="shared" si="80"/>
        <v>0.23918312804356517</v>
      </c>
      <c r="AG95" s="346">
        <f t="shared" si="80"/>
        <v>0.2445811381310565</v>
      </c>
      <c r="AH95" s="347">
        <f t="shared" si="80"/>
        <v>0.25009998918820608</v>
      </c>
      <c r="AI95" s="348"/>
    </row>
    <row r="96" spans="1:35">
      <c r="A96" s="10" t="s">
        <v>550</v>
      </c>
      <c r="B96" s="37"/>
      <c r="C96" s="302"/>
      <c r="D96" s="302">
        <f>D95/C95-1</f>
        <v>0.29923278379715113</v>
      </c>
      <c r="E96" s="302">
        <f t="shared" ref="E96:O96" si="81">E95/D95-1</f>
        <v>0.33805601295711551</v>
      </c>
      <c r="F96" s="302">
        <f t="shared" si="81"/>
        <v>0.3189954161305808</v>
      </c>
      <c r="G96" s="302">
        <f t="shared" si="81"/>
        <v>0.29836770961384884</v>
      </c>
      <c r="H96" s="250"/>
      <c r="I96" s="165">
        <f t="shared" si="81"/>
        <v>0.30270086735662516</v>
      </c>
      <c r="J96" s="165">
        <f t="shared" si="81"/>
        <v>0.30554735015307299</v>
      </c>
      <c r="K96" s="165">
        <f t="shared" si="81"/>
        <v>0.30844910503908585</v>
      </c>
      <c r="L96" s="165">
        <f t="shared" si="81"/>
        <v>0.31139599177148169</v>
      </c>
      <c r="M96" s="165">
        <f t="shared" si="81"/>
        <v>0.31437045895051052</v>
      </c>
      <c r="N96" s="165">
        <f t="shared" si="81"/>
        <v>0.31736377416729278</v>
      </c>
      <c r="O96" s="173">
        <f t="shared" si="81"/>
        <v>2.9209407221049366E-2</v>
      </c>
      <c r="P96" s="173">
        <f t="shared" ref="P96:AH96" si="82">P95/O95-1</f>
        <v>2.9206445848313001E-2</v>
      </c>
      <c r="Q96" s="173">
        <f t="shared" si="82"/>
        <v>2.9203819051903945E-2</v>
      </c>
      <c r="R96" s="173">
        <f t="shared" si="82"/>
        <v>2.9199963176793409E-2</v>
      </c>
      <c r="S96" s="173">
        <f t="shared" si="82"/>
        <v>2.9198441634778582E-2</v>
      </c>
      <c r="T96" s="173">
        <f t="shared" si="82"/>
        <v>2.9196590768846509E-2</v>
      </c>
      <c r="U96" s="173">
        <f t="shared" si="82"/>
        <v>2.9194858791733003E-2</v>
      </c>
      <c r="V96" s="173">
        <f t="shared" si="82"/>
        <v>2.9193395846665915E-2</v>
      </c>
      <c r="W96" s="173">
        <f t="shared" si="82"/>
        <v>2.9194506812965537E-2</v>
      </c>
      <c r="X96" s="186">
        <f t="shared" si="82"/>
        <v>2.9194053413350796E-2</v>
      </c>
      <c r="Y96" s="173">
        <f t="shared" si="82"/>
        <v>2.2574306580679382E-2</v>
      </c>
      <c r="Z96" s="173">
        <f t="shared" si="82"/>
        <v>2.2573159516109609E-2</v>
      </c>
      <c r="AA96" s="173">
        <f t="shared" si="82"/>
        <v>2.2572129675161534E-2</v>
      </c>
      <c r="AB96" s="173">
        <f t="shared" si="82"/>
        <v>2.2571235993595451E-2</v>
      </c>
      <c r="AC96" s="173">
        <f t="shared" si="82"/>
        <v>2.2570381807091922E-2</v>
      </c>
      <c r="AD96" s="173">
        <f t="shared" si="82"/>
        <v>2.2569472038246108E-2</v>
      </c>
      <c r="AE96" s="173">
        <f t="shared" si="82"/>
        <v>2.2568323120859768E-2</v>
      </c>
      <c r="AF96" s="173">
        <f t="shared" si="82"/>
        <v>2.2568454300659679E-2</v>
      </c>
      <c r="AG96" s="173">
        <f t="shared" si="82"/>
        <v>2.2568523673242247E-2</v>
      </c>
      <c r="AH96" s="186">
        <f t="shared" si="82"/>
        <v>2.2564499860133758E-2</v>
      </c>
      <c r="AI96" s="128"/>
    </row>
    <row r="97" spans="1:36">
      <c r="A97" s="10"/>
      <c r="B97" s="37"/>
      <c r="C97" s="302"/>
      <c r="D97" s="302"/>
      <c r="E97" s="302"/>
      <c r="F97" s="302"/>
      <c r="G97" s="302"/>
      <c r="H97" s="250"/>
      <c r="I97" s="165"/>
      <c r="J97" s="165"/>
      <c r="K97" s="165"/>
      <c r="L97" s="165"/>
      <c r="M97" s="165"/>
      <c r="N97" s="181"/>
      <c r="O97" s="165"/>
      <c r="P97" s="165"/>
      <c r="Q97" s="165"/>
      <c r="R97" s="165"/>
      <c r="S97" s="165"/>
      <c r="T97" s="165"/>
      <c r="U97" s="165"/>
      <c r="V97" s="165"/>
      <c r="W97" s="165"/>
      <c r="X97" s="186"/>
      <c r="AI97" s="128"/>
    </row>
    <row r="98" spans="1:36">
      <c r="A98" s="10"/>
      <c r="B98" s="37"/>
      <c r="C98" s="302"/>
      <c r="D98" s="302"/>
      <c r="E98" s="302"/>
      <c r="F98" s="302"/>
      <c r="G98" s="302"/>
      <c r="H98" s="250"/>
      <c r="I98" s="173"/>
      <c r="J98" s="173"/>
      <c r="K98" s="173"/>
      <c r="L98" s="173"/>
      <c r="M98" s="173"/>
      <c r="N98" s="186"/>
      <c r="O98" s="173"/>
      <c r="P98" s="173"/>
      <c r="Q98" s="173"/>
      <c r="R98" s="173"/>
      <c r="S98" s="173"/>
      <c r="T98" s="173"/>
      <c r="U98" s="173"/>
      <c r="V98" s="173"/>
      <c r="W98" s="173"/>
      <c r="X98" s="186"/>
      <c r="AI98" s="128"/>
    </row>
    <row r="99" spans="1:36">
      <c r="A99" s="1" t="s">
        <v>145</v>
      </c>
      <c r="C99" s="298">
        <v>2009</v>
      </c>
      <c r="D99" s="298">
        <v>2010</v>
      </c>
      <c r="E99" s="298">
        <v>2011</v>
      </c>
      <c r="F99" s="298">
        <v>2012</v>
      </c>
      <c r="G99" s="298">
        <v>2013</v>
      </c>
      <c r="H99" s="371">
        <v>2014</v>
      </c>
      <c r="I99" s="13">
        <v>2015</v>
      </c>
      <c r="J99" s="13">
        <v>2016</v>
      </c>
      <c r="K99" s="13">
        <v>2017</v>
      </c>
      <c r="L99" s="13">
        <v>2018</v>
      </c>
      <c r="M99" s="13">
        <v>2019</v>
      </c>
      <c r="N99" s="177">
        <v>2020</v>
      </c>
      <c r="O99" s="13">
        <v>2021</v>
      </c>
      <c r="P99" s="13">
        <v>2022</v>
      </c>
      <c r="Q99" s="13">
        <v>2023</v>
      </c>
      <c r="R99" s="13">
        <v>2024</v>
      </c>
      <c r="S99" s="13">
        <v>2025</v>
      </c>
      <c r="T99" s="13">
        <v>2026</v>
      </c>
      <c r="U99" s="13">
        <v>2027</v>
      </c>
      <c r="V99" s="13">
        <v>2028</v>
      </c>
      <c r="W99" s="13">
        <v>2029</v>
      </c>
      <c r="X99" s="177">
        <v>2030</v>
      </c>
      <c r="Y99" s="13">
        <v>2031</v>
      </c>
      <c r="Z99" s="13">
        <v>2032</v>
      </c>
      <c r="AA99" s="13">
        <v>2033</v>
      </c>
      <c r="AB99" s="13">
        <v>2034</v>
      </c>
      <c r="AC99" s="13">
        <v>2035</v>
      </c>
      <c r="AD99" s="13">
        <v>2036</v>
      </c>
      <c r="AE99" s="13">
        <v>2037</v>
      </c>
      <c r="AF99" s="13">
        <v>2038</v>
      </c>
      <c r="AG99" s="13">
        <v>2039</v>
      </c>
      <c r="AH99" s="177">
        <v>2040</v>
      </c>
      <c r="AI99" s="1"/>
    </row>
    <row r="100" spans="1:36">
      <c r="A100" s="10" t="s">
        <v>63</v>
      </c>
      <c r="B100" s="35">
        <v>0</v>
      </c>
      <c r="C100" s="301">
        <v>0</v>
      </c>
      <c r="D100" s="301">
        <f xml:space="preserve"> IF(D29*Inputs!$C44 &gt; 0, D29*Inputs!$C44, 0)</f>
        <v>0</v>
      </c>
      <c r="E100" s="301">
        <f xml:space="preserve"> IF(E29*Inputs!$C44 &gt; 0, E29*Inputs!$C44, 0)</f>
        <v>0</v>
      </c>
      <c r="F100" s="301">
        <f xml:space="preserve"> IF(F29*Inputs!$C44 &gt; 0, F29*Inputs!$C44, 0)</f>
        <v>0</v>
      </c>
      <c r="G100" s="301">
        <f xml:space="preserve"> IF(G29*Inputs!$C44 &gt; 0, G29*Inputs!$C44, 0)</f>
        <v>0</v>
      </c>
      <c r="H100" s="373">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3">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8">
        <f xml:space="preserve"> IF(X29*Inputs!$C44 &gt; 0, X29*Inputs!$C44, 0)</f>
        <v>0</v>
      </c>
    </row>
    <row r="101" spans="1:36">
      <c r="A101" s="10" t="s">
        <v>62</v>
      </c>
      <c r="B101" s="35">
        <v>0</v>
      </c>
      <c r="C101" s="301">
        <v>0</v>
      </c>
      <c r="D101" s="301">
        <f>D30*Inputs!$C47</f>
        <v>0</v>
      </c>
      <c r="E101" s="301">
        <f>E30*Inputs!$C47</f>
        <v>0</v>
      </c>
      <c r="F101" s="301">
        <f>F30*Inputs!$C47</f>
        <v>0</v>
      </c>
      <c r="G101" s="301">
        <f>G30*Inputs!$C47</f>
        <v>0</v>
      </c>
      <c r="H101" s="373">
        <f>H30*Inputs!$C47</f>
        <v>0</v>
      </c>
      <c r="I101" s="14">
        <f>I30*Inputs!$C47</f>
        <v>0</v>
      </c>
      <c r="J101" s="14">
        <f>J30*Inputs!$C47</f>
        <v>0</v>
      </c>
      <c r="K101" s="14">
        <f>K30*Inputs!$C47</f>
        <v>0</v>
      </c>
      <c r="L101" s="14">
        <f>L30*Inputs!$C47</f>
        <v>0</v>
      </c>
      <c r="M101" s="14">
        <f>M30*Inputs!$C47</f>
        <v>0</v>
      </c>
      <c r="N101" s="183">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8">
        <f>X30*Inputs!$C47</f>
        <v>0</v>
      </c>
    </row>
    <row r="102" spans="1:36">
      <c r="A102" s="10" t="s">
        <v>51</v>
      </c>
      <c r="B102" s="35">
        <v>0</v>
      </c>
      <c r="C102" s="301">
        <f>C31*Inputs!$C$48</f>
        <v>31.199984999999998</v>
      </c>
      <c r="D102" s="301">
        <f>D31*Inputs!$C$48</f>
        <v>30.412039632198137</v>
      </c>
      <c r="E102" s="301">
        <f>E31*Inputs!$C$48</f>
        <v>25.083808601252045</v>
      </c>
      <c r="F102" s="301">
        <f>F31*Inputs!$C$48</f>
        <v>23.020028502701706</v>
      </c>
      <c r="G102" s="301">
        <f>G31*Inputs!$C$48</f>
        <v>20.14531161048723</v>
      </c>
      <c r="H102" s="373">
        <f>H31*Inputs!$C$48</f>
        <v>5.6617349999999993</v>
      </c>
      <c r="I102" s="14">
        <f>I31*Inputs!$C$48</f>
        <v>5.7393919769291974</v>
      </c>
      <c r="J102" s="14">
        <f>J31*Inputs!$C$48</f>
        <v>5.781891695705621</v>
      </c>
      <c r="K102" s="14">
        <f>K31*Inputs!$C$48</f>
        <v>5.8525325627436979</v>
      </c>
      <c r="L102" s="14">
        <f>L31*Inputs!$C$48</f>
        <v>5.9120785732162977</v>
      </c>
      <c r="M102" s="14">
        <f>M31*Inputs!$C$48</f>
        <v>5.9718843104606636</v>
      </c>
      <c r="N102" s="183">
        <f>N31*Inputs!$C$48</f>
        <v>5.9699850000000003</v>
      </c>
      <c r="O102" s="14">
        <f>O31*Inputs!$C$48</f>
        <v>5.9881684292801003</v>
      </c>
      <c r="P102" s="14">
        <f>P31*Inputs!$C$48</f>
        <v>6.0269738196414755</v>
      </c>
      <c r="Q102" s="14">
        <f>Q31*Inputs!$C$48</f>
        <v>6.0782847471737655</v>
      </c>
      <c r="R102" s="14">
        <f>R31*Inputs!$C$48</f>
        <v>6.1676581749800059</v>
      </c>
      <c r="S102" s="14">
        <f>S31*Inputs!$C$48</f>
        <v>6.2489594657523035</v>
      </c>
      <c r="T102" s="14">
        <f>T31*Inputs!$C$48</f>
        <v>6.3320751319196624</v>
      </c>
      <c r="U102" s="14">
        <f>U31*Inputs!$C$48</f>
        <v>6.417372619057498</v>
      </c>
      <c r="V102" s="14">
        <f>V31*Inputs!$C$48</f>
        <v>6.5022422171230891</v>
      </c>
      <c r="W102" s="14">
        <f>W31*Inputs!$C$48</f>
        <v>6.5411780370540811</v>
      </c>
      <c r="X102" s="188">
        <f>X31*Inputs!$C$48</f>
        <v>6.5664110218794258</v>
      </c>
      <c r="Y102" s="159">
        <f>Y31*Inputs!$C$48</f>
        <v>7.1557279848212216</v>
      </c>
      <c r="Z102" s="159">
        <f>Z31*Inputs!$C$48</f>
        <v>7.7603501774473269</v>
      </c>
      <c r="AA102" s="159">
        <f>AA31*Inputs!$C$48</f>
        <v>8.3797443319768146</v>
      </c>
      <c r="AB102" s="159">
        <f>AB31*Inputs!$C$48</f>
        <v>9.0126022165431099</v>
      </c>
      <c r="AC102" s="159">
        <f>AC31*Inputs!$C$48</f>
        <v>9.6594996767456731</v>
      </c>
      <c r="AD102" s="159">
        <f>AD31*Inputs!$C$48</f>
        <v>10.324505156398814</v>
      </c>
      <c r="AE102" s="159">
        <f>AE31*Inputs!$C$48</f>
        <v>11.025859318375295</v>
      </c>
      <c r="AF102" s="159">
        <f>AF31*Inputs!$C$48</f>
        <v>11.729234722999946</v>
      </c>
      <c r="AG102" s="159">
        <f>AG31*Inputs!$C$48</f>
        <v>12.442846936114607</v>
      </c>
      <c r="AH102" s="188">
        <f>AH31*Inputs!$C$48</f>
        <v>13.163404184690966</v>
      </c>
    </row>
    <row r="103" spans="1:36">
      <c r="A103" s="10" t="s">
        <v>61</v>
      </c>
      <c r="B103" s="35">
        <v>0</v>
      </c>
      <c r="C103" s="301">
        <f>C32*Inputs!$C$53</f>
        <v>4076.5200000000004</v>
      </c>
      <c r="D103" s="301">
        <f>D32*Inputs!$C$53</f>
        <v>4247.9804028753888</v>
      </c>
      <c r="E103" s="301">
        <f>E32*Inputs!$C$53</f>
        <v>3768.5451660981666</v>
      </c>
      <c r="F103" s="301">
        <f>F32*Inputs!$C$53</f>
        <v>3746.6756240111731</v>
      </c>
      <c r="G103" s="301">
        <f>G32*Inputs!$C$53</f>
        <v>3582.6595420934932</v>
      </c>
      <c r="H103" s="373">
        <f>H32*Inputs!$C$53</f>
        <v>3377.8543400000008</v>
      </c>
      <c r="I103" s="14">
        <f>I32*Inputs!$C$53</f>
        <v>3417.0215253187012</v>
      </c>
      <c r="J103" s="14">
        <f>J32*Inputs!$C$53</f>
        <v>3435.1146921290315</v>
      </c>
      <c r="K103" s="14">
        <f>K32*Inputs!$C$53</f>
        <v>3469.7932564752268</v>
      </c>
      <c r="L103" s="14">
        <f>L32*Inputs!$C$53</f>
        <v>3497.7392705185252</v>
      </c>
      <c r="M103" s="14">
        <f>M32*Inputs!$C$53</f>
        <v>3525.6979180947783</v>
      </c>
      <c r="N103" s="183">
        <f>N32*Inputs!$C$53</f>
        <v>3517.1624600000005</v>
      </c>
      <c r="O103" s="14">
        <f>O32*Inputs!$C$53</f>
        <v>3527.8750622691914</v>
      </c>
      <c r="P103" s="14">
        <f>P32*Inputs!$C$53</f>
        <v>3550.7369056782904</v>
      </c>
      <c r="Q103" s="14">
        <f>Q32*Inputs!$C$53</f>
        <v>3580.9662727712321</v>
      </c>
      <c r="R103" s="14">
        <f>R32*Inputs!$C$53</f>
        <v>3633.6198163231215</v>
      </c>
      <c r="S103" s="14">
        <f>S32*Inputs!$C$53</f>
        <v>3681.5177336300949</v>
      </c>
      <c r="T103" s="14">
        <f>T32*Inputs!$C$53</f>
        <v>3730.4845737279729</v>
      </c>
      <c r="U103" s="14">
        <f>U32*Inputs!$C$53</f>
        <v>3780.7368138413954</v>
      </c>
      <c r="V103" s="14">
        <f>V32*Inputs!$C$53</f>
        <v>3830.7369669927994</v>
      </c>
      <c r="W103" s="14">
        <f>W32*Inputs!$C$53</f>
        <v>3853.6756517986419</v>
      </c>
      <c r="X103" s="188">
        <f>X32*Inputs!$C$53</f>
        <v>3868.541435712913</v>
      </c>
      <c r="Y103" s="159">
        <f>Y32*Inputs!$C$53</f>
        <v>4215.7321738973642</v>
      </c>
      <c r="Z103" s="159">
        <f>Z32*Inputs!$C$53</f>
        <v>4571.9398491909233</v>
      </c>
      <c r="AA103" s="159">
        <f>AA32*Inputs!$C$53</f>
        <v>4936.8502917221113</v>
      </c>
      <c r="AB103" s="159">
        <f>AB32*Inputs!$C$53</f>
        <v>5309.6927685644469</v>
      </c>
      <c r="AC103" s="159">
        <f>AC32*Inputs!$C$53</f>
        <v>5690.8065339246259</v>
      </c>
      <c r="AD103" s="159">
        <f>AD32*Inputs!$C$53</f>
        <v>6082.5884745375952</v>
      </c>
      <c r="AE103" s="159">
        <f>AE32*Inputs!$C$53</f>
        <v>6495.7849113240245</v>
      </c>
      <c r="AF103" s="159">
        <f>AF32*Inputs!$C$53</f>
        <v>6910.172144865337</v>
      </c>
      <c r="AG103" s="159">
        <f>AG32*Inputs!$C$53</f>
        <v>7330.5903011864011</v>
      </c>
      <c r="AH103" s="188">
        <f>AH32*Inputs!$C$53</f>
        <v>7755.1000620942878</v>
      </c>
    </row>
    <row r="104" spans="1:36">
      <c r="A104" s="10" t="s">
        <v>127</v>
      </c>
      <c r="B104" s="35">
        <v>1</v>
      </c>
      <c r="C104" s="301">
        <f>C34*Inputs!$C$46</f>
        <v>521.64</v>
      </c>
      <c r="D104" s="301">
        <f>D34*Inputs!$C$46</f>
        <v>735.97004972884906</v>
      </c>
      <c r="E104" s="301">
        <f>E34*Inputs!$C$46</f>
        <v>884.05747811740343</v>
      </c>
      <c r="F104" s="301">
        <f>F34*Inputs!$C$46</f>
        <v>1190.1875538747001</v>
      </c>
      <c r="G104" s="301">
        <f>G34*Inputs!$C$46</f>
        <v>1541.2438822952158</v>
      </c>
      <c r="H104" s="373">
        <f>H34*Inputs!$C$46</f>
        <v>533.86851000000001</v>
      </c>
      <c r="I104" s="14">
        <f>I34*Inputs!$C$46</f>
        <v>726.05390318522666</v>
      </c>
      <c r="J104" s="14">
        <f>J34*Inputs!$C$46</f>
        <v>981.27617133146089</v>
      </c>
      <c r="K104" s="14">
        <f>K34*Inputs!$C$46</f>
        <v>1332.5501799991903</v>
      </c>
      <c r="L104" s="14">
        <f>L34*Inputs!$C$46</f>
        <v>1805.919862356882</v>
      </c>
      <c r="M104" s="14">
        <f>M34*Inputs!$C$46</f>
        <v>2447.3062390522696</v>
      </c>
      <c r="N104" s="183">
        <f>N34*Inputs!$C$46</f>
        <v>3282.2294371866569</v>
      </c>
      <c r="O104" s="14">
        <f>O34*Inputs!$C$46</f>
        <v>3406.3190226793517</v>
      </c>
      <c r="P104" s="14">
        <f>P34*Inputs!$C$46</f>
        <v>3547.3047309783456</v>
      </c>
      <c r="Q104" s="14">
        <f>Q34*Inputs!$C$46</f>
        <v>3701.6939633104548</v>
      </c>
      <c r="R104" s="14">
        <f>R34*Inputs!$C$46</f>
        <v>3886.6243800314815</v>
      </c>
      <c r="S104" s="14">
        <f>S34*Inputs!$C$46</f>
        <v>4074.792066722428</v>
      </c>
      <c r="T104" s="14">
        <f>T34*Inputs!$C$46</f>
        <v>4272.696807700504</v>
      </c>
      <c r="U104" s="14">
        <f>U34*Inputs!$C$46</f>
        <v>4481.0984894227013</v>
      </c>
      <c r="V104" s="14">
        <f>V34*Inputs!$C$46</f>
        <v>4698.6671021361635</v>
      </c>
      <c r="W104" s="14">
        <f>W34*Inputs!$C$46</f>
        <v>4891.7587875059126</v>
      </c>
      <c r="X104" s="188">
        <f>X34*Inputs!$C$46</f>
        <v>5082.1565164805279</v>
      </c>
      <c r="Y104" s="159">
        <f>Y34*Inputs!$C$46</f>
        <v>5248.1598975650477</v>
      </c>
      <c r="Z104" s="159">
        <f>Z34*Inputs!$C$46</f>
        <v>5422.5941530035161</v>
      </c>
      <c r="AA104" s="159">
        <f>AA34*Inputs!$C$46</f>
        <v>5604.7865489401729</v>
      </c>
      <c r="AB104" s="159">
        <f>AB34*Inputs!$C$46</f>
        <v>5793.7436172015705</v>
      </c>
      <c r="AC104" s="159">
        <f>AC34*Inputs!$C$46</f>
        <v>5989.8377552590091</v>
      </c>
      <c r="AD104" s="159">
        <f>AD34*Inputs!$C$46</f>
        <v>6195.52848967112</v>
      </c>
      <c r="AE104" s="159">
        <f>AE34*Inputs!$C$46</f>
        <v>6421.2782211474814</v>
      </c>
      <c r="AF104" s="159">
        <f>AF34*Inputs!$C$46</f>
        <v>6646.692317853137</v>
      </c>
      <c r="AG104" s="159">
        <f>AG34*Inputs!$C$46</f>
        <v>6877.0595399476306</v>
      </c>
      <c r="AH104" s="188">
        <f>AH34*Inputs!$C$46</f>
        <v>7110.9306209797396</v>
      </c>
    </row>
    <row r="105" spans="1:36">
      <c r="A105" s="10" t="s">
        <v>52</v>
      </c>
      <c r="B105" s="35">
        <v>1</v>
      </c>
      <c r="C105" s="301">
        <f>C35*Inputs!$C$49</f>
        <v>2.5000000000000001E-2</v>
      </c>
      <c r="D105" s="301">
        <f>D35*Inputs!$C$49</f>
        <v>3.3514297902984116E-2</v>
      </c>
      <c r="E105" s="301">
        <f>E35*Inputs!$C$49</f>
        <v>3.8251753541544892E-2</v>
      </c>
      <c r="F105" s="301">
        <f>F35*Inputs!$C$49</f>
        <v>4.8931340469588351E-2</v>
      </c>
      <c r="G105" s="301">
        <f>G35*Inputs!$C$49</f>
        <v>6.0206577065712086E-2</v>
      </c>
      <c r="H105" s="373">
        <f>H35*Inputs!$C$49</f>
        <v>2.5000000000000001E-2</v>
      </c>
      <c r="I105" s="14">
        <f>I35*Inputs!$C$49</f>
        <v>3.2305422882573341E-2</v>
      </c>
      <c r="J105" s="14">
        <f>J35*Inputs!$C$49</f>
        <v>4.1485724690218544E-2</v>
      </c>
      <c r="K105" s="14">
        <f>K35*Inputs!$C$49</f>
        <v>5.3529336776301041E-2</v>
      </c>
      <c r="L105" s="14">
        <f>L35*Inputs!$C$49</f>
        <v>6.8929896603008634E-2</v>
      </c>
      <c r="M105" s="14">
        <f>M35*Inputs!$C$49</f>
        <v>8.8756124767450525E-2</v>
      </c>
      <c r="N105" s="183">
        <f>N35*Inputs!$C$49</f>
        <v>0.11310448145512028</v>
      </c>
      <c r="O105" s="14">
        <f>O35*Inputs!$C$49</f>
        <v>0.11738056528464137</v>
      </c>
      <c r="P105" s="14">
        <f>P35*Inputs!$C$49</f>
        <v>0.12223888361214033</v>
      </c>
      <c r="Q105" s="14">
        <f>Q35*Inputs!$C$49</f>
        <v>0.12755908270222738</v>
      </c>
      <c r="R105" s="14">
        <f>R35*Inputs!$C$49</f>
        <v>0.13393172035257989</v>
      </c>
      <c r="S105" s="14">
        <f>S35*Inputs!$C$49</f>
        <v>0.14041591319682881</v>
      </c>
      <c r="T105" s="14">
        <f>T35*Inputs!$C$49</f>
        <v>0.14723564153520527</v>
      </c>
      <c r="U105" s="14">
        <f>U35*Inputs!$C$49</f>
        <v>0.15441709078994356</v>
      </c>
      <c r="V105" s="14">
        <f>V35*Inputs!$C$49</f>
        <v>0.16191442928891164</v>
      </c>
      <c r="W105" s="14">
        <f>W35*Inputs!$C$49</f>
        <v>0.16856830140997833</v>
      </c>
      <c r="X105" s="188">
        <f>X35*Inputs!$C$49</f>
        <v>0.17512934073340999</v>
      </c>
      <c r="Y105" s="159">
        <f>Y35*Inputs!$C$49</f>
        <v>0.18084975933810538</v>
      </c>
      <c r="Z105" s="159">
        <f>Z35*Inputs!$C$49</f>
        <v>0.18686070293206961</v>
      </c>
      <c r="AA105" s="159">
        <f>AA35*Inputs!$C$49</f>
        <v>0.19313898934130505</v>
      </c>
      <c r="AB105" s="159">
        <f>AB35*Inputs!$C$49</f>
        <v>0.19965038399910934</v>
      </c>
      <c r="AC105" s="159">
        <f>AC35*Inputs!$C$49</f>
        <v>0.20640771959243889</v>
      </c>
      <c r="AD105" s="159">
        <f>AD35*Inputs!$C$49</f>
        <v>0.21349575054853975</v>
      </c>
      <c r="AE105" s="159">
        <f>AE35*Inputs!$C$49</f>
        <v>0.22127500754623225</v>
      </c>
      <c r="AF105" s="159">
        <f>AF35*Inputs!$C$49</f>
        <v>0.22904269868680671</v>
      </c>
      <c r="AG105" s="159">
        <f>AG35*Inputs!$C$49</f>
        <v>0.23698107280046637</v>
      </c>
      <c r="AH105" s="188">
        <f>AH35*Inputs!$C$49</f>
        <v>0.24504018867085414</v>
      </c>
    </row>
    <row r="106" spans="1:36">
      <c r="A106" s="10" t="s">
        <v>125</v>
      </c>
      <c r="B106" s="35">
        <v>1</v>
      </c>
      <c r="C106" s="301"/>
      <c r="D106" s="301"/>
      <c r="E106" s="301"/>
      <c r="F106" s="301"/>
      <c r="G106" s="301"/>
      <c r="H106" s="373"/>
      <c r="I106" s="14"/>
      <c r="J106" s="14"/>
      <c r="K106" s="14"/>
      <c r="L106" s="14"/>
      <c r="M106" s="14"/>
      <c r="N106" s="188"/>
      <c r="O106" s="14"/>
      <c r="P106" s="14"/>
      <c r="Q106" s="14"/>
      <c r="R106" s="14"/>
      <c r="S106" s="14"/>
      <c r="T106" s="14"/>
      <c r="U106" s="14"/>
      <c r="V106" s="14"/>
      <c r="W106" s="14"/>
      <c r="X106" s="188"/>
      <c r="AJ106" s="171" t="s">
        <v>0</v>
      </c>
    </row>
    <row r="107" spans="1:36">
      <c r="A107" s="10" t="s">
        <v>53</v>
      </c>
      <c r="B107" s="35">
        <v>1</v>
      </c>
      <c r="C107" s="301">
        <f>C37*Inputs!$C$52</f>
        <v>276.89999999999998</v>
      </c>
      <c r="D107" s="301">
        <f>D37*Inputs!$C$52</f>
        <v>361.29570472007174</v>
      </c>
      <c r="E107" s="301">
        <f>E37*Inputs!$C$52</f>
        <v>401.35968518112128</v>
      </c>
      <c r="F107" s="301">
        <f>F37*Inputs!$C$52</f>
        <v>499.71137735184686</v>
      </c>
      <c r="G107" s="301">
        <f>G37*Inputs!$C$52</f>
        <v>598.44712744852154</v>
      </c>
      <c r="H107" s="373">
        <f>H37*Inputs!$C$52</f>
        <v>412.40744999999998</v>
      </c>
      <c r="I107" s="14">
        <f>I37*Inputs!$C$52</f>
        <v>518.69450777315308</v>
      </c>
      <c r="J107" s="14">
        <f>J37*Inputs!$C$52</f>
        <v>648.31284401996061</v>
      </c>
      <c r="K107" s="14">
        <f>K37*Inputs!$C$52</f>
        <v>814.19331639131588</v>
      </c>
      <c r="L107" s="14">
        <f>L37*Inputs!$C$52</f>
        <v>1020.4530384845452</v>
      </c>
      <c r="M107" s="14">
        <f>M37*Inputs!$C$52</f>
        <v>1278.8907723861798</v>
      </c>
      <c r="N107" s="183">
        <f>N37*Inputs!$C$52</f>
        <v>1586.2245255998553</v>
      </c>
      <c r="O107" s="14">
        <f>O37*Inputs!$C$52</f>
        <v>1646.194112628099</v>
      </c>
      <c r="P107" s="14">
        <f>P37*Inputs!$C$52</f>
        <v>1714.3291996300054</v>
      </c>
      <c r="Q107" s="14">
        <f>Q37*Inputs!$C$52</f>
        <v>1788.9418955126057</v>
      </c>
      <c r="R107" s="14">
        <f>R37*Inputs!$C$52</f>
        <v>1878.314429683687</v>
      </c>
      <c r="S107" s="14">
        <f>S37*Inputs!$C$52</f>
        <v>1969.2514605240428</v>
      </c>
      <c r="T107" s="14">
        <f>T37*Inputs!$C$52</f>
        <v>2064.8941813878796</v>
      </c>
      <c r="U107" s="14">
        <f>U37*Inputs!$C$52</f>
        <v>2165.6098275821178</v>
      </c>
      <c r="V107" s="14">
        <f>V37*Inputs!$C$52</f>
        <v>2270.7556365791393</v>
      </c>
      <c r="W107" s="14">
        <f>W37*Inputs!$C$52</f>
        <v>2364.0723205235254</v>
      </c>
      <c r="X107" s="188">
        <f>X37*Inputs!$C$52</f>
        <v>2456.0870785097691</v>
      </c>
      <c r="Y107" s="159">
        <f>Y37*Inputs!$C$52</f>
        <v>2536.3126201569939</v>
      </c>
      <c r="Z107" s="159">
        <f>Z37*Inputs!$C$52</f>
        <v>2620.6126056931703</v>
      </c>
      <c r="AA107" s="159">
        <f>AA37*Inputs!$C$52</f>
        <v>2708.6619186200073</v>
      </c>
      <c r="AB107" s="159">
        <f>AB37*Inputs!$C$52</f>
        <v>2799.9804390640215</v>
      </c>
      <c r="AC107" s="159">
        <f>AC37*Inputs!$C$52</f>
        <v>2894.7481379911533</v>
      </c>
      <c r="AD107" s="159">
        <f>AD37*Inputs!$C$52</f>
        <v>2994.1536469164516</v>
      </c>
      <c r="AE107" s="159">
        <f>AE37*Inputs!$C$52</f>
        <v>3103.2531987815169</v>
      </c>
      <c r="AF107" s="159">
        <f>AF37*Inputs!$C$52</f>
        <v>3212.1905462318291</v>
      </c>
      <c r="AG107" s="159">
        <f>AG37*Inputs!$C$52</f>
        <v>3323.5216230421725</v>
      </c>
      <c r="AH107" s="188">
        <f>AH37*Inputs!$C$52</f>
        <v>3436.5460327189235</v>
      </c>
    </row>
    <row r="108" spans="1:36">
      <c r="A108" s="9" t="s">
        <v>353</v>
      </c>
      <c r="B108" s="35">
        <v>1</v>
      </c>
      <c r="C108" s="301">
        <f>C38*Inputs!$C$54</f>
        <v>0</v>
      </c>
      <c r="D108" s="301">
        <f>D38*Inputs!$C$54</f>
        <v>0</v>
      </c>
      <c r="E108" s="301">
        <f>E38*Inputs!$C$54</f>
        <v>131.38410999999999</v>
      </c>
      <c r="F108" s="301">
        <f>F38*Inputs!$C$54</f>
        <v>221.65425000000005</v>
      </c>
      <c r="G108" s="301">
        <f>G38*Inputs!$C$54</f>
        <v>319.85994000000005</v>
      </c>
      <c r="H108" s="373">
        <f>H38*Inputs!$C$54</f>
        <v>453.76099000000011</v>
      </c>
      <c r="I108" s="14">
        <f>I38*Inputs!$C$54</f>
        <v>652.9339989448232</v>
      </c>
      <c r="J108" s="14">
        <f>J38*Inputs!$C$54</f>
        <v>933.68254284652539</v>
      </c>
      <c r="K108" s="14">
        <f>K38*Inputs!$C$54</f>
        <v>1341.5260966090909</v>
      </c>
      <c r="L108" s="14">
        <f>L38*Inputs!$C$54</f>
        <v>1923.6302361713654</v>
      </c>
      <c r="M108" s="14">
        <f>M38*Inputs!$C$54</f>
        <v>2758.1571348163202</v>
      </c>
      <c r="N108" s="183">
        <f>N38*Inputs!$C$54</f>
        <v>3913.8771580165953</v>
      </c>
      <c r="O108" s="14">
        <f>O38*Inputs!$C$54</f>
        <v>4061.847128886121</v>
      </c>
      <c r="P108" s="14">
        <f>P38*Inputs!$C$54</f>
        <v>4229.9647921629439</v>
      </c>
      <c r="Q108" s="14">
        <f>Q38*Inputs!$C$54</f>
        <v>4414.065416885358</v>
      </c>
      <c r="R108" s="14">
        <f>R38*Inputs!$C$54</f>
        <v>4634.5847156359396</v>
      </c>
      <c r="S108" s="14">
        <f>S38*Inputs!$C$54</f>
        <v>4858.9642798652376</v>
      </c>
      <c r="T108" s="14">
        <f>T38*Inputs!$C$54</f>
        <v>5094.9547430551611</v>
      </c>
      <c r="U108" s="14">
        <f>U38*Inputs!$C$54</f>
        <v>5343.4622277981816</v>
      </c>
      <c r="V108" s="14">
        <f>V38*Inputs!$C$54</f>
        <v>5602.9007709886491</v>
      </c>
      <c r="W108" s="14">
        <f>W38*Inputs!$C$54</f>
        <v>5833.1519314374946</v>
      </c>
      <c r="X108" s="188">
        <f>X38*Inputs!$C$54</f>
        <v>6060.1906978104862</v>
      </c>
      <c r="Y108" s="159">
        <f>Y38*Inputs!$C$54</f>
        <v>6258.1405528751984</v>
      </c>
      <c r="Z108" s="159">
        <f>Z38*Inputs!$C$54</f>
        <v>6466.1437595375091</v>
      </c>
      <c r="AA108" s="159">
        <f>AA38*Inputs!$C$54</f>
        <v>6683.3981198640085</v>
      </c>
      <c r="AB108" s="159">
        <f>AB38*Inputs!$C$54</f>
        <v>6908.718977978051</v>
      </c>
      <c r="AC108" s="159">
        <f>AC38*Inputs!$C$54</f>
        <v>7142.5503972775532</v>
      </c>
      <c r="AD108" s="159">
        <f>AD38*Inputs!$C$54</f>
        <v>7387.825227217917</v>
      </c>
      <c r="AE108" s="159">
        <f>AE38*Inputs!$C$54</f>
        <v>7657.0193022704689</v>
      </c>
      <c r="AF108" s="159">
        <f>AF38*Inputs!$C$54</f>
        <v>7925.8131514132683</v>
      </c>
      <c r="AG108" s="159">
        <f>AG38*Inputs!$C$54</f>
        <v>8200.5133287671724</v>
      </c>
      <c r="AH108" s="188">
        <f>AH38*Inputs!$C$54</f>
        <v>8479.3916642063868</v>
      </c>
    </row>
    <row r="109" spans="1:36">
      <c r="A109" s="9" t="s">
        <v>354</v>
      </c>
      <c r="B109" s="35">
        <v>1</v>
      </c>
      <c r="C109" s="301">
        <f>C39*Inputs!$C$54</f>
        <v>0</v>
      </c>
      <c r="D109" s="301">
        <f>D39*Inputs!$C$55</f>
        <v>0</v>
      </c>
      <c r="E109" s="301">
        <f>E39*Inputs!$C$55</f>
        <v>6.67</v>
      </c>
      <c r="F109" s="301">
        <f>F39*Inputs!$C$55</f>
        <v>20.240000000000002</v>
      </c>
      <c r="G109" s="301">
        <f>G39*Inputs!$C$55</f>
        <v>2.3000000000000003E-2</v>
      </c>
      <c r="H109" s="373">
        <f>H39*Inputs!$C$55</f>
        <v>2.3000000000000003E-2</v>
      </c>
      <c r="I109" s="14">
        <f>I39*Inputs!$C$55</f>
        <v>2.9720989051967475E-2</v>
      </c>
      <c r="J109" s="14">
        <f>J39*Inputs!$C$55</f>
        <v>3.8166866715001059E-2</v>
      </c>
      <c r="K109" s="14">
        <f>K39*Inputs!$C$55</f>
        <v>4.9246989834196959E-2</v>
      </c>
      <c r="L109" s="14">
        <f>L39*Inputs!$C$55</f>
        <v>6.341550487476795E-2</v>
      </c>
      <c r="M109" s="14">
        <f>M39*Inputs!$C$55</f>
        <v>8.165563478605449E-2</v>
      </c>
      <c r="N109" s="183">
        <f>N39*Inputs!$C$55</f>
        <v>0.10405612293871067</v>
      </c>
      <c r="O109" s="14">
        <f>O39*Inputs!$C$55</f>
        <v>0.10799012006187007</v>
      </c>
      <c r="P109" s="14">
        <f>P39*Inputs!$C$55</f>
        <v>0.11245977292316911</v>
      </c>
      <c r="Q109" s="14">
        <f>Q39*Inputs!$C$55</f>
        <v>0.11735435608604919</v>
      </c>
      <c r="R109" s="14">
        <f>R39*Inputs!$C$55</f>
        <v>0.1232171827243735</v>
      </c>
      <c r="S109" s="14">
        <f>S39*Inputs!$C$55</f>
        <v>0.12918264014108249</v>
      </c>
      <c r="T109" s="14">
        <f>T39*Inputs!$C$55</f>
        <v>0.13545679021238885</v>
      </c>
      <c r="U109" s="14">
        <f>U39*Inputs!$C$55</f>
        <v>0.14206372352674809</v>
      </c>
      <c r="V109" s="14">
        <f>V39*Inputs!$C$55</f>
        <v>0.14896127494579872</v>
      </c>
      <c r="W109" s="14">
        <f>W39*Inputs!$C$55</f>
        <v>0.15508283729718006</v>
      </c>
      <c r="X109" s="188">
        <f>X39*Inputs!$C$55</f>
        <v>0.16111899347473721</v>
      </c>
      <c r="Y109" s="159">
        <f>Y39*Inputs!$C$55</f>
        <v>0.16638177859105696</v>
      </c>
      <c r="Z109" s="159">
        <f>Z39*Inputs!$C$55</f>
        <v>0.17191184669750403</v>
      </c>
      <c r="AA109" s="159">
        <f>AA39*Inputs!$C$55</f>
        <v>0.17768787019400065</v>
      </c>
      <c r="AB109" s="159">
        <f>AB39*Inputs!$C$55</f>
        <v>0.18367835327918061</v>
      </c>
      <c r="AC109" s="159">
        <f>AC39*Inputs!$C$55</f>
        <v>0.18989510202504378</v>
      </c>
      <c r="AD109" s="159">
        <f>AD39*Inputs!$C$55</f>
        <v>0.19641609050465658</v>
      </c>
      <c r="AE109" s="159">
        <f>AE39*Inputs!$C$55</f>
        <v>0.20357300694253369</v>
      </c>
      <c r="AF109" s="159">
        <f>AF39*Inputs!$C$55</f>
        <v>0.21071928279186219</v>
      </c>
      <c r="AG109" s="159">
        <f>AG39*Inputs!$C$55</f>
        <v>0.21802258697642907</v>
      </c>
      <c r="AH109" s="188">
        <f>AH39*Inputs!$C$55</f>
        <v>0.22543697357718581</v>
      </c>
    </row>
    <row r="110" spans="1:36">
      <c r="A110" s="9" t="s">
        <v>350</v>
      </c>
      <c r="B110" s="35">
        <v>1</v>
      </c>
      <c r="C110" s="301">
        <f>C40*Inputs!$C$51</f>
        <v>2.7000000000000002E-5</v>
      </c>
      <c r="D110" s="301">
        <f>D40*Inputs!$C$51</f>
        <v>3.6195441735222844E-5</v>
      </c>
      <c r="E110" s="301">
        <f>E40*Inputs!$C$51</f>
        <v>4.1311893824868481E-5</v>
      </c>
      <c r="F110" s="301">
        <f>F40*Inputs!$C$51</f>
        <v>5.2845847707155421E-5</v>
      </c>
      <c r="G110" s="301">
        <f>G40*Inputs!$C$51</f>
        <v>6.5023103230969052E-5</v>
      </c>
      <c r="H110" s="373">
        <f>H40*Inputs!$C$51</f>
        <v>2.7000000000000002E-5</v>
      </c>
      <c r="I110" s="14">
        <f>I40*Inputs!$C$51</f>
        <v>3.488985671317921E-5</v>
      </c>
      <c r="J110" s="14">
        <f>J40*Inputs!$C$51</f>
        <v>4.4804582665436028E-5</v>
      </c>
      <c r="K110" s="14">
        <f>K40*Inputs!$C$51</f>
        <v>5.781168371840512E-5</v>
      </c>
      <c r="L110" s="14">
        <f>L40*Inputs!$C$51</f>
        <v>7.4444288331249305E-5</v>
      </c>
      <c r="M110" s="14">
        <f>M40*Inputs!$C$51</f>
        <v>9.5856614748846553E-5</v>
      </c>
      <c r="N110" s="183">
        <f>N40*Inputs!$C$51</f>
        <v>1.221528399715299E-4</v>
      </c>
      <c r="O110" s="14">
        <f>O40*Inputs!$C$51</f>
        <v>1.2677101050741267E-4</v>
      </c>
      <c r="P110" s="14">
        <f>P40*Inputs!$C$51</f>
        <v>1.3201799430111156E-4</v>
      </c>
      <c r="Q110" s="14">
        <f>Q40*Inputs!$C$51</f>
        <v>1.3776380931840559E-4</v>
      </c>
      <c r="R110" s="14">
        <f>R40*Inputs!$C$51</f>
        <v>1.4464625798078629E-4</v>
      </c>
      <c r="S110" s="14">
        <f>S40*Inputs!$C$51</f>
        <v>1.5164918625257514E-4</v>
      </c>
      <c r="T110" s="14">
        <f>T40*Inputs!$C$51</f>
        <v>1.5901449285802169E-4</v>
      </c>
      <c r="U110" s="14">
        <f>U40*Inputs!$C$51</f>
        <v>1.6677045805313907E-4</v>
      </c>
      <c r="V110" s="14">
        <f>V40*Inputs!$C$51</f>
        <v>1.7486758363202464E-4</v>
      </c>
      <c r="W110" s="14">
        <f>W40*Inputs!$C$51</f>
        <v>1.8205376552277668E-4</v>
      </c>
      <c r="X110" s="188">
        <f>X40*Inputs!$C$51</f>
        <v>1.8913968799208283E-4</v>
      </c>
      <c r="Y110" s="159">
        <f>Y40*Inputs!$C$51</f>
        <v>1.9531774008515383E-4</v>
      </c>
      <c r="Z110" s="159">
        <f>Z40*Inputs!$C$51</f>
        <v>2.0180955916663523E-4</v>
      </c>
      <c r="AA110" s="159">
        <f>AA40*Inputs!$C$51</f>
        <v>2.0859010848860946E-4</v>
      </c>
      <c r="AB110" s="159">
        <f>AB40*Inputs!$C$51</f>
        <v>2.1562241471903814E-4</v>
      </c>
      <c r="AC110" s="159">
        <f>AC40*Inputs!$C$51</f>
        <v>2.2292033715983403E-4</v>
      </c>
      <c r="AD110" s="159">
        <f>AD40*Inputs!$C$51</f>
        <v>2.3057541059242297E-4</v>
      </c>
      <c r="AE110" s="159">
        <f>AE40*Inputs!$C$51</f>
        <v>2.389770081499309E-4</v>
      </c>
      <c r="AF110" s="159">
        <f>AF40*Inputs!$C$51</f>
        <v>2.4736611458175126E-4</v>
      </c>
      <c r="AG110" s="159">
        <f>AG40*Inputs!$C$51</f>
        <v>2.5593955862450375E-4</v>
      </c>
      <c r="AH110" s="188">
        <f>AH40*Inputs!$C$51</f>
        <v>2.6464340376452247E-4</v>
      </c>
    </row>
    <row r="111" spans="1:36">
      <c r="A111" s="10" t="s">
        <v>126</v>
      </c>
      <c r="B111" s="35">
        <v>1</v>
      </c>
      <c r="C111" s="301"/>
      <c r="D111" s="301"/>
      <c r="E111" s="301"/>
      <c r="F111" s="301"/>
      <c r="G111" s="301"/>
      <c r="H111" s="373"/>
      <c r="I111" s="14"/>
      <c r="J111" s="14"/>
      <c r="K111" s="14"/>
      <c r="L111" s="14"/>
      <c r="M111" s="14"/>
      <c r="N111" s="188"/>
      <c r="O111" s="14"/>
      <c r="P111" s="14"/>
      <c r="Q111" s="14"/>
      <c r="R111" s="14"/>
      <c r="S111" s="14"/>
      <c r="T111" s="14"/>
      <c r="U111" s="14"/>
      <c r="V111" s="14"/>
      <c r="W111" s="14"/>
      <c r="X111" s="188"/>
    </row>
    <row r="112" spans="1:36">
      <c r="A112" s="10" t="s">
        <v>55</v>
      </c>
      <c r="B112" s="35">
        <v>1</v>
      </c>
      <c r="C112" s="301">
        <f>C42*Inputs!$C$57</f>
        <v>1.7000000000000001E-2</v>
      </c>
      <c r="D112" s="301">
        <f>D42*Inputs!$C$57</f>
        <v>2.2789722574029201E-2</v>
      </c>
      <c r="E112" s="301">
        <f>E42*Inputs!$C$57</f>
        <v>2.601119240825053E-2</v>
      </c>
      <c r="F112" s="301">
        <f>F42*Inputs!$C$57</f>
        <v>3.327331151932008E-2</v>
      </c>
      <c r="G112" s="301">
        <f>G42*Inputs!$C$57</f>
        <v>4.0940472404684222E-2</v>
      </c>
      <c r="H112" s="373">
        <f>H42*Inputs!$C$57</f>
        <v>8.5000000000000006E-4</v>
      </c>
      <c r="I112" s="14">
        <f>I42*Inputs!$C$57</f>
        <v>1.0983843780074936E-3</v>
      </c>
      <c r="J112" s="14">
        <f>J42*Inputs!$C$57</f>
        <v>1.4105146394674305E-3</v>
      </c>
      <c r="K112" s="14">
        <f>K42*Inputs!$C$57</f>
        <v>1.8199974503942354E-3</v>
      </c>
      <c r="L112" s="14">
        <f>L42*Inputs!$C$57</f>
        <v>2.3436164845022935E-3</v>
      </c>
      <c r="M112" s="14">
        <f>M42*Inputs!$C$57</f>
        <v>3.0177082420933176E-3</v>
      </c>
      <c r="N112" s="183">
        <f>N42*Inputs!$C$57</f>
        <v>3.8455523694740893E-3</v>
      </c>
      <c r="O112" s="14">
        <f>O42*Inputs!$C$57</f>
        <v>3.9909392196778061E-3</v>
      </c>
      <c r="P112" s="14">
        <f>P42*Inputs!$C$57</f>
        <v>4.1561220428127706E-3</v>
      </c>
      <c r="Q112" s="14">
        <f>Q42*Inputs!$C$57</f>
        <v>4.3370088118757305E-3</v>
      </c>
      <c r="R112" s="14">
        <f>R42*Inputs!$C$57</f>
        <v>4.5536784919877156E-3</v>
      </c>
      <c r="S112" s="14">
        <f>S42*Inputs!$C$57</f>
        <v>4.7741410486921787E-3</v>
      </c>
      <c r="T112" s="14">
        <f>T42*Inputs!$C$57</f>
        <v>5.0060118121969784E-3</v>
      </c>
      <c r="U112" s="14">
        <f>U42*Inputs!$C$57</f>
        <v>5.2501810868580802E-3</v>
      </c>
      <c r="V112" s="14">
        <f>V42*Inputs!$C$57</f>
        <v>5.5050905958229958E-3</v>
      </c>
      <c r="W112" s="14">
        <f>W42*Inputs!$C$57</f>
        <v>5.7313222479392634E-3</v>
      </c>
      <c r="X112" s="188">
        <f>X42*Inputs!$C$57</f>
        <v>5.954397584935941E-3</v>
      </c>
      <c r="Y112" s="159">
        <f>Y42*Inputs!$C$57</f>
        <v>6.1488918174955835E-3</v>
      </c>
      <c r="Z112" s="159">
        <f>Z42*Inputs!$C$57</f>
        <v>6.3532638996903687E-3</v>
      </c>
      <c r="AA112" s="159">
        <f>AA42*Inputs!$C$57</f>
        <v>6.5667256376043736E-3</v>
      </c>
      <c r="AB112" s="159">
        <f>AB42*Inputs!$C$57</f>
        <v>6.7881130559697186E-3</v>
      </c>
      <c r="AC112" s="159">
        <f>AC42*Inputs!$C$57</f>
        <v>7.0178624661429226E-3</v>
      </c>
      <c r="AD112" s="159">
        <f>AD42*Inputs!$C$57</f>
        <v>7.6500000000000014E-3</v>
      </c>
      <c r="AE112" s="159">
        <f>AE42*Inputs!$C$57</f>
        <v>1.2240000000000003E-2</v>
      </c>
      <c r="AF112" s="159">
        <f>AF42*Inputs!$C$57</f>
        <v>2.0230000000000001E-2</v>
      </c>
      <c r="AG112" s="159">
        <f>AG42*Inputs!$C$57</f>
        <v>3.4510000000000006E-2</v>
      </c>
      <c r="AH112" s="188">
        <f>AH42*Inputs!$C$57</f>
        <v>8.3313664148090428E-3</v>
      </c>
      <c r="AI112" s="31" t="s">
        <v>0</v>
      </c>
    </row>
    <row r="113" spans="1:35" s="20" customFormat="1">
      <c r="A113" s="10" t="s">
        <v>390</v>
      </c>
      <c r="B113" s="37"/>
      <c r="C113" s="304">
        <f>SUM(C100:C112)</f>
        <v>4906.3020120000001</v>
      </c>
      <c r="D113" s="304">
        <f t="shared" ref="D113:AH113" si="83">SUM(D100:D112)</f>
        <v>5375.7145371724264</v>
      </c>
      <c r="E113" s="304">
        <f t="shared" si="83"/>
        <v>5217.1645522557883</v>
      </c>
      <c r="F113" s="304">
        <f t="shared" si="83"/>
        <v>5701.5710912382583</v>
      </c>
      <c r="G113" s="304">
        <f t="shared" si="83"/>
        <v>6062.480015520292</v>
      </c>
      <c r="H113" s="375">
        <f t="shared" si="83"/>
        <v>4783.6019020000012</v>
      </c>
      <c r="I113" s="19">
        <f t="shared" si="83"/>
        <v>5320.5064868850031</v>
      </c>
      <c r="J113" s="19">
        <f t="shared" si="83"/>
        <v>6004.2492499333121</v>
      </c>
      <c r="K113" s="19">
        <f t="shared" si="83"/>
        <v>6964.0200361733114</v>
      </c>
      <c r="L113" s="19">
        <f t="shared" si="83"/>
        <v>8253.7892495667857</v>
      </c>
      <c r="M113" s="19">
        <f t="shared" si="83"/>
        <v>10016.197473984417</v>
      </c>
      <c r="N113" s="183">
        <f t="shared" si="83"/>
        <v>12305.684694112711</v>
      </c>
      <c r="O113" s="19">
        <f t="shared" si="83"/>
        <v>12648.45298328762</v>
      </c>
      <c r="P113" s="19">
        <f t="shared" si="83"/>
        <v>13048.601589065798</v>
      </c>
      <c r="Q113" s="19">
        <f t="shared" si="83"/>
        <v>13491.995221438234</v>
      </c>
      <c r="R113" s="19">
        <f t="shared" si="83"/>
        <v>14039.572847077037</v>
      </c>
      <c r="S113" s="19">
        <f t="shared" si="83"/>
        <v>14591.04902455113</v>
      </c>
      <c r="T113" s="19">
        <f t="shared" si="83"/>
        <v>15169.650238461491</v>
      </c>
      <c r="U113" s="19">
        <f t="shared" si="83"/>
        <v>15777.626629029312</v>
      </c>
      <c r="V113" s="19">
        <f t="shared" si="83"/>
        <v>16409.879274576291</v>
      </c>
      <c r="W113" s="19">
        <f t="shared" si="83"/>
        <v>16949.529433817352</v>
      </c>
      <c r="X113" s="183">
        <f t="shared" si="83"/>
        <v>17473.884531407057</v>
      </c>
      <c r="Y113" s="207">
        <f t="shared" si="83"/>
        <v>18265.854548226915</v>
      </c>
      <c r="Z113" s="207">
        <f t="shared" si="83"/>
        <v>19089.416045225651</v>
      </c>
      <c r="AA113" s="207">
        <f t="shared" si="83"/>
        <v>19942.454225653557</v>
      </c>
      <c r="AB113" s="207">
        <f t="shared" si="83"/>
        <v>20821.53873749738</v>
      </c>
      <c r="AC113" s="207">
        <f t="shared" si="83"/>
        <v>21728.005867733511</v>
      </c>
      <c r="AD113" s="207">
        <f t="shared" si="83"/>
        <v>22670.838135915943</v>
      </c>
      <c r="AE113" s="207">
        <f t="shared" si="83"/>
        <v>23688.798819833366</v>
      </c>
      <c r="AF113" s="207">
        <f t="shared" si="83"/>
        <v>24707.057634434164</v>
      </c>
      <c r="AG113" s="207">
        <f t="shared" si="83"/>
        <v>25744.617409478829</v>
      </c>
      <c r="AH113" s="183">
        <f t="shared" si="83"/>
        <v>26795.6108573561</v>
      </c>
      <c r="AI113" s="31" t="s">
        <v>0</v>
      </c>
    </row>
    <row r="114" spans="1:35" s="20" customFormat="1">
      <c r="A114" s="10" t="s">
        <v>391</v>
      </c>
      <c r="B114" s="37"/>
      <c r="C114" s="304">
        <f>SUM(C101:C103)</f>
        <v>4107.7199850000006</v>
      </c>
      <c r="D114" s="304">
        <f t="shared" ref="D114:AH114" si="84">SUM(D101:D103)</f>
        <v>4278.3924425075866</v>
      </c>
      <c r="E114" s="304">
        <f t="shared" si="84"/>
        <v>3793.6289746994189</v>
      </c>
      <c r="F114" s="304">
        <f t="shared" si="84"/>
        <v>3769.6956525138748</v>
      </c>
      <c r="G114" s="304">
        <f t="shared" si="84"/>
        <v>3602.8048537039804</v>
      </c>
      <c r="H114" s="375">
        <f t="shared" si="84"/>
        <v>3383.5160750000009</v>
      </c>
      <c r="I114" s="19">
        <f t="shared" si="84"/>
        <v>3422.7609172956304</v>
      </c>
      <c r="J114" s="19">
        <f t="shared" si="84"/>
        <v>3440.8965838247373</v>
      </c>
      <c r="K114" s="19">
        <f t="shared" si="84"/>
        <v>3475.6457890379706</v>
      </c>
      <c r="L114" s="19">
        <f t="shared" si="84"/>
        <v>3503.6513490917414</v>
      </c>
      <c r="M114" s="19">
        <f t="shared" si="84"/>
        <v>3531.6698024052389</v>
      </c>
      <c r="N114" s="183">
        <f t="shared" si="84"/>
        <v>3523.1324450000006</v>
      </c>
      <c r="O114" s="19">
        <f t="shared" si="84"/>
        <v>3533.8632306984714</v>
      </c>
      <c r="P114" s="19">
        <f t="shared" si="84"/>
        <v>3556.7638794979321</v>
      </c>
      <c r="Q114" s="19">
        <f t="shared" si="84"/>
        <v>3587.0445575184058</v>
      </c>
      <c r="R114" s="19">
        <f t="shared" si="84"/>
        <v>3639.7874744981013</v>
      </c>
      <c r="S114" s="19">
        <f t="shared" si="84"/>
        <v>3687.7666930958471</v>
      </c>
      <c r="T114" s="19">
        <f t="shared" si="84"/>
        <v>3736.8166488598927</v>
      </c>
      <c r="U114" s="19">
        <f t="shared" si="84"/>
        <v>3787.1541864604528</v>
      </c>
      <c r="V114" s="19">
        <f t="shared" si="84"/>
        <v>3837.2392092099226</v>
      </c>
      <c r="W114" s="19">
        <f t="shared" si="84"/>
        <v>3860.216829835696</v>
      </c>
      <c r="X114" s="183">
        <f t="shared" si="84"/>
        <v>3875.1078467347925</v>
      </c>
      <c r="Y114" s="207">
        <f t="shared" si="84"/>
        <v>4222.8879018821854</v>
      </c>
      <c r="Z114" s="207">
        <f t="shared" si="84"/>
        <v>4579.7001993683707</v>
      </c>
      <c r="AA114" s="207">
        <f t="shared" si="84"/>
        <v>4945.2300360540885</v>
      </c>
      <c r="AB114" s="207">
        <f t="shared" si="84"/>
        <v>5318.7053707809901</v>
      </c>
      <c r="AC114" s="207">
        <f t="shared" si="84"/>
        <v>5700.4660336013712</v>
      </c>
      <c r="AD114" s="207">
        <f t="shared" si="84"/>
        <v>6092.9129796939942</v>
      </c>
      <c r="AE114" s="207">
        <f t="shared" si="84"/>
        <v>6506.8107706423998</v>
      </c>
      <c r="AF114" s="207">
        <f t="shared" si="84"/>
        <v>6921.9013795883366</v>
      </c>
      <c r="AG114" s="207">
        <f t="shared" si="84"/>
        <v>7343.0331481225157</v>
      </c>
      <c r="AH114" s="183">
        <f t="shared" si="84"/>
        <v>7768.2634662789787</v>
      </c>
      <c r="AI114" s="31"/>
    </row>
    <row r="115" spans="1:35" s="20" customFormat="1">
      <c r="A115" s="10" t="s">
        <v>392</v>
      </c>
      <c r="B115" s="37"/>
      <c r="C115" s="304">
        <f>SUMPRODUCT($B104:$B112,C104:C112)</f>
        <v>798.58202700000004</v>
      </c>
      <c r="D115" s="304">
        <f t="shared" ref="D115:AH115" si="85">SUMPRODUCT($B104:$B112,D104:D112)</f>
        <v>1097.3220946648396</v>
      </c>
      <c r="E115" s="304">
        <f t="shared" si="85"/>
        <v>1423.5355775563685</v>
      </c>
      <c r="F115" s="304">
        <f t="shared" si="85"/>
        <v>1931.8754387243837</v>
      </c>
      <c r="G115" s="304">
        <f t="shared" si="85"/>
        <v>2459.6751618163112</v>
      </c>
      <c r="H115" s="375">
        <f t="shared" si="85"/>
        <v>1400.0858270000001</v>
      </c>
      <c r="I115" s="19">
        <f t="shared" si="85"/>
        <v>1897.7455695893723</v>
      </c>
      <c r="J115" s="19">
        <f t="shared" si="85"/>
        <v>2563.3526661085739</v>
      </c>
      <c r="K115" s="19">
        <f t="shared" si="85"/>
        <v>3488.3742471353416</v>
      </c>
      <c r="L115" s="19">
        <f t="shared" si="85"/>
        <v>4750.1379004750434</v>
      </c>
      <c r="M115" s="19">
        <f t="shared" si="85"/>
        <v>6484.5276715791797</v>
      </c>
      <c r="N115" s="183">
        <f t="shared" si="85"/>
        <v>8782.5522491127103</v>
      </c>
      <c r="O115" s="19">
        <f t="shared" si="85"/>
        <v>9114.5897525891469</v>
      </c>
      <c r="P115" s="19">
        <f t="shared" si="85"/>
        <v>9491.8377095678679</v>
      </c>
      <c r="Q115" s="19">
        <f t="shared" si="85"/>
        <v>9904.9506639198262</v>
      </c>
      <c r="R115" s="19">
        <f t="shared" si="85"/>
        <v>10399.785372578935</v>
      </c>
      <c r="S115" s="19">
        <f t="shared" si="85"/>
        <v>10903.282331455282</v>
      </c>
      <c r="T115" s="19">
        <f t="shared" si="85"/>
        <v>11432.833589601598</v>
      </c>
      <c r="U115" s="19">
        <f t="shared" si="85"/>
        <v>11990.472442568862</v>
      </c>
      <c r="V115" s="19">
        <f t="shared" si="85"/>
        <v>12572.640065366366</v>
      </c>
      <c r="W115" s="19">
        <f t="shared" si="85"/>
        <v>13089.312603981653</v>
      </c>
      <c r="X115" s="183">
        <f t="shared" si="85"/>
        <v>13598.776684672264</v>
      </c>
      <c r="Y115" s="207">
        <f t="shared" si="85"/>
        <v>14042.966646344727</v>
      </c>
      <c r="Z115" s="207">
        <f t="shared" si="85"/>
        <v>14509.715845857281</v>
      </c>
      <c r="AA115" s="207">
        <f t="shared" si="85"/>
        <v>14997.22418959947</v>
      </c>
      <c r="AB115" s="207">
        <f t="shared" si="85"/>
        <v>15502.833366716393</v>
      </c>
      <c r="AC115" s="207">
        <f t="shared" si="85"/>
        <v>16027.539834132136</v>
      </c>
      <c r="AD115" s="207">
        <f t="shared" si="85"/>
        <v>16577.925156221951</v>
      </c>
      <c r="AE115" s="207">
        <f t="shared" si="85"/>
        <v>17181.988049190964</v>
      </c>
      <c r="AF115" s="207">
        <f t="shared" si="85"/>
        <v>17785.156254845828</v>
      </c>
      <c r="AG115" s="207">
        <f t="shared" si="85"/>
        <v>18401.584261356315</v>
      </c>
      <c r="AH115" s="183">
        <f t="shared" si="85"/>
        <v>19027.347391077117</v>
      </c>
    </row>
    <row r="116" spans="1:35" s="20" customFormat="1">
      <c r="A116" s="10" t="s">
        <v>148</v>
      </c>
      <c r="B116" s="37"/>
      <c r="C116" s="304">
        <f>C47*Inputs!$C$60</f>
        <v>13269.856599999997</v>
      </c>
      <c r="D116" s="304">
        <f>D47*Inputs!$C$60</f>
        <v>6314.0186726640286</v>
      </c>
      <c r="E116" s="304">
        <f>E47*Inputs!$C$60</f>
        <v>4840.0838646971379</v>
      </c>
      <c r="F116" s="304">
        <f>F47*Inputs!$C$60</f>
        <v>4101.9857369163046</v>
      </c>
      <c r="G116" s="304">
        <f>G47*Inputs!$C$60</f>
        <v>5049.3000136102664</v>
      </c>
      <c r="H116" s="375">
        <f>H47*Inputs!$C$60</f>
        <v>5329.0893384703577</v>
      </c>
      <c r="I116" s="19">
        <f>I47*Inputs!$C$60</f>
        <v>5357.9491104907893</v>
      </c>
      <c r="J116" s="19">
        <f>J47*Inputs!$C$60</f>
        <v>4230.966250917837</v>
      </c>
      <c r="K116" s="19">
        <f>K47*Inputs!$C$60</f>
        <v>4209.1596671083053</v>
      </c>
      <c r="L116" s="19">
        <f>L47*Inputs!$C$60</f>
        <v>4129.4478807961177</v>
      </c>
      <c r="M116" s="19">
        <f>M47*Inputs!$C$60</f>
        <v>4018.0766874703213</v>
      </c>
      <c r="N116" s="183">
        <f>N47*Inputs!$C$60</f>
        <v>3852.6280285342668</v>
      </c>
      <c r="O116" s="19">
        <f>O47*Inputs!$C$60</f>
        <v>3851.8649501081563</v>
      </c>
      <c r="P116" s="19">
        <f>P47*Inputs!$C$60</f>
        <v>3845.3630254027667</v>
      </c>
      <c r="Q116" s="19">
        <f>Q47*Inputs!$C$60</f>
        <v>3835.9125966979609</v>
      </c>
      <c r="R116" s="19">
        <f>R47*Inputs!$C$60</f>
        <v>3824.852678045112</v>
      </c>
      <c r="S116" s="19">
        <f>S47*Inputs!$C$60</f>
        <v>3645.9444489740663</v>
      </c>
      <c r="T116" s="19">
        <f>T47*Inputs!$C$60</f>
        <v>3604.1679721265114</v>
      </c>
      <c r="U116" s="19">
        <f>U47*Inputs!$C$60</f>
        <v>3570.0469228195079</v>
      </c>
      <c r="V116" s="19">
        <f>V47*Inputs!$C$60</f>
        <v>3550.4078272150159</v>
      </c>
      <c r="W116" s="19">
        <f>W47*Inputs!$C$60</f>
        <v>3540.6343133301721</v>
      </c>
      <c r="X116" s="183">
        <f>X47*Inputs!$C$60</f>
        <v>3515.0103964861614</v>
      </c>
      <c r="Y116" s="207">
        <f>Y47*Inputs!$C$60</f>
        <v>3468.3742961836947</v>
      </c>
      <c r="Z116" s="207">
        <f>Z47*Inputs!$C$60</f>
        <v>3401.8008759597055</v>
      </c>
      <c r="AA116" s="207">
        <f>AA47*Inputs!$C$60</f>
        <v>3339.7203426800834</v>
      </c>
      <c r="AB116" s="207">
        <f>AB47*Inputs!$C$60</f>
        <v>3279.516621939601</v>
      </c>
      <c r="AC116" s="207">
        <f>AC47*Inputs!$C$60</f>
        <v>3218.1304249890318</v>
      </c>
      <c r="AD116" s="207">
        <f>AD47*Inputs!$C$60</f>
        <v>3184.1759492292126</v>
      </c>
      <c r="AE116" s="207">
        <f>AE47*Inputs!$C$60</f>
        <v>3171.933738833301</v>
      </c>
      <c r="AF116" s="207">
        <f>AF47*Inputs!$C$60</f>
        <v>3157.156686213089</v>
      </c>
      <c r="AG116" s="207">
        <f>AG47*Inputs!$C$60</f>
        <v>3145.1859855909152</v>
      </c>
      <c r="AH116" s="183">
        <f>AH47*Inputs!$C$60</f>
        <v>3130.3256761959301</v>
      </c>
      <c r="AI116" s="31"/>
    </row>
    <row r="117" spans="1:35" s="20" customFormat="1">
      <c r="A117" s="10" t="s">
        <v>228</v>
      </c>
      <c r="B117" s="37"/>
      <c r="C117" s="304">
        <f>C48*Inputs!$C$61</f>
        <v>5687.0814</v>
      </c>
      <c r="D117" s="304">
        <f>D48*Inputs!$C$61</f>
        <v>13559.902464889135</v>
      </c>
      <c r="E117" s="304">
        <f>E48*Inputs!$C$61</f>
        <v>13597.494958159463</v>
      </c>
      <c r="F117" s="304">
        <f>F48*Inputs!$C$61</f>
        <v>14380.586700118765</v>
      </c>
      <c r="G117" s="304">
        <f>G48*Inputs!$C$61</f>
        <v>12620.119295668224</v>
      </c>
      <c r="H117" s="375">
        <f>H48*Inputs!$C$61</f>
        <v>13071.987201529644</v>
      </c>
      <c r="I117" s="19">
        <f>I48*Inputs!$C$61</f>
        <v>13092.083599050466</v>
      </c>
      <c r="J117" s="19">
        <f>J48*Inputs!$C$61</f>
        <v>14087.863317126437</v>
      </c>
      <c r="K117" s="19">
        <f>K48*Inputs!$C$61</f>
        <v>13971.908251706453</v>
      </c>
      <c r="L117" s="19">
        <f>L48*Inputs!$C$61</f>
        <v>13765.931827834884</v>
      </c>
      <c r="M117" s="19">
        <f>M48*Inputs!$C$61</f>
        <v>13431.071497500263</v>
      </c>
      <c r="N117" s="183">
        <f>N48*Inputs!$C$61</f>
        <v>12760.851837965733</v>
      </c>
      <c r="O117" s="19">
        <f>O48*Inputs!$C$61</f>
        <v>12814.632420821801</v>
      </c>
      <c r="P117" s="19">
        <f>P48*Inputs!$C$61</f>
        <v>12928.670231182195</v>
      </c>
      <c r="Q117" s="19">
        <f>Q48*Inputs!$C$61</f>
        <v>13069.604723688355</v>
      </c>
      <c r="R117" s="19">
        <f>R48*Inputs!$C$61</f>
        <v>13317.519158816129</v>
      </c>
      <c r="S117" s="19">
        <f>S48*Inputs!$C$61</f>
        <v>13714.681751016853</v>
      </c>
      <c r="T117" s="19">
        <f>T48*Inputs!$C$61</f>
        <v>13977.429091174128</v>
      </c>
      <c r="U117" s="19">
        <f>U48*Inputs!$C$61</f>
        <v>14232.394481008596</v>
      </c>
      <c r="V117" s="19">
        <f>V48*Inputs!$C$61</f>
        <v>14466.668486256442</v>
      </c>
      <c r="W117" s="19">
        <f>W48*Inputs!$C$61</f>
        <v>14559.092863317443</v>
      </c>
      <c r="X117" s="183">
        <f>X48*Inputs!$C$61</f>
        <v>14623.182060513844</v>
      </c>
      <c r="Y117" s="207">
        <f>Y48*Inputs!$C$61</f>
        <v>14485.388285931433</v>
      </c>
      <c r="Z117" s="207">
        <f>Z48*Inputs!$C$61</f>
        <v>14369.792347388107</v>
      </c>
      <c r="AA117" s="207">
        <f>AA48*Inputs!$C$61</f>
        <v>14246.674379370168</v>
      </c>
      <c r="AB117" s="207">
        <f>AB48*Inputs!$C$61</f>
        <v>14114.597550500479</v>
      </c>
      <c r="AC117" s="207">
        <f>AC48*Inputs!$C$61</f>
        <v>13976.311893121258</v>
      </c>
      <c r="AD117" s="207">
        <f>AD48*Inputs!$C$61</f>
        <v>13808.867060588378</v>
      </c>
      <c r="AE117" s="207">
        <f>AE48*Inputs!$C$61</f>
        <v>13643.969655550207</v>
      </c>
      <c r="AF117" s="207">
        <f>AF48*Inputs!$C$61</f>
        <v>13449.041390904973</v>
      </c>
      <c r="AG117" s="207">
        <f>AG48*Inputs!$C$61</f>
        <v>13232.919998895959</v>
      </c>
      <c r="AH117" s="183">
        <f>AH48*Inputs!$C$61</f>
        <v>12998.122742304067</v>
      </c>
      <c r="AI117" s="31"/>
    </row>
    <row r="118" spans="1:35" s="20" customFormat="1">
      <c r="A118" s="10" t="s">
        <v>60</v>
      </c>
      <c r="B118" s="37"/>
      <c r="C118" s="304">
        <f>SUM(C113,C116,C117)</f>
        <v>23863.240011999998</v>
      </c>
      <c r="D118" s="304">
        <f>SUM(D113,D116,D117)</f>
        <v>25249.635674725592</v>
      </c>
      <c r="E118" s="304">
        <f t="shared" ref="E118:AH118" si="86">SUM(E113,E116,E117)</f>
        <v>23654.74337511239</v>
      </c>
      <c r="F118" s="304">
        <f t="shared" si="86"/>
        <v>24184.143528273329</v>
      </c>
      <c r="G118" s="304">
        <f t="shared" si="86"/>
        <v>23731.899324798782</v>
      </c>
      <c r="H118" s="375">
        <f t="shared" si="86"/>
        <v>23184.678442000004</v>
      </c>
      <c r="I118" s="19">
        <f t="shared" si="86"/>
        <v>23770.53919642626</v>
      </c>
      <c r="J118" s="19">
        <f t="shared" si="86"/>
        <v>24323.078817977585</v>
      </c>
      <c r="K118" s="19">
        <f t="shared" si="86"/>
        <v>25145.08795498807</v>
      </c>
      <c r="L118" s="19">
        <f t="shared" si="86"/>
        <v>26149.168958197788</v>
      </c>
      <c r="M118" s="19">
        <f t="shared" si="86"/>
        <v>27465.345658955001</v>
      </c>
      <c r="N118" s="183">
        <f t="shared" si="86"/>
        <v>28919.164560612713</v>
      </c>
      <c r="O118" s="19">
        <f t="shared" si="86"/>
        <v>29314.950354217573</v>
      </c>
      <c r="P118" s="19">
        <f t="shared" si="86"/>
        <v>29822.634845650762</v>
      </c>
      <c r="Q118" s="19">
        <f t="shared" si="86"/>
        <v>30397.512541824552</v>
      </c>
      <c r="R118" s="19">
        <f t="shared" si="86"/>
        <v>31181.944683938276</v>
      </c>
      <c r="S118" s="19">
        <f t="shared" si="86"/>
        <v>31951.67522454205</v>
      </c>
      <c r="T118" s="19">
        <f t="shared" si="86"/>
        <v>32751.247301762131</v>
      </c>
      <c r="U118" s="19">
        <f t="shared" si="86"/>
        <v>33580.068032857416</v>
      </c>
      <c r="V118" s="19">
        <f t="shared" si="86"/>
        <v>34426.955588047749</v>
      </c>
      <c r="W118" s="19">
        <f t="shared" si="86"/>
        <v>35049.256610464967</v>
      </c>
      <c r="X118" s="183">
        <f t="shared" si="86"/>
        <v>35612.076988407061</v>
      </c>
      <c r="Y118" s="207">
        <f t="shared" si="86"/>
        <v>36219.617130342041</v>
      </c>
      <c r="Z118" s="207">
        <f t="shared" si="86"/>
        <v>36861.009268573463</v>
      </c>
      <c r="AA118" s="207">
        <f t="shared" si="86"/>
        <v>37528.848947703809</v>
      </c>
      <c r="AB118" s="207">
        <f t="shared" si="86"/>
        <v>38215.65290993746</v>
      </c>
      <c r="AC118" s="207">
        <f t="shared" si="86"/>
        <v>38922.448185843801</v>
      </c>
      <c r="AD118" s="207">
        <f t="shared" si="86"/>
        <v>39663.881145733532</v>
      </c>
      <c r="AE118" s="207">
        <f t="shared" si="86"/>
        <v>40504.702214216872</v>
      </c>
      <c r="AF118" s="207">
        <f t="shared" si="86"/>
        <v>41313.255711552229</v>
      </c>
      <c r="AG118" s="207">
        <f t="shared" si="86"/>
        <v>42122.723393965702</v>
      </c>
      <c r="AH118" s="183">
        <f t="shared" si="86"/>
        <v>42924.059275856096</v>
      </c>
      <c r="AI118" s="31"/>
    </row>
    <row r="119" spans="1:35" s="1" customFormat="1">
      <c r="A119" s="1" t="s">
        <v>341</v>
      </c>
      <c r="B119" s="13"/>
      <c r="C119" s="311">
        <f>C118-'Output - Jobs vs Yr (BAU)'!C55</f>
        <v>1.1879999999982829</v>
      </c>
      <c r="D119" s="311">
        <f>D118-'Output - Jobs vs Yr (BAU)'!D55</f>
        <v>318.88366272559506</v>
      </c>
      <c r="E119" s="311">
        <f>E118-'Output - Jobs vs Yr (BAU)'!E55</f>
        <v>252.12494311238697</v>
      </c>
      <c r="F119" s="311">
        <f>F118-'Output - Jobs vs Yr (BAU)'!F55</f>
        <v>537.19270627332662</v>
      </c>
      <c r="G119" s="311">
        <f>G118-'Output - Jobs vs Yr (BAU)'!G55</f>
        <v>435.03219279878249</v>
      </c>
      <c r="H119" s="376">
        <f>H118-'Output - Jobs vs Yr (BAU)'!H55</f>
        <v>-208.22328999999809</v>
      </c>
      <c r="I119" s="15">
        <f>I118-'Output - Jobs vs Yr (BAU)'!I55</f>
        <v>-144.64820557374333</v>
      </c>
      <c r="J119" s="15">
        <f>J118-'Output - Jobs vs Yr (BAU)'!J55</f>
        <v>9.1301559775820351</v>
      </c>
      <c r="K119" s="15">
        <f>K118-'Output - Jobs vs Yr (BAU)'!K55</f>
        <v>586.14955298807035</v>
      </c>
      <c r="L119" s="15">
        <f>L118-'Output - Jobs vs Yr (BAU)'!L55</f>
        <v>1360.3696861977842</v>
      </c>
      <c r="M119" s="15">
        <f>M118-'Output - Jobs vs Yr (BAU)'!M55</f>
        <v>2444.3883969550006</v>
      </c>
      <c r="N119" s="183">
        <f>N118-'Output - Jobs vs Yr (BAU)'!N55</f>
        <v>3891.3014286127072</v>
      </c>
      <c r="O119" s="15">
        <f>O118-'Output - Jobs vs Yr (BAU)'!O55</f>
        <v>4066.7998222175738</v>
      </c>
      <c r="P119" s="15">
        <f>P118-'Output - Jobs vs Yr (BAU)'!P55</f>
        <v>4269.00788365076</v>
      </c>
      <c r="Q119" s="15">
        <f>Q118-'Output - Jobs vs Yr (BAU)'!Q55</f>
        <v>4490.1474398245518</v>
      </c>
      <c r="R119" s="15">
        <f>R118-'Output - Jobs vs Yr (BAU)'!R55</f>
        <v>4772.2303119382741</v>
      </c>
      <c r="S119" s="15">
        <f>S118-'Output - Jobs vs Yr (BAU)'!S55</f>
        <v>4842.1780325420477</v>
      </c>
      <c r="T119" s="15">
        <f>T118-'Output - Jobs vs Yr (BAU)'!T55</f>
        <v>5127.1483897621292</v>
      </c>
      <c r="U119" s="15">
        <f>U118-'Output - Jobs vs Yr (BAU)'!U55</f>
        <v>5430.5993708574133</v>
      </c>
      <c r="V119" s="15">
        <f>V118-'Output - Jobs vs Yr (BAU)'!V55</f>
        <v>5705.216656047749</v>
      </c>
      <c r="W119" s="15">
        <f>W118-'Output - Jobs vs Yr (BAU)'!W55</f>
        <v>5891.9337984649646</v>
      </c>
      <c r="X119" s="191">
        <f>X118-'Output - Jobs vs Yr (BAU)'!X55</f>
        <v>6092.1873564070629</v>
      </c>
      <c r="Y119" s="131">
        <f>Y118-'Output - Jobs vs Yr (BAU)'!Y55</f>
        <v>6308.2647883420432</v>
      </c>
      <c r="Z119" s="131">
        <f>Z118-'Output - Jobs vs Yr (BAU)'!Z55</f>
        <v>6589.4530165734614</v>
      </c>
      <c r="AA119" s="131">
        <f>AA118-'Output - Jobs vs Yr (BAU)'!AA55</f>
        <v>6817.4050257038107</v>
      </c>
      <c r="AB119" s="131">
        <f>AB118-'Output - Jobs vs Yr (BAU)'!AB55</f>
        <v>7000.9782479374626</v>
      </c>
      <c r="AC119" s="131">
        <f>AC118-'Output - Jobs vs Yr (BAU)'!AC55</f>
        <v>7196.8491538438029</v>
      </c>
      <c r="AD119" s="131">
        <f>AD118-'Output - Jobs vs Yr (BAU)'!AD55</f>
        <v>7401.3920837335318</v>
      </c>
      <c r="AE119" s="131">
        <f>AE118-'Output - Jobs vs Yr (BAU)'!AE55</f>
        <v>7618.9984222168714</v>
      </c>
      <c r="AF119" s="131">
        <f>AF118-'Output - Jobs vs Yr (BAU)'!AF55</f>
        <v>7838.5696695522274</v>
      </c>
      <c r="AG119" s="131">
        <f>AG118-'Output - Jobs vs Yr (BAU)'!AG55</f>
        <v>8053.1628619656985</v>
      </c>
      <c r="AH119" s="191">
        <f>AH118-'Output - Jobs vs Yr (BAU)'!AH55</f>
        <v>8272.3562938560935</v>
      </c>
    </row>
    <row r="120" spans="1:35" s="1" customFormat="1">
      <c r="B120" s="13"/>
      <c r="C120" s="298"/>
      <c r="D120" s="311"/>
      <c r="E120" s="311"/>
      <c r="F120" s="311"/>
      <c r="G120" s="311"/>
      <c r="H120" s="376"/>
      <c r="I120" s="15"/>
      <c r="J120" s="15"/>
      <c r="K120" s="15"/>
      <c r="L120" s="15"/>
      <c r="M120" s="15"/>
      <c r="N120" s="188" t="s">
        <v>0</v>
      </c>
      <c r="O120" s="15"/>
      <c r="P120" s="15"/>
      <c r="Q120" s="15"/>
      <c r="R120" s="15"/>
      <c r="S120" s="15"/>
      <c r="T120" s="15"/>
      <c r="U120" s="15"/>
      <c r="V120" s="15"/>
      <c r="W120" s="15"/>
      <c r="X120" s="191"/>
      <c r="Y120"/>
      <c r="Z120"/>
      <c r="AA120"/>
      <c r="AB120"/>
      <c r="AC120"/>
      <c r="AD120"/>
      <c r="AE120"/>
      <c r="AF120"/>
      <c r="AG120"/>
      <c r="AH120" s="246"/>
    </row>
    <row r="121" spans="1:35" hidden="1">
      <c r="W121" s="2" t="s">
        <v>139</v>
      </c>
      <c r="X121" s="188">
        <f>X100</f>
        <v>0</v>
      </c>
    </row>
    <row r="122" spans="1:35" hidden="1">
      <c r="W122" s="2" t="s">
        <v>142</v>
      </c>
      <c r="X122" s="188">
        <f>X103-'Output - Jobs vs Yr (BAU)'!X43</f>
        <v>-0.55666428708764215</v>
      </c>
    </row>
    <row r="123" spans="1:35" hidden="1">
      <c r="W123" s="2" t="s">
        <v>140</v>
      </c>
      <c r="X123" s="188">
        <f>X115-'Output - Jobs vs Yr (BAU)'!X51</f>
        <v>10622.101957672265</v>
      </c>
    </row>
    <row r="124" spans="1:35" hidden="1">
      <c r="W124" s="2" t="s">
        <v>143</v>
      </c>
      <c r="X124" s="188">
        <f>SUM(X101,X106,X111)</f>
        <v>0</v>
      </c>
    </row>
    <row r="125" spans="1:35" hidden="1">
      <c r="W125" s="2" t="s">
        <v>138</v>
      </c>
      <c r="X125" s="188">
        <f>SUM(X121:X124)</f>
        <v>10621.545293385178</v>
      </c>
    </row>
    <row r="126" spans="1:35">
      <c r="A126" s="1" t="s">
        <v>146</v>
      </c>
      <c r="C126" s="298">
        <v>2009</v>
      </c>
      <c r="D126" s="298">
        <v>2010</v>
      </c>
      <c r="E126" s="298">
        <v>2011</v>
      </c>
      <c r="F126" s="298">
        <v>2012</v>
      </c>
      <c r="G126" s="298">
        <v>2013</v>
      </c>
      <c r="H126" s="371">
        <v>2014</v>
      </c>
      <c r="I126" s="13">
        <v>2015</v>
      </c>
      <c r="J126" s="13">
        <v>2016</v>
      </c>
      <c r="K126" s="13">
        <v>2017</v>
      </c>
      <c r="L126" s="13">
        <v>2018</v>
      </c>
      <c r="M126" s="13">
        <v>2019</v>
      </c>
      <c r="N126" s="177">
        <v>2020</v>
      </c>
      <c r="O126" s="13">
        <v>2021</v>
      </c>
      <c r="P126" s="13">
        <v>2022</v>
      </c>
      <c r="Q126" s="13">
        <v>2023</v>
      </c>
      <c r="R126" s="13">
        <v>2024</v>
      </c>
      <c r="S126" s="13">
        <v>2025</v>
      </c>
      <c r="T126" s="13">
        <v>2026</v>
      </c>
      <c r="U126" s="13">
        <v>2027</v>
      </c>
      <c r="V126" s="13">
        <v>2028</v>
      </c>
      <c r="W126" s="13">
        <v>2029</v>
      </c>
      <c r="X126" s="177">
        <v>2030</v>
      </c>
      <c r="Y126" s="13">
        <v>2031</v>
      </c>
      <c r="Z126" s="13">
        <v>2032</v>
      </c>
      <c r="AA126" s="13">
        <v>2033</v>
      </c>
      <c r="AB126" s="13">
        <v>2034</v>
      </c>
      <c r="AC126" s="13">
        <v>2035</v>
      </c>
      <c r="AD126" s="13">
        <v>2036</v>
      </c>
      <c r="AE126" s="13">
        <v>2037</v>
      </c>
      <c r="AF126" s="13">
        <v>2038</v>
      </c>
      <c r="AG126" s="13">
        <v>2039</v>
      </c>
      <c r="AH126" s="177">
        <v>2040</v>
      </c>
      <c r="AI126" s="1" t="s">
        <v>0</v>
      </c>
    </row>
    <row r="127" spans="1:35">
      <c r="A127" s="10" t="s">
        <v>63</v>
      </c>
      <c r="B127" s="35">
        <v>0</v>
      </c>
      <c r="C127" s="301">
        <v>0</v>
      </c>
      <c r="D127" s="301">
        <f xml:space="preserve"> IF(D100&gt; 0, D100*Inputs!$H44, 0)</f>
        <v>0</v>
      </c>
      <c r="E127" s="301">
        <f xml:space="preserve"> IF(E100&gt; 0, E100*Inputs!$H44, 0)</f>
        <v>0</v>
      </c>
      <c r="F127" s="301">
        <f xml:space="preserve"> IF(F100&gt; 0, F100*Inputs!$H44, 0)</f>
        <v>0</v>
      </c>
      <c r="G127" s="301">
        <f xml:space="preserve"> IF(G100&gt; 0, G100*Inputs!$H44, 0)</f>
        <v>0</v>
      </c>
      <c r="H127" s="373">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3">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8">
        <f xml:space="preserve"> IF(X100&gt; 0, X100*Inputs!$H44, 0)</f>
        <v>0</v>
      </c>
      <c r="Y127" s="159">
        <f xml:space="preserve"> IF(Y100&gt; 0, Y100*Inputs!$H44, 0)</f>
        <v>0</v>
      </c>
      <c r="Z127" s="159">
        <f xml:space="preserve"> IF(Z100&gt; 0, Z100*Inputs!$H44, 0)</f>
        <v>0</v>
      </c>
      <c r="AA127" s="159">
        <f xml:space="preserve"> IF(AA100&gt; 0, AA100*Inputs!$H44, 0)</f>
        <v>0</v>
      </c>
      <c r="AB127" s="159">
        <f xml:space="preserve"> IF(AB100&gt; 0, AB100*Inputs!$H44, 0)</f>
        <v>0</v>
      </c>
      <c r="AC127" s="159">
        <f xml:space="preserve"> IF(AC100&gt; 0, AC100*Inputs!$H44, 0)</f>
        <v>0</v>
      </c>
      <c r="AD127" s="159">
        <f xml:space="preserve"> IF(AD100&gt; 0, AD100*Inputs!$H44, 0)</f>
        <v>0</v>
      </c>
      <c r="AE127" s="159">
        <f xml:space="preserve"> IF(AE100&gt; 0, AE100*Inputs!$H44, 0)</f>
        <v>0</v>
      </c>
      <c r="AF127" s="159">
        <f xml:space="preserve"> IF(AF100&gt; 0, AF100*Inputs!$H44, 0)</f>
        <v>0</v>
      </c>
      <c r="AG127" s="159">
        <f xml:space="preserve"> IF(AG100&gt; 0, AG100*Inputs!$H44, 0)</f>
        <v>0</v>
      </c>
      <c r="AH127" s="188">
        <f xml:space="preserve"> IF(AH100&gt; 0, AH100*Inputs!$H44, 0)</f>
        <v>0</v>
      </c>
    </row>
    <row r="128" spans="1:35">
      <c r="A128" s="10" t="s">
        <v>62</v>
      </c>
      <c r="B128" s="35">
        <v>0</v>
      </c>
      <c r="C128" s="301">
        <f>C101*Inputs!$H47</f>
        <v>0</v>
      </c>
      <c r="D128" s="301">
        <f>D101*Inputs!$H47</f>
        <v>0</v>
      </c>
      <c r="E128" s="301">
        <f>E101*Inputs!$H47</f>
        <v>0</v>
      </c>
      <c r="F128" s="301">
        <f>F101*Inputs!$H47</f>
        <v>0</v>
      </c>
      <c r="G128" s="301">
        <f>G101*Inputs!$H47</f>
        <v>0</v>
      </c>
      <c r="H128" s="373">
        <f>H101*Inputs!$H47</f>
        <v>0</v>
      </c>
      <c r="I128" s="14">
        <f>I101*Inputs!$H47</f>
        <v>0</v>
      </c>
      <c r="J128" s="14">
        <f>J101*Inputs!$H47</f>
        <v>0</v>
      </c>
      <c r="K128" s="14">
        <f>K101*Inputs!$H47</f>
        <v>0</v>
      </c>
      <c r="L128" s="14">
        <f>L101*Inputs!$H47</f>
        <v>0</v>
      </c>
      <c r="M128" s="14">
        <f>M101*Inputs!$H47</f>
        <v>0</v>
      </c>
      <c r="N128" s="183">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8">
        <f>X101*Inputs!$H47</f>
        <v>0</v>
      </c>
      <c r="Y128" s="159">
        <f>Y101*Inputs!$H47</f>
        <v>0</v>
      </c>
      <c r="Z128" s="159">
        <f>Z101*Inputs!$H47</f>
        <v>0</v>
      </c>
      <c r="AA128" s="159">
        <f>AA101*Inputs!$H47</f>
        <v>0</v>
      </c>
      <c r="AB128" s="159">
        <f>AB101*Inputs!$H47</f>
        <v>0</v>
      </c>
      <c r="AC128" s="159">
        <f>AC101*Inputs!$H47</f>
        <v>0</v>
      </c>
      <c r="AD128" s="159">
        <f>AD101*Inputs!$H47</f>
        <v>0</v>
      </c>
      <c r="AE128" s="159">
        <f>AE101*Inputs!$H47</f>
        <v>0</v>
      </c>
      <c r="AF128" s="159">
        <f>AF101*Inputs!$H47</f>
        <v>0</v>
      </c>
      <c r="AG128" s="159">
        <f>AG101*Inputs!$H47</f>
        <v>0</v>
      </c>
      <c r="AH128" s="188">
        <f>AH101*Inputs!$H47</f>
        <v>0</v>
      </c>
    </row>
    <row r="129" spans="1:35">
      <c r="A129" s="10" t="s">
        <v>51</v>
      </c>
      <c r="B129" s="35">
        <v>0</v>
      </c>
      <c r="C129" s="301">
        <f>C102*Inputs!$H48</f>
        <v>28.0799865</v>
      </c>
      <c r="D129" s="301">
        <f>D102*Inputs!$H48</f>
        <v>27.370835668978323</v>
      </c>
      <c r="E129" s="301">
        <f>E102*Inputs!$H48</f>
        <v>22.575427741126841</v>
      </c>
      <c r="F129" s="301">
        <f>F102*Inputs!$H48</f>
        <v>20.718025652431535</v>
      </c>
      <c r="G129" s="301">
        <f>G102*Inputs!$H48</f>
        <v>18.130780449438507</v>
      </c>
      <c r="H129" s="373">
        <f>H102*Inputs!$H48</f>
        <v>5.0955614999999996</v>
      </c>
      <c r="I129" s="14">
        <f>I102*Inputs!$H48</f>
        <v>5.1654527792362774</v>
      </c>
      <c r="J129" s="14">
        <f>J102*Inputs!$H48</f>
        <v>5.2037025261350589</v>
      </c>
      <c r="K129" s="14">
        <f>K102*Inputs!$H48</f>
        <v>5.2672793064693284</v>
      </c>
      <c r="L129" s="14">
        <f>L102*Inputs!$H48</f>
        <v>5.3208707158946682</v>
      </c>
      <c r="M129" s="14">
        <f>M102*Inputs!$H48</f>
        <v>5.3746958794145971</v>
      </c>
      <c r="N129" s="183">
        <f>N102*Inputs!$H48</f>
        <v>5.3729865000000006</v>
      </c>
      <c r="O129" s="14">
        <f>O102*Inputs!$H48</f>
        <v>5.38935158635209</v>
      </c>
      <c r="P129" s="14">
        <f>P102*Inputs!$H48</f>
        <v>5.424276437677328</v>
      </c>
      <c r="Q129" s="14">
        <f>Q102*Inputs!$H48</f>
        <v>5.4704562724563894</v>
      </c>
      <c r="R129" s="14">
        <f>R102*Inputs!$H48</f>
        <v>5.550892357482005</v>
      </c>
      <c r="S129" s="14">
        <f>S102*Inputs!$H48</f>
        <v>5.6240635191770734</v>
      </c>
      <c r="T129" s="14">
        <f>T102*Inputs!$H48</f>
        <v>5.6988676187276965</v>
      </c>
      <c r="U129" s="14">
        <f>U102*Inputs!$H48</f>
        <v>5.7756353571517485</v>
      </c>
      <c r="V129" s="14">
        <f>V102*Inputs!$H48</f>
        <v>5.8520179954107805</v>
      </c>
      <c r="W129" s="14">
        <f>W102*Inputs!$H48</f>
        <v>5.8870602333486728</v>
      </c>
      <c r="X129" s="188">
        <f>X102*Inputs!$H48</f>
        <v>5.9097699196914837</v>
      </c>
      <c r="Y129" s="159">
        <f>Y102*Inputs!$H48</f>
        <v>6.4401551863390996</v>
      </c>
      <c r="Z129" s="159">
        <f>Z102*Inputs!$H48</f>
        <v>6.9843151597025948</v>
      </c>
      <c r="AA129" s="159">
        <f>AA102*Inputs!$H48</f>
        <v>7.5417698987791333</v>
      </c>
      <c r="AB129" s="159">
        <f>AB102*Inputs!$H48</f>
        <v>8.1113419948887984</v>
      </c>
      <c r="AC129" s="159">
        <f>AC102*Inputs!$H48</f>
        <v>8.6935497090711067</v>
      </c>
      <c r="AD129" s="159">
        <f>AD102*Inputs!$H48</f>
        <v>9.2920546407589324</v>
      </c>
      <c r="AE129" s="159">
        <f>AE102*Inputs!$H48</f>
        <v>9.9232733865377654</v>
      </c>
      <c r="AF129" s="159">
        <f>AF102*Inputs!$H48</f>
        <v>10.556311250699952</v>
      </c>
      <c r="AG129" s="159">
        <f>AG102*Inputs!$H48</f>
        <v>11.198562242503147</v>
      </c>
      <c r="AH129" s="188">
        <f>AH102*Inputs!$H48</f>
        <v>11.84706376622187</v>
      </c>
    </row>
    <row r="130" spans="1:35">
      <c r="A130" s="10" t="s">
        <v>61</v>
      </c>
      <c r="B130" s="35">
        <v>0</v>
      </c>
      <c r="C130" s="301">
        <f>C103*Inputs!$H53</f>
        <v>3668.8680000000004</v>
      </c>
      <c r="D130" s="301">
        <f>D103*Inputs!$H53</f>
        <v>3823.1823625878501</v>
      </c>
      <c r="E130" s="301">
        <f>E103*Inputs!$H53</f>
        <v>3391.6906494883501</v>
      </c>
      <c r="F130" s="301">
        <f>F103*Inputs!$H53</f>
        <v>3372.0080616100558</v>
      </c>
      <c r="G130" s="301">
        <f>G103*Inputs!$H53</f>
        <v>3224.3935878841439</v>
      </c>
      <c r="H130" s="373">
        <f>H103*Inputs!$H53</f>
        <v>3040.0689060000009</v>
      </c>
      <c r="I130" s="14">
        <f>I103*Inputs!$H53</f>
        <v>3075.3193727868311</v>
      </c>
      <c r="J130" s="14">
        <f>J103*Inputs!$H53</f>
        <v>3091.6032229161283</v>
      </c>
      <c r="K130" s="14">
        <f>K103*Inputs!$H53</f>
        <v>3122.8139308277041</v>
      </c>
      <c r="L130" s="14">
        <f>L103*Inputs!$H53</f>
        <v>3147.9653434666729</v>
      </c>
      <c r="M130" s="14">
        <f>M103*Inputs!$H53</f>
        <v>3173.1281262853004</v>
      </c>
      <c r="N130" s="183">
        <f>N103*Inputs!$H53</f>
        <v>3165.4462140000005</v>
      </c>
      <c r="O130" s="14">
        <f>O103*Inputs!$H53</f>
        <v>3175.0875560422724</v>
      </c>
      <c r="P130" s="14">
        <f>P103*Inputs!$H53</f>
        <v>3195.6632151104614</v>
      </c>
      <c r="Q130" s="14">
        <f>Q103*Inputs!$H53</f>
        <v>3222.8696454941091</v>
      </c>
      <c r="R130" s="14">
        <f>R103*Inputs!$H53</f>
        <v>3270.2578346908094</v>
      </c>
      <c r="S130" s="14">
        <f>S103*Inputs!$H53</f>
        <v>3313.3659602670855</v>
      </c>
      <c r="T130" s="14">
        <f>T103*Inputs!$H53</f>
        <v>3357.4361163551757</v>
      </c>
      <c r="U130" s="14">
        <f>U103*Inputs!$H53</f>
        <v>3402.6631324572559</v>
      </c>
      <c r="V130" s="14">
        <f>V103*Inputs!$H53</f>
        <v>3447.6632702935194</v>
      </c>
      <c r="W130" s="14">
        <f>W103*Inputs!$H53</f>
        <v>3468.3080866187779</v>
      </c>
      <c r="X130" s="188">
        <f>X103*Inputs!$H53</f>
        <v>3481.6872921416216</v>
      </c>
      <c r="Y130" s="159">
        <f>Y103*Inputs!$H53</f>
        <v>3794.1589565076279</v>
      </c>
      <c r="Z130" s="159">
        <f>Z103*Inputs!$H53</f>
        <v>4114.7458642718311</v>
      </c>
      <c r="AA130" s="159">
        <f>AA103*Inputs!$H53</f>
        <v>4443.1652625499</v>
      </c>
      <c r="AB130" s="159">
        <f>AB103*Inputs!$H53</f>
        <v>4778.7234917080023</v>
      </c>
      <c r="AC130" s="159">
        <f>AC103*Inputs!$H53</f>
        <v>5121.7258805321635</v>
      </c>
      <c r="AD130" s="159">
        <f>AD103*Inputs!$H53</f>
        <v>5474.3296270838355</v>
      </c>
      <c r="AE130" s="159">
        <f>AE103*Inputs!$H53</f>
        <v>5846.2064201916219</v>
      </c>
      <c r="AF130" s="159">
        <f>AF103*Inputs!$H53</f>
        <v>6219.1549303788033</v>
      </c>
      <c r="AG130" s="159">
        <f>AG103*Inputs!$H53</f>
        <v>6597.5312710677608</v>
      </c>
      <c r="AH130" s="188">
        <f>AH103*Inputs!$H53</f>
        <v>6979.5900558848589</v>
      </c>
    </row>
    <row r="131" spans="1:35">
      <c r="A131" s="10" t="s">
        <v>127</v>
      </c>
      <c r="B131" s="35">
        <v>1</v>
      </c>
      <c r="C131" s="300">
        <f>Inputs!$H46*'Output -Jobs vs Yr'!C104</f>
        <v>469.476</v>
      </c>
      <c r="D131" s="300">
        <f>Inputs!$H46*'Output -Jobs vs Yr'!D104</f>
        <v>662.3730447559642</v>
      </c>
      <c r="E131" s="300">
        <f>Inputs!$H46*'Output -Jobs vs Yr'!E104</f>
        <v>795.65173030566314</v>
      </c>
      <c r="F131" s="300">
        <f>Inputs!$H46*'Output -Jobs vs Yr'!F104</f>
        <v>1071.1687984872301</v>
      </c>
      <c r="G131" s="300">
        <f>Inputs!$H46*'Output -Jobs vs Yr'!G104</f>
        <v>1387.1194940656942</v>
      </c>
      <c r="H131" s="252">
        <f>Inputs!$H46*'Output -Jobs vs Yr'!H104</f>
        <v>480.48165900000004</v>
      </c>
      <c r="I131" s="40">
        <f>Inputs!$H46*'Output -Jobs vs Yr'!I104</f>
        <v>653.44851286670405</v>
      </c>
      <c r="J131" s="40">
        <f>Inputs!$H46*'Output -Jobs vs Yr'!J104</f>
        <v>883.14855419831486</v>
      </c>
      <c r="K131" s="40">
        <f>Inputs!$H46*'Output -Jobs vs Yr'!K104</f>
        <v>1199.2951619992714</v>
      </c>
      <c r="L131" s="40">
        <f>Inputs!$H46*'Output -Jobs vs Yr'!L104</f>
        <v>1625.3278761211939</v>
      </c>
      <c r="M131" s="40">
        <f>Inputs!$H46*'Output -Jobs vs Yr'!M104</f>
        <v>2202.5756151470428</v>
      </c>
      <c r="N131" s="178">
        <f>Inputs!$H46*'Output -Jobs vs Yr'!N104</f>
        <v>2954.0064934679913</v>
      </c>
      <c r="O131" s="40">
        <f>Inputs!$H46*'Output -Jobs vs Yr'!O104</f>
        <v>3065.6871204114168</v>
      </c>
      <c r="P131" s="40">
        <f>Inputs!$H46*'Output -Jobs vs Yr'!P104</f>
        <v>3192.5742578805111</v>
      </c>
      <c r="Q131" s="40">
        <f>Inputs!$H46*'Output -Jobs vs Yr'!Q104</f>
        <v>3331.5245669794094</v>
      </c>
      <c r="R131" s="40">
        <f>Inputs!$H46*'Output -Jobs vs Yr'!R104</f>
        <v>3497.9619420283334</v>
      </c>
      <c r="S131" s="40">
        <f>Inputs!$H46*'Output -Jobs vs Yr'!S104</f>
        <v>3667.3128600501855</v>
      </c>
      <c r="T131" s="40">
        <f>Inputs!$H46*'Output -Jobs vs Yr'!T104</f>
        <v>3845.4271269304536</v>
      </c>
      <c r="U131" s="40">
        <f>Inputs!$H46*'Output -Jobs vs Yr'!U104</f>
        <v>4032.9886404804311</v>
      </c>
      <c r="V131" s="40">
        <f>Inputs!$H46*'Output -Jobs vs Yr'!V104</f>
        <v>4228.8003919225475</v>
      </c>
      <c r="W131" s="40">
        <f>Inputs!$H46*'Output -Jobs vs Yr'!W104</f>
        <v>4402.5829087553211</v>
      </c>
      <c r="X131" s="185">
        <f>Inputs!$H46*'Output -Jobs vs Yr'!X104</f>
        <v>4573.9408648324752</v>
      </c>
      <c r="Y131" s="237">
        <f>Inputs!$H46*'Output -Jobs vs Yr'!Y104</f>
        <v>4723.343907808543</v>
      </c>
      <c r="Z131" s="237">
        <f>Inputs!$H46*'Output -Jobs vs Yr'!Z104</f>
        <v>4880.334737703165</v>
      </c>
      <c r="AA131" s="237">
        <f>Inputs!$H46*'Output -Jobs vs Yr'!AA104</f>
        <v>5044.3078940461555</v>
      </c>
      <c r="AB131" s="237">
        <f>Inputs!$H46*'Output -Jobs vs Yr'!AB104</f>
        <v>5214.3692554814133</v>
      </c>
      <c r="AC131" s="237">
        <f>Inputs!$H46*'Output -Jobs vs Yr'!AC104</f>
        <v>5390.8539797331086</v>
      </c>
      <c r="AD131" s="237">
        <f>Inputs!$H46*'Output -Jobs vs Yr'!AD104</f>
        <v>5575.9756407040086</v>
      </c>
      <c r="AE131" s="237">
        <f>Inputs!$H46*'Output -Jobs vs Yr'!AE104</f>
        <v>5779.1503990327337</v>
      </c>
      <c r="AF131" s="237">
        <f>Inputs!$H46*'Output -Jobs vs Yr'!AF104</f>
        <v>5982.023086067823</v>
      </c>
      <c r="AG131" s="237">
        <f>Inputs!$H46*'Output -Jobs vs Yr'!AG104</f>
        <v>6189.3535859528674</v>
      </c>
      <c r="AH131" s="185">
        <f>Inputs!$H46*'Output -Jobs vs Yr'!AH104</f>
        <v>6399.8375588817662</v>
      </c>
    </row>
    <row r="132" spans="1:35">
      <c r="A132" s="10" t="s">
        <v>52</v>
      </c>
      <c r="B132" s="35">
        <v>1</v>
      </c>
      <c r="C132" s="301">
        <f>C105*Inputs!$H49</f>
        <v>2.2500000000000003E-2</v>
      </c>
      <c r="D132" s="301">
        <f>D105*Inputs!$H49</f>
        <v>3.0162868112685707E-2</v>
      </c>
      <c r="E132" s="301">
        <f>E105*Inputs!$H49</f>
        <v>3.4426578187390401E-2</v>
      </c>
      <c r="F132" s="301">
        <f>F105*Inputs!$H49</f>
        <v>4.4038206422629518E-2</v>
      </c>
      <c r="G132" s="301">
        <f>G105*Inputs!$H49</f>
        <v>5.4185919359140876E-2</v>
      </c>
      <c r="H132" s="373">
        <f>H105*Inputs!$H49</f>
        <v>2.2500000000000003E-2</v>
      </c>
      <c r="I132" s="14">
        <f>I105*Inputs!$H49</f>
        <v>2.9074880594316007E-2</v>
      </c>
      <c r="J132" s="14">
        <f>J105*Inputs!$H49</f>
        <v>3.7337152221196691E-2</v>
      </c>
      <c r="K132" s="14">
        <f>K105*Inputs!$H49</f>
        <v>4.8176403098670939E-2</v>
      </c>
      <c r="L132" s="14">
        <f>L105*Inputs!$H49</f>
        <v>6.2036906942707769E-2</v>
      </c>
      <c r="M132" s="14">
        <f>M105*Inputs!$H49</f>
        <v>7.9880512290705474E-2</v>
      </c>
      <c r="N132" s="183">
        <f>N105*Inputs!$H49</f>
        <v>0.10179403330960826</v>
      </c>
      <c r="O132" s="14">
        <f>O105*Inputs!$H49</f>
        <v>0.10564250875617724</v>
      </c>
      <c r="P132" s="14">
        <f>P105*Inputs!$H49</f>
        <v>0.1100149952509263</v>
      </c>
      <c r="Q132" s="14">
        <f>Q105*Inputs!$H49</f>
        <v>0.11480317443200465</v>
      </c>
      <c r="R132" s="14">
        <f>R105*Inputs!$H49</f>
        <v>0.1205385483173219</v>
      </c>
      <c r="S132" s="14">
        <f>S105*Inputs!$H49</f>
        <v>0.12637432187714592</v>
      </c>
      <c r="T132" s="14">
        <f>T105*Inputs!$H49</f>
        <v>0.13251207738168475</v>
      </c>
      <c r="U132" s="14">
        <f>U105*Inputs!$H49</f>
        <v>0.1389753817109492</v>
      </c>
      <c r="V132" s="14">
        <f>V105*Inputs!$H49</f>
        <v>0.14572298636002048</v>
      </c>
      <c r="W132" s="14">
        <f>W105*Inputs!$H49</f>
        <v>0.15171147126898049</v>
      </c>
      <c r="X132" s="188">
        <f>X105*Inputs!$H49</f>
        <v>0.15761640666006899</v>
      </c>
      <c r="Y132" s="159">
        <f>Y105*Inputs!$H49</f>
        <v>0.16276478340429484</v>
      </c>
      <c r="Z132" s="159">
        <f>Z105*Inputs!$H49</f>
        <v>0.16817463263886265</v>
      </c>
      <c r="AA132" s="159">
        <f>AA105*Inputs!$H49</f>
        <v>0.17382509040717456</v>
      </c>
      <c r="AB132" s="159">
        <f>AB105*Inputs!$H49</f>
        <v>0.17968534559919841</v>
      </c>
      <c r="AC132" s="159">
        <f>AC105*Inputs!$H49</f>
        <v>0.18576694763319501</v>
      </c>
      <c r="AD132" s="159">
        <f>AD105*Inputs!$H49</f>
        <v>0.19214617549368579</v>
      </c>
      <c r="AE132" s="159">
        <f>AE105*Inputs!$H49</f>
        <v>0.19914750679160903</v>
      </c>
      <c r="AF132" s="159">
        <f>AF105*Inputs!$H49</f>
        <v>0.20613842881812605</v>
      </c>
      <c r="AG132" s="159">
        <f>AG105*Inputs!$H49</f>
        <v>0.21328296552041975</v>
      </c>
      <c r="AH132" s="188">
        <f>AH105*Inputs!$H49</f>
        <v>0.22053616980376872</v>
      </c>
    </row>
    <row r="133" spans="1:35">
      <c r="A133" s="10" t="s">
        <v>125</v>
      </c>
      <c r="B133" s="35">
        <v>1</v>
      </c>
      <c r="C133" s="301">
        <f>C106*Inputs!$H50</f>
        <v>0</v>
      </c>
      <c r="D133" s="301">
        <f>D106*Inputs!$H50</f>
        <v>0</v>
      </c>
      <c r="E133" s="301">
        <f>E106*Inputs!$H50</f>
        <v>0</v>
      </c>
      <c r="F133" s="301">
        <f>F106*Inputs!$H50</f>
        <v>0</v>
      </c>
      <c r="G133" s="301">
        <f>G106*Inputs!$H50</f>
        <v>0</v>
      </c>
      <c r="H133" s="373">
        <f>H106*Inputs!$H50</f>
        <v>0</v>
      </c>
      <c r="I133" s="14">
        <f>I106*Inputs!$H50</f>
        <v>0</v>
      </c>
      <c r="J133" s="14">
        <f>J106*Inputs!$H50</f>
        <v>0</v>
      </c>
      <c r="K133" s="14">
        <f>K106*Inputs!$H50</f>
        <v>0</v>
      </c>
      <c r="L133" s="14">
        <f>L106*Inputs!$H50</f>
        <v>0</v>
      </c>
      <c r="M133" s="14">
        <f>M106*Inputs!$H50</f>
        <v>0</v>
      </c>
      <c r="N133" s="183">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8">
        <f>X106*Inputs!$H50</f>
        <v>0</v>
      </c>
      <c r="Y133" s="159">
        <f>Y106*Inputs!$H50</f>
        <v>0</v>
      </c>
      <c r="Z133" s="159">
        <f>Z106*Inputs!$H50</f>
        <v>0</v>
      </c>
      <c r="AA133" s="159">
        <f>AA106*Inputs!$H50</f>
        <v>0</v>
      </c>
      <c r="AB133" s="159">
        <f>AB106*Inputs!$H50</f>
        <v>0</v>
      </c>
      <c r="AC133" s="159">
        <f>AC106*Inputs!$H50</f>
        <v>0</v>
      </c>
      <c r="AD133" s="159">
        <f>AD106*Inputs!$H50</f>
        <v>0</v>
      </c>
      <c r="AE133" s="159">
        <f>AE106*Inputs!$H50</f>
        <v>0</v>
      </c>
      <c r="AF133" s="159">
        <f>AF106*Inputs!$H50</f>
        <v>0</v>
      </c>
      <c r="AG133" s="159">
        <f>AG106*Inputs!$H50</f>
        <v>0</v>
      </c>
      <c r="AH133" s="188">
        <f>AH106*Inputs!$H50</f>
        <v>0</v>
      </c>
    </row>
    <row r="134" spans="1:35">
      <c r="A134" s="10" t="s">
        <v>53</v>
      </c>
      <c r="B134" s="35">
        <v>1</v>
      </c>
      <c r="C134" s="301">
        <f>C107*Inputs!$H52</f>
        <v>249.20999999999998</v>
      </c>
      <c r="D134" s="301">
        <f>D107*Inputs!$H52</f>
        <v>325.16613424806457</v>
      </c>
      <c r="E134" s="301">
        <f>E107*Inputs!$H52</f>
        <v>361.22371666300916</v>
      </c>
      <c r="F134" s="301">
        <f>F107*Inputs!$H52</f>
        <v>449.74023961666217</v>
      </c>
      <c r="G134" s="301">
        <f>G107*Inputs!$H52</f>
        <v>538.60241470366941</v>
      </c>
      <c r="H134" s="373">
        <f>H107*Inputs!$H52</f>
        <v>371.16670499999998</v>
      </c>
      <c r="I134" s="14">
        <f>I107*Inputs!$H52</f>
        <v>466.82505699583777</v>
      </c>
      <c r="J134" s="14">
        <f>J107*Inputs!$H52</f>
        <v>583.48155961796454</v>
      </c>
      <c r="K134" s="14">
        <f>K107*Inputs!$H52</f>
        <v>732.77398475218433</v>
      </c>
      <c r="L134" s="14">
        <f>L107*Inputs!$H52</f>
        <v>918.40773463609071</v>
      </c>
      <c r="M134" s="14">
        <f>M107*Inputs!$H52</f>
        <v>1151.0016951475618</v>
      </c>
      <c r="N134" s="183">
        <f>N107*Inputs!$H52</f>
        <v>1427.6020730398698</v>
      </c>
      <c r="O134" s="14">
        <f>O107*Inputs!$H52</f>
        <v>1481.5747013652892</v>
      </c>
      <c r="P134" s="14">
        <f>P107*Inputs!$H52</f>
        <v>1542.8962796670048</v>
      </c>
      <c r="Q134" s="14">
        <f>Q107*Inputs!$H52</f>
        <v>1610.0477059613452</v>
      </c>
      <c r="R134" s="14">
        <f>R107*Inputs!$H52</f>
        <v>1690.4829867153182</v>
      </c>
      <c r="S134" s="14">
        <f>S107*Inputs!$H52</f>
        <v>1772.3263144716386</v>
      </c>
      <c r="T134" s="14">
        <f>T107*Inputs!$H52</f>
        <v>1858.4047632490917</v>
      </c>
      <c r="U134" s="14">
        <f>U107*Inputs!$H52</f>
        <v>1949.0488448239059</v>
      </c>
      <c r="V134" s="14">
        <f>V107*Inputs!$H52</f>
        <v>2043.6800729212255</v>
      </c>
      <c r="W134" s="14">
        <f>W107*Inputs!$H52</f>
        <v>2127.665088471173</v>
      </c>
      <c r="X134" s="188">
        <f>X107*Inputs!$H52</f>
        <v>2210.4783706587923</v>
      </c>
      <c r="Y134" s="159">
        <f>Y107*Inputs!$H52</f>
        <v>2282.6813581412948</v>
      </c>
      <c r="Z134" s="159">
        <f>Z107*Inputs!$H52</f>
        <v>2358.5513451238535</v>
      </c>
      <c r="AA134" s="159">
        <f>AA107*Inputs!$H52</f>
        <v>2437.7957267580068</v>
      </c>
      <c r="AB134" s="159">
        <f>AB107*Inputs!$H52</f>
        <v>2519.9823951576195</v>
      </c>
      <c r="AC134" s="159">
        <f>AC107*Inputs!$H52</f>
        <v>2605.2733241920382</v>
      </c>
      <c r="AD134" s="159">
        <f>AD107*Inputs!$H52</f>
        <v>2694.7382822248064</v>
      </c>
      <c r="AE134" s="159">
        <f>AE107*Inputs!$H52</f>
        <v>2792.9278789033651</v>
      </c>
      <c r="AF134" s="159">
        <f>AF107*Inputs!$H52</f>
        <v>2890.9714916086464</v>
      </c>
      <c r="AG134" s="159">
        <f>AG107*Inputs!$H52</f>
        <v>2991.1694607379554</v>
      </c>
      <c r="AH134" s="188">
        <f>AH107*Inputs!$H52</f>
        <v>3092.891429447031</v>
      </c>
    </row>
    <row r="135" spans="1:35">
      <c r="A135" s="9" t="s">
        <v>353</v>
      </c>
      <c r="B135" s="35">
        <v>1</v>
      </c>
      <c r="C135" s="301">
        <f>C108*Inputs!$H54</f>
        <v>0</v>
      </c>
      <c r="D135" s="301">
        <f>D108*Inputs!$H54</f>
        <v>0</v>
      </c>
      <c r="E135" s="301">
        <f>E108*Inputs!$H54</f>
        <v>118.245699</v>
      </c>
      <c r="F135" s="301">
        <f>F108*Inputs!$H54</f>
        <v>199.48882500000005</v>
      </c>
      <c r="G135" s="301">
        <f>G108*Inputs!$H54</f>
        <v>287.87394600000005</v>
      </c>
      <c r="H135" s="373">
        <f>H108*Inputs!$H54</f>
        <v>408.3848910000001</v>
      </c>
      <c r="I135" s="14">
        <f>I108*Inputs!$H54</f>
        <v>587.64059905034094</v>
      </c>
      <c r="J135" s="14">
        <f>J108*Inputs!$H54</f>
        <v>840.3142885618729</v>
      </c>
      <c r="K135" s="14">
        <f>K108*Inputs!$H54</f>
        <v>1207.3734869481818</v>
      </c>
      <c r="L135" s="14">
        <f>L108*Inputs!$H54</f>
        <v>1731.2672125542288</v>
      </c>
      <c r="M135" s="14">
        <f>M108*Inputs!$H54</f>
        <v>2482.3414213346882</v>
      </c>
      <c r="N135" s="183">
        <f>N108*Inputs!$H54</f>
        <v>3522.4894422149359</v>
      </c>
      <c r="O135" s="14">
        <f>O108*Inputs!$H54</f>
        <v>3655.662415997509</v>
      </c>
      <c r="P135" s="14">
        <f>P108*Inputs!$H54</f>
        <v>3806.9683129466498</v>
      </c>
      <c r="Q135" s="14">
        <f>Q108*Inputs!$H54</f>
        <v>3972.6588751968225</v>
      </c>
      <c r="R135" s="14">
        <f>R108*Inputs!$H54</f>
        <v>4171.1262440723458</v>
      </c>
      <c r="S135" s="14">
        <f>S108*Inputs!$H54</f>
        <v>4373.0678518787136</v>
      </c>
      <c r="T135" s="14">
        <f>T108*Inputs!$H54</f>
        <v>4585.4592687496452</v>
      </c>
      <c r="U135" s="14">
        <f>U108*Inputs!$H54</f>
        <v>4809.1160050183635</v>
      </c>
      <c r="V135" s="14">
        <f>V108*Inputs!$H54</f>
        <v>5042.6106938897847</v>
      </c>
      <c r="W135" s="14">
        <f>W108*Inputs!$H54</f>
        <v>5249.8367382937449</v>
      </c>
      <c r="X135" s="188">
        <f>X108*Inputs!$H54</f>
        <v>5454.1716280294377</v>
      </c>
      <c r="Y135" s="159">
        <f>Y108*Inputs!$H54</f>
        <v>5632.3264975876791</v>
      </c>
      <c r="Z135" s="159">
        <f>Z108*Inputs!$H54</f>
        <v>5819.5293835837583</v>
      </c>
      <c r="AA135" s="159">
        <f>AA108*Inputs!$H54</f>
        <v>6015.0583078776081</v>
      </c>
      <c r="AB135" s="159">
        <f>AB108*Inputs!$H54</f>
        <v>6217.8470801802459</v>
      </c>
      <c r="AC135" s="159">
        <f>AC108*Inputs!$H54</f>
        <v>6428.2953575497977</v>
      </c>
      <c r="AD135" s="159">
        <f>AD108*Inputs!$H54</f>
        <v>6649.0427044961252</v>
      </c>
      <c r="AE135" s="159">
        <f>AE108*Inputs!$H54</f>
        <v>6891.3173720434224</v>
      </c>
      <c r="AF135" s="159">
        <f>AF108*Inputs!$H54</f>
        <v>7133.2318362719416</v>
      </c>
      <c r="AG135" s="159">
        <f>AG108*Inputs!$H54</f>
        <v>7380.461995890455</v>
      </c>
      <c r="AH135" s="188">
        <f>AH108*Inputs!$H54</f>
        <v>7631.4524977857482</v>
      </c>
    </row>
    <row r="136" spans="1:35">
      <c r="A136" s="9" t="s">
        <v>354</v>
      </c>
      <c r="B136" s="35">
        <v>1</v>
      </c>
      <c r="C136" s="301">
        <f>C109*Inputs!$H55</f>
        <v>0</v>
      </c>
      <c r="D136" s="301">
        <f>D109*Inputs!$H55</f>
        <v>0</v>
      </c>
      <c r="E136" s="301">
        <f>E109*Inputs!$H55</f>
        <v>6.0030000000000001</v>
      </c>
      <c r="F136" s="301">
        <f>F109*Inputs!$H55</f>
        <v>18.216000000000001</v>
      </c>
      <c r="G136" s="301">
        <f>G109*Inputs!$H55</f>
        <v>2.0700000000000003E-2</v>
      </c>
      <c r="H136" s="373">
        <f>H109*Inputs!$H55</f>
        <v>2.0700000000000003E-2</v>
      </c>
      <c r="I136" s="14">
        <f>I109*Inputs!$H55</f>
        <v>2.6748890146770728E-2</v>
      </c>
      <c r="J136" s="14">
        <f>J109*Inputs!$H55</f>
        <v>3.4350180043500954E-2</v>
      </c>
      <c r="K136" s="14">
        <f>K109*Inputs!$H55</f>
        <v>4.4322290850777261E-2</v>
      </c>
      <c r="L136" s="14">
        <f>L109*Inputs!$H55</f>
        <v>5.7073954387291154E-2</v>
      </c>
      <c r="M136" s="14">
        <f>M109*Inputs!$H55</f>
        <v>7.3490071307449042E-2</v>
      </c>
      <c r="N136" s="188">
        <f>N109*Inputs!$H55</f>
        <v>9.3650510644839605E-2</v>
      </c>
      <c r="O136" s="14">
        <f>O109*Inputs!$H55</f>
        <v>9.7191108055683068E-2</v>
      </c>
      <c r="P136" s="14">
        <f>P109*Inputs!$H55</f>
        <v>0.1012137956308522</v>
      </c>
      <c r="Q136" s="14">
        <f>Q109*Inputs!$H55</f>
        <v>0.10561892047744427</v>
      </c>
      <c r="R136" s="14">
        <f>R109*Inputs!$H55</f>
        <v>0.11089546445193615</v>
      </c>
      <c r="S136" s="14">
        <f>S109*Inputs!$H55</f>
        <v>0.11626437612697425</v>
      </c>
      <c r="T136" s="14">
        <f>T109*Inputs!$H55</f>
        <v>0.12191111119114997</v>
      </c>
      <c r="U136" s="14">
        <f>U109*Inputs!$H55</f>
        <v>0.12785735117407329</v>
      </c>
      <c r="V136" s="14">
        <f>V109*Inputs!$H55</f>
        <v>0.13406514745121886</v>
      </c>
      <c r="W136" s="14">
        <f>W109*Inputs!$H55</f>
        <v>0.13957455356746207</v>
      </c>
      <c r="X136" s="188">
        <f>X109*Inputs!$H55</f>
        <v>0.14500709412726348</v>
      </c>
      <c r="Y136" s="159">
        <f>Y109*Inputs!$H55</f>
        <v>0.14974360073195128</v>
      </c>
      <c r="Z136" s="159">
        <f>Z109*Inputs!$H55</f>
        <v>0.15472066202775364</v>
      </c>
      <c r="AA136" s="159">
        <f>AA109*Inputs!$H55</f>
        <v>0.15991908317460057</v>
      </c>
      <c r="AB136" s="159">
        <f>AB109*Inputs!$H55</f>
        <v>0.16531051795126256</v>
      </c>
      <c r="AC136" s="159">
        <f>AC109*Inputs!$H55</f>
        <v>0.17090559182253942</v>
      </c>
      <c r="AD136" s="159">
        <f>AD109*Inputs!$H55</f>
        <v>0.17677448145419092</v>
      </c>
      <c r="AE136" s="159">
        <f>AE109*Inputs!$H55</f>
        <v>0.18321570624828032</v>
      </c>
      <c r="AF136" s="159">
        <f>AF109*Inputs!$H55</f>
        <v>0.18964735451267598</v>
      </c>
      <c r="AG136" s="159">
        <f>AG109*Inputs!$H55</f>
        <v>0.19622032827878616</v>
      </c>
      <c r="AH136" s="188">
        <f>AH109*Inputs!$H55</f>
        <v>0.20289327621946723</v>
      </c>
    </row>
    <row r="137" spans="1:35">
      <c r="A137" s="9" t="s">
        <v>350</v>
      </c>
      <c r="B137" s="35">
        <v>1</v>
      </c>
      <c r="C137" s="301">
        <f>C110*Inputs!$H56</f>
        <v>2.1600000000000003E-5</v>
      </c>
      <c r="D137" s="301">
        <f>D110*Inputs!$H56</f>
        <v>2.8956353388178277E-5</v>
      </c>
      <c r="E137" s="301">
        <f>E110*Inputs!$H56</f>
        <v>3.3049515059894788E-5</v>
      </c>
      <c r="F137" s="301">
        <f>F110*Inputs!$H56</f>
        <v>4.2276678165724342E-5</v>
      </c>
      <c r="G137" s="301">
        <f>G110*Inputs!$H56</f>
        <v>5.2018482584775244E-5</v>
      </c>
      <c r="H137" s="373">
        <f>H110*Inputs!$H56</f>
        <v>2.1600000000000003E-5</v>
      </c>
      <c r="I137" s="14">
        <f>I110*Inputs!$H56</f>
        <v>2.791188537054337E-5</v>
      </c>
      <c r="J137" s="14">
        <f>J110*Inputs!$H56</f>
        <v>3.5843666132348821E-5</v>
      </c>
      <c r="K137" s="14">
        <f>K110*Inputs!$H56</f>
        <v>4.6249346974724096E-5</v>
      </c>
      <c r="L137" s="14">
        <f>L110*Inputs!$H56</f>
        <v>5.9555430664999446E-5</v>
      </c>
      <c r="M137" s="14">
        <f>M110*Inputs!$H56</f>
        <v>7.6685291799077253E-5</v>
      </c>
      <c r="N137" s="188">
        <f>N110*Inputs!$H56</f>
        <v>9.7722271977223929E-5</v>
      </c>
      <c r="O137" s="14">
        <f>O110*Inputs!$H56</f>
        <v>1.0141680840593015E-4</v>
      </c>
      <c r="P137" s="14">
        <f>P110*Inputs!$H56</f>
        <v>1.0561439544088926E-4</v>
      </c>
      <c r="Q137" s="14">
        <f>Q110*Inputs!$H56</f>
        <v>1.1021104745472448E-4</v>
      </c>
      <c r="R137" s="14">
        <f>R110*Inputs!$H56</f>
        <v>1.1571700638462904E-4</v>
      </c>
      <c r="S137" s="14">
        <f>S110*Inputs!$H56</f>
        <v>1.2131934900206012E-4</v>
      </c>
      <c r="T137" s="14">
        <f>T110*Inputs!$H56</f>
        <v>1.2721159428641737E-4</v>
      </c>
      <c r="U137" s="14">
        <f>U110*Inputs!$H56</f>
        <v>1.3341636644251126E-4</v>
      </c>
      <c r="V137" s="14">
        <f>V110*Inputs!$H56</f>
        <v>1.3989406690561972E-4</v>
      </c>
      <c r="W137" s="14">
        <f>W110*Inputs!$H56</f>
        <v>1.4564301241822136E-4</v>
      </c>
      <c r="X137" s="188">
        <f>X110*Inputs!$H56</f>
        <v>1.5131175039366626E-4</v>
      </c>
      <c r="Y137" s="159">
        <f>Y110*Inputs!$H56</f>
        <v>1.5625419206812308E-4</v>
      </c>
      <c r="Z137" s="159">
        <f>Z110*Inputs!$H56</f>
        <v>1.6144764733330819E-4</v>
      </c>
      <c r="AA137" s="159">
        <f>AA110*Inputs!$H56</f>
        <v>1.6687208679088758E-4</v>
      </c>
      <c r="AB137" s="159">
        <f>AB110*Inputs!$H56</f>
        <v>1.7249793177523051E-4</v>
      </c>
      <c r="AC137" s="159">
        <f>AC110*Inputs!$H56</f>
        <v>1.7833626972786723E-4</v>
      </c>
      <c r="AD137" s="159">
        <f>AD110*Inputs!$H56</f>
        <v>1.8446032847393838E-4</v>
      </c>
      <c r="AE137" s="159">
        <f>AE110*Inputs!$H56</f>
        <v>1.9118160651994474E-4</v>
      </c>
      <c r="AF137" s="159">
        <f>AF110*Inputs!$H56</f>
        <v>1.9789289166540102E-4</v>
      </c>
      <c r="AG137" s="159">
        <f>AG110*Inputs!$H56</f>
        <v>2.0475164689960301E-4</v>
      </c>
      <c r="AH137" s="188">
        <f>AH110*Inputs!$H56</f>
        <v>2.11714723011618E-4</v>
      </c>
    </row>
    <row r="138" spans="1:35">
      <c r="A138" s="10" t="s">
        <v>126</v>
      </c>
      <c r="B138" s="35">
        <v>1</v>
      </c>
      <c r="C138" s="301">
        <f>C111*Inputs!$H56</f>
        <v>0</v>
      </c>
      <c r="D138" s="301">
        <f>D111*Inputs!$H56</f>
        <v>0</v>
      </c>
      <c r="E138" s="301">
        <f>E111*Inputs!$H56</f>
        <v>0</v>
      </c>
      <c r="F138" s="301">
        <f>F111*Inputs!$H56</f>
        <v>0</v>
      </c>
      <c r="G138" s="301">
        <f>G111*Inputs!$H56</f>
        <v>0</v>
      </c>
      <c r="H138" s="373">
        <f>H111*Inputs!$H56</f>
        <v>0</v>
      </c>
      <c r="I138" s="14">
        <f>I111*Inputs!$H56</f>
        <v>0</v>
      </c>
      <c r="J138" s="14">
        <f>J111*Inputs!$H56</f>
        <v>0</v>
      </c>
      <c r="K138" s="14">
        <f>K111*Inputs!$H56</f>
        <v>0</v>
      </c>
      <c r="L138" s="14">
        <f>L111*Inputs!$H56</f>
        <v>0</v>
      </c>
      <c r="M138" s="14">
        <f>M111*Inputs!$H56</f>
        <v>0</v>
      </c>
      <c r="N138" s="183">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8">
        <f>X111*Inputs!$H56</f>
        <v>0</v>
      </c>
      <c r="Y138" s="159">
        <f>Y111*Inputs!$H56</f>
        <v>0</v>
      </c>
      <c r="Z138" s="159">
        <f>Z111*Inputs!$H56</f>
        <v>0</v>
      </c>
      <c r="AA138" s="159">
        <f>AA111*Inputs!$H56</f>
        <v>0</v>
      </c>
      <c r="AB138" s="159">
        <f>AB111*Inputs!$H56</f>
        <v>0</v>
      </c>
      <c r="AC138" s="159">
        <f>AC111*Inputs!$H56</f>
        <v>0</v>
      </c>
      <c r="AD138" s="159">
        <f>AD111*Inputs!$H56</f>
        <v>0</v>
      </c>
      <c r="AE138" s="159">
        <f>AE111*Inputs!$H56</f>
        <v>0</v>
      </c>
      <c r="AF138" s="159">
        <f>AF111*Inputs!$H56</f>
        <v>0</v>
      </c>
      <c r="AG138" s="159">
        <f>AG111*Inputs!$H56</f>
        <v>0</v>
      </c>
      <c r="AH138" s="188">
        <f>AH111*Inputs!$H56</f>
        <v>0</v>
      </c>
    </row>
    <row r="139" spans="1:35">
      <c r="A139" s="10" t="s">
        <v>55</v>
      </c>
      <c r="B139" s="35">
        <v>1</v>
      </c>
      <c r="C139" s="301">
        <f>C112*Inputs!$H57</f>
        <v>1.5300000000000001E-2</v>
      </c>
      <c r="D139" s="301">
        <f>D112*Inputs!$H57</f>
        <v>2.0510750316626282E-2</v>
      </c>
      <c r="E139" s="301">
        <f>E112*Inputs!$H57</f>
        <v>2.3410073167425476E-2</v>
      </c>
      <c r="F139" s="301">
        <f>F112*Inputs!$H57</f>
        <v>2.9945980367388072E-2</v>
      </c>
      <c r="G139" s="301">
        <f>G112*Inputs!$H57</f>
        <v>3.6846425164215803E-2</v>
      </c>
      <c r="H139" s="373">
        <f>H112*Inputs!$H57</f>
        <v>7.6500000000000005E-4</v>
      </c>
      <c r="I139" s="14">
        <f>I112*Inputs!$H57</f>
        <v>9.8854594020674424E-4</v>
      </c>
      <c r="J139" s="14">
        <f>J112*Inputs!$H57</f>
        <v>1.2694631755206874E-3</v>
      </c>
      <c r="K139" s="14">
        <f>K112*Inputs!$H57</f>
        <v>1.6379977053548119E-3</v>
      </c>
      <c r="L139" s="14">
        <f>L112*Inputs!$H57</f>
        <v>2.109254836052064E-3</v>
      </c>
      <c r="M139" s="14">
        <f>M112*Inputs!$H57</f>
        <v>2.715937417883986E-3</v>
      </c>
      <c r="N139" s="183">
        <f>N112*Inputs!$H57</f>
        <v>3.4609971325266805E-3</v>
      </c>
      <c r="O139" s="14">
        <f>O112*Inputs!$H57</f>
        <v>3.5918452977100257E-3</v>
      </c>
      <c r="P139" s="14">
        <f>P112*Inputs!$H57</f>
        <v>3.7405098385314937E-3</v>
      </c>
      <c r="Q139" s="14">
        <f>Q112*Inputs!$H57</f>
        <v>3.9033079306881576E-3</v>
      </c>
      <c r="R139" s="14">
        <f>R112*Inputs!$H57</f>
        <v>4.0983106427889444E-3</v>
      </c>
      <c r="S139" s="14">
        <f>S112*Inputs!$H57</f>
        <v>4.2967269438229606E-3</v>
      </c>
      <c r="T139" s="14">
        <f>T112*Inputs!$H57</f>
        <v>4.5054106309772805E-3</v>
      </c>
      <c r="U139" s="14">
        <f>U112*Inputs!$H57</f>
        <v>4.7251629781722721E-3</v>
      </c>
      <c r="V139" s="14">
        <f>V112*Inputs!$H57</f>
        <v>4.9545815362406964E-3</v>
      </c>
      <c r="W139" s="14">
        <f>W112*Inputs!$H57</f>
        <v>5.1581900231453372E-3</v>
      </c>
      <c r="X139" s="188">
        <f>X112*Inputs!$H57</f>
        <v>5.358957826442347E-3</v>
      </c>
      <c r="Y139" s="159">
        <f>Y112*Inputs!$H57</f>
        <v>5.5340026357460249E-3</v>
      </c>
      <c r="Z139" s="159">
        <f>Z112*Inputs!$H57</f>
        <v>5.7179375097213322E-3</v>
      </c>
      <c r="AA139" s="159">
        <f>AA112*Inputs!$H57</f>
        <v>5.9100530738439364E-3</v>
      </c>
      <c r="AB139" s="159">
        <f>AB112*Inputs!$H57</f>
        <v>6.1093017503727467E-3</v>
      </c>
      <c r="AC139" s="159">
        <f>AC112*Inputs!$H57</f>
        <v>6.3160762195286308E-3</v>
      </c>
      <c r="AD139" s="159">
        <f>AD112*Inputs!$H57</f>
        <v>6.8850000000000014E-3</v>
      </c>
      <c r="AE139" s="159">
        <f>AE112*Inputs!$H57</f>
        <v>1.1016000000000003E-2</v>
      </c>
      <c r="AF139" s="159">
        <f>AF112*Inputs!$H57</f>
        <v>1.8207000000000001E-2</v>
      </c>
      <c r="AG139" s="159">
        <f>AG112*Inputs!$H57</f>
        <v>3.1059000000000007E-2</v>
      </c>
      <c r="AH139" s="188">
        <f>AH112*Inputs!$H57</f>
        <v>7.4982297733281389E-3</v>
      </c>
      <c r="AI139" s="31">
        <f>SUM(C139:X139)</f>
        <v>0.18329342887172015</v>
      </c>
    </row>
    <row r="140" spans="1:35">
      <c r="A140" s="10" t="s">
        <v>390</v>
      </c>
      <c r="C140" s="301">
        <f t="shared" ref="C140:AH140" si="87">SUM(C127:C139)</f>
        <v>4415.6718080999999</v>
      </c>
      <c r="D140" s="301">
        <f t="shared" si="87"/>
        <v>4838.1430798356405</v>
      </c>
      <c r="E140" s="301">
        <f t="shared" si="87"/>
        <v>4695.4480928990197</v>
      </c>
      <c r="F140" s="301">
        <f t="shared" si="87"/>
        <v>5131.4139768298483</v>
      </c>
      <c r="G140" s="301">
        <f t="shared" si="87"/>
        <v>5456.232007465951</v>
      </c>
      <c r="H140" s="373">
        <f t="shared" si="87"/>
        <v>4305.2417091000007</v>
      </c>
      <c r="I140" s="14">
        <f t="shared" si="87"/>
        <v>4788.4558347075163</v>
      </c>
      <c r="J140" s="14">
        <f t="shared" si="87"/>
        <v>5403.8243204595219</v>
      </c>
      <c r="K140" s="14">
        <f t="shared" si="87"/>
        <v>6267.6180267748132</v>
      </c>
      <c r="L140" s="14">
        <f t="shared" si="87"/>
        <v>7428.410317165678</v>
      </c>
      <c r="M140" s="14">
        <f t="shared" si="87"/>
        <v>9014.5777170003148</v>
      </c>
      <c r="N140" s="183">
        <f t="shared" si="87"/>
        <v>11075.116212486157</v>
      </c>
      <c r="O140" s="14">
        <f t="shared" si="87"/>
        <v>11383.607672281758</v>
      </c>
      <c r="P140" s="14">
        <f t="shared" si="87"/>
        <v>11743.74141695742</v>
      </c>
      <c r="Q140" s="14">
        <f t="shared" si="87"/>
        <v>12142.795685518029</v>
      </c>
      <c r="R140" s="14">
        <f t="shared" si="87"/>
        <v>12635.615547904707</v>
      </c>
      <c r="S140" s="14">
        <f t="shared" si="87"/>
        <v>13131.944106931096</v>
      </c>
      <c r="T140" s="14">
        <f t="shared" si="87"/>
        <v>13652.685198713893</v>
      </c>
      <c r="U140" s="14">
        <f t="shared" si="87"/>
        <v>14199.863949449336</v>
      </c>
      <c r="V140" s="14">
        <f t="shared" si="87"/>
        <v>14768.891329631902</v>
      </c>
      <c r="W140" s="14">
        <f t="shared" si="87"/>
        <v>15254.576472230237</v>
      </c>
      <c r="X140" s="188">
        <f t="shared" si="87"/>
        <v>15726.496059352379</v>
      </c>
      <c r="Y140" s="159">
        <f t="shared" si="87"/>
        <v>16439.269073872449</v>
      </c>
      <c r="Z140" s="159">
        <f t="shared" si="87"/>
        <v>17180.474420522132</v>
      </c>
      <c r="AA140" s="159">
        <f t="shared" si="87"/>
        <v>17948.208782229191</v>
      </c>
      <c r="AB140" s="159">
        <f t="shared" si="87"/>
        <v>18739.384842185402</v>
      </c>
      <c r="AC140" s="159">
        <f t="shared" si="87"/>
        <v>19555.205258668124</v>
      </c>
      <c r="AD140" s="159">
        <f t="shared" si="87"/>
        <v>20403.75429926681</v>
      </c>
      <c r="AE140" s="159">
        <f t="shared" si="87"/>
        <v>21319.91891395233</v>
      </c>
      <c r="AF140" s="159">
        <f t="shared" si="87"/>
        <v>22236.35184625414</v>
      </c>
      <c r="AG140" s="159">
        <f t="shared" si="87"/>
        <v>23170.155642936985</v>
      </c>
      <c r="AH140" s="188">
        <f t="shared" si="87"/>
        <v>24116.049745156146</v>
      </c>
      <c r="AI140" s="48" t="s">
        <v>0</v>
      </c>
    </row>
    <row r="141" spans="1:35">
      <c r="A141" s="10" t="s">
        <v>393</v>
      </c>
      <c r="C141" s="301">
        <f>SUM(C128:C130)</f>
        <v>3696.9479865000003</v>
      </c>
      <c r="D141" s="301">
        <f t="shared" ref="D141:AH141" si="88">SUM(D128:D130)</f>
        <v>3850.5531982568286</v>
      </c>
      <c r="E141" s="301">
        <f t="shared" si="88"/>
        <v>3414.2660772294771</v>
      </c>
      <c r="F141" s="301">
        <f t="shared" si="88"/>
        <v>3392.7260872624875</v>
      </c>
      <c r="G141" s="301">
        <f t="shared" si="88"/>
        <v>3242.5243683335825</v>
      </c>
      <c r="H141" s="373">
        <f t="shared" si="88"/>
        <v>3045.1644675000007</v>
      </c>
      <c r="I141" s="14">
        <f t="shared" si="88"/>
        <v>3080.4848255660672</v>
      </c>
      <c r="J141" s="14">
        <f t="shared" si="88"/>
        <v>3096.8069254422635</v>
      </c>
      <c r="K141" s="14">
        <f t="shared" si="88"/>
        <v>3128.0812101341735</v>
      </c>
      <c r="L141" s="14">
        <f t="shared" si="88"/>
        <v>3153.2862141825676</v>
      </c>
      <c r="M141" s="14">
        <f t="shared" si="88"/>
        <v>3178.5028221647149</v>
      </c>
      <c r="N141" s="188">
        <f t="shared" si="88"/>
        <v>3170.8192005000005</v>
      </c>
      <c r="O141" s="14">
        <f t="shared" si="88"/>
        <v>3180.4769076286243</v>
      </c>
      <c r="P141" s="14">
        <f t="shared" si="88"/>
        <v>3201.0874915481386</v>
      </c>
      <c r="Q141" s="14">
        <f t="shared" si="88"/>
        <v>3228.3401017665656</v>
      </c>
      <c r="R141" s="14">
        <f t="shared" si="88"/>
        <v>3275.8087270482915</v>
      </c>
      <c r="S141" s="14">
        <f t="shared" si="88"/>
        <v>3318.9900237862626</v>
      </c>
      <c r="T141" s="14">
        <f t="shared" si="88"/>
        <v>3363.1349839739032</v>
      </c>
      <c r="U141" s="14">
        <f t="shared" si="88"/>
        <v>3408.4387678144076</v>
      </c>
      <c r="V141" s="14">
        <f t="shared" si="88"/>
        <v>3453.5152882889302</v>
      </c>
      <c r="W141" s="14">
        <f t="shared" si="88"/>
        <v>3474.1951468521265</v>
      </c>
      <c r="X141" s="188">
        <f t="shared" si="88"/>
        <v>3487.597062061313</v>
      </c>
      <c r="Y141" s="159">
        <f t="shared" si="88"/>
        <v>3800.5991116939672</v>
      </c>
      <c r="Z141" s="159">
        <f t="shared" si="88"/>
        <v>4121.7301794315335</v>
      </c>
      <c r="AA141" s="159">
        <f t="shared" si="88"/>
        <v>4450.7070324486795</v>
      </c>
      <c r="AB141" s="159">
        <f t="shared" si="88"/>
        <v>4786.834833702891</v>
      </c>
      <c r="AC141" s="159">
        <f t="shared" si="88"/>
        <v>5130.4194302412343</v>
      </c>
      <c r="AD141" s="159">
        <f t="shared" si="88"/>
        <v>5483.6216817245941</v>
      </c>
      <c r="AE141" s="159">
        <f t="shared" si="88"/>
        <v>5856.1296935781593</v>
      </c>
      <c r="AF141" s="159">
        <f t="shared" si="88"/>
        <v>6229.7112416295031</v>
      </c>
      <c r="AG141" s="159">
        <f t="shared" si="88"/>
        <v>6608.7298333102635</v>
      </c>
      <c r="AH141" s="188">
        <f t="shared" si="88"/>
        <v>6991.437119651081</v>
      </c>
      <c r="AI141" s="48"/>
    </row>
    <row r="142" spans="1:35">
      <c r="A142" s="10" t="s">
        <v>392</v>
      </c>
      <c r="C142" s="300">
        <f t="shared" ref="C142:AH142" si="89">SUMPRODUCT($B131:$B139,C131:C139)</f>
        <v>718.72382159999995</v>
      </c>
      <c r="D142" s="300">
        <f t="shared" si="89"/>
        <v>987.5898815788114</v>
      </c>
      <c r="E142" s="300">
        <f t="shared" si="89"/>
        <v>1281.1820156695421</v>
      </c>
      <c r="F142" s="300">
        <f t="shared" si="89"/>
        <v>1738.6878895673603</v>
      </c>
      <c r="G142" s="300">
        <f t="shared" si="89"/>
        <v>2213.7076391323694</v>
      </c>
      <c r="H142" s="252">
        <f t="shared" si="89"/>
        <v>1260.0772416000002</v>
      </c>
      <c r="I142" s="40">
        <f t="shared" si="89"/>
        <v>1707.9710091414493</v>
      </c>
      <c r="J142" s="40">
        <f t="shared" si="89"/>
        <v>2307.0173950172584</v>
      </c>
      <c r="K142" s="40">
        <f t="shared" si="89"/>
        <v>3139.5368166406397</v>
      </c>
      <c r="L142" s="40">
        <f t="shared" si="89"/>
        <v>4275.1241029831099</v>
      </c>
      <c r="M142" s="40">
        <f t="shared" si="89"/>
        <v>5836.0748948356013</v>
      </c>
      <c r="N142" s="178">
        <f t="shared" si="89"/>
        <v>7904.2970119861548</v>
      </c>
      <c r="O142" s="40">
        <f t="shared" si="89"/>
        <v>8203.1307646531332</v>
      </c>
      <c r="P142" s="40">
        <f t="shared" si="89"/>
        <v>8542.6539254092822</v>
      </c>
      <c r="Q142" s="40">
        <f t="shared" si="89"/>
        <v>8914.4555837514636</v>
      </c>
      <c r="R142" s="40">
        <f t="shared" si="89"/>
        <v>9359.8068208564146</v>
      </c>
      <c r="S142" s="40">
        <f t="shared" si="89"/>
        <v>9812.9540831448339</v>
      </c>
      <c r="T142" s="40">
        <f t="shared" si="89"/>
        <v>10289.550214739989</v>
      </c>
      <c r="U142" s="40">
        <f t="shared" si="89"/>
        <v>10791.42518163493</v>
      </c>
      <c r="V142" s="40">
        <f t="shared" si="89"/>
        <v>11315.376041342972</v>
      </c>
      <c r="W142" s="40">
        <f t="shared" si="89"/>
        <v>11780.381325378112</v>
      </c>
      <c r="X142" s="185">
        <f t="shared" si="89"/>
        <v>12238.898997291068</v>
      </c>
      <c r="Y142" s="237">
        <f t="shared" si="89"/>
        <v>12638.669962178481</v>
      </c>
      <c r="Z142" s="237">
        <f t="shared" si="89"/>
        <v>13058.744241090599</v>
      </c>
      <c r="AA142" s="237">
        <f t="shared" si="89"/>
        <v>13497.501749780515</v>
      </c>
      <c r="AB142" s="237">
        <f t="shared" si="89"/>
        <v>13952.550008482511</v>
      </c>
      <c r="AC142" s="237">
        <f t="shared" si="89"/>
        <v>14424.78582842689</v>
      </c>
      <c r="AD142" s="237">
        <f t="shared" si="89"/>
        <v>14920.132617542216</v>
      </c>
      <c r="AE142" s="237">
        <f t="shared" si="89"/>
        <v>15463.78922037417</v>
      </c>
      <c r="AF142" s="237">
        <f t="shared" si="89"/>
        <v>16006.640604624634</v>
      </c>
      <c r="AG142" s="237">
        <f t="shared" si="89"/>
        <v>16561.425809626726</v>
      </c>
      <c r="AH142" s="185">
        <f t="shared" si="89"/>
        <v>17124.612625505066</v>
      </c>
    </row>
    <row r="143" spans="1:35">
      <c r="A143" s="10" t="s">
        <v>148</v>
      </c>
      <c r="C143" s="301">
        <f>C116*Inputs!$H$60</f>
        <v>11942.870939999997</v>
      </c>
      <c r="D143" s="301">
        <f>D116*Inputs!$H$60</f>
        <v>5682.6168053976262</v>
      </c>
      <c r="E143" s="301">
        <f>E116*Inputs!$H$60</f>
        <v>4356.0754782274244</v>
      </c>
      <c r="F143" s="301">
        <f>F116*Inputs!$H$60</f>
        <v>3691.7871632246743</v>
      </c>
      <c r="G143" s="301">
        <f>G116*Inputs!$H$60</f>
        <v>4544.3700122492401</v>
      </c>
      <c r="H143" s="373">
        <f>H116*Inputs!$H$60</f>
        <v>4796.1804046233219</v>
      </c>
      <c r="I143" s="14">
        <f>I116*Inputs!$H$60</f>
        <v>4822.1541994417103</v>
      </c>
      <c r="J143" s="14">
        <f>J116*Inputs!$H$60</f>
        <v>3807.8696258260534</v>
      </c>
      <c r="K143" s="14">
        <f>K116*Inputs!$H$60</f>
        <v>3788.2437003974746</v>
      </c>
      <c r="L143" s="14">
        <f>L116*Inputs!$H$60</f>
        <v>3716.5030927165062</v>
      </c>
      <c r="M143" s="14">
        <f>M116*Inputs!$H$60</f>
        <v>3616.2690187232893</v>
      </c>
      <c r="N143" s="183">
        <f>N116*Inputs!$H$60</f>
        <v>3467.36522568084</v>
      </c>
      <c r="O143" s="14">
        <f>O116*Inputs!$H$60</f>
        <v>3466.6784550973407</v>
      </c>
      <c r="P143" s="14">
        <f>P116*Inputs!$H$60</f>
        <v>3460.82672286249</v>
      </c>
      <c r="Q143" s="14">
        <f>Q116*Inputs!$H$60</f>
        <v>3452.3213370281651</v>
      </c>
      <c r="R143" s="14">
        <f>R116*Inputs!$H$60</f>
        <v>3442.3674102406007</v>
      </c>
      <c r="S143" s="14">
        <f>S116*Inputs!$H$60</f>
        <v>3281.3500040766598</v>
      </c>
      <c r="T143" s="14">
        <f>T116*Inputs!$H$60</f>
        <v>3243.7511749138603</v>
      </c>
      <c r="U143" s="14">
        <f>U116*Inputs!$H$60</f>
        <v>3213.0422305375573</v>
      </c>
      <c r="V143" s="14">
        <f>V116*Inputs!$H$60</f>
        <v>3195.3670444935142</v>
      </c>
      <c r="W143" s="14">
        <f>W116*Inputs!$H$60</f>
        <v>3186.5708819971551</v>
      </c>
      <c r="X143" s="188">
        <f>X116*Inputs!$H$60</f>
        <v>3163.5093568375455</v>
      </c>
      <c r="Y143" s="159">
        <f>Y116*Inputs!$H$60</f>
        <v>3121.5368665653255</v>
      </c>
      <c r="Z143" s="159">
        <f>Z116*Inputs!$H$60</f>
        <v>3061.6207883637348</v>
      </c>
      <c r="AA143" s="159">
        <f>AA116*Inputs!$H$60</f>
        <v>3005.7483084120749</v>
      </c>
      <c r="AB143" s="159">
        <f>AB116*Inputs!$H$60</f>
        <v>2951.5649597456409</v>
      </c>
      <c r="AC143" s="159">
        <f>AC116*Inputs!$H$60</f>
        <v>2896.3173824901287</v>
      </c>
      <c r="AD143" s="159">
        <f>AD116*Inputs!$H$60</f>
        <v>2865.7583543062915</v>
      </c>
      <c r="AE143" s="159">
        <f>AE116*Inputs!$H$60</f>
        <v>2854.7403649499711</v>
      </c>
      <c r="AF143" s="159">
        <f>AF116*Inputs!$H$60</f>
        <v>2841.4410175917801</v>
      </c>
      <c r="AG143" s="159">
        <f>AG116*Inputs!$H$60</f>
        <v>2830.6673870318236</v>
      </c>
      <c r="AH143" s="188">
        <f>AH116*Inputs!$H$60</f>
        <v>2817.2931085763371</v>
      </c>
      <c r="AI143" s="48"/>
    </row>
    <row r="144" spans="1:35">
      <c r="A144" s="10" t="s">
        <v>228</v>
      </c>
      <c r="C144" s="301">
        <f>C117*Inputs!$H$61</f>
        <v>5118.3732600000003</v>
      </c>
      <c r="D144" s="301">
        <f>D117*Inputs!$H$61</f>
        <v>12203.912218400223</v>
      </c>
      <c r="E144" s="301">
        <f>E117*Inputs!$H$61</f>
        <v>12237.745462343517</v>
      </c>
      <c r="F144" s="301">
        <f>F117*Inputs!$H$61</f>
        <v>12942.528030106889</v>
      </c>
      <c r="G144" s="301">
        <f>G117*Inputs!$H$61</f>
        <v>11358.107366101402</v>
      </c>
      <c r="H144" s="373">
        <f>H117*Inputs!$H$61</f>
        <v>11764.78848137668</v>
      </c>
      <c r="I144" s="14">
        <f>I117*Inputs!$H$61</f>
        <v>11782.87523914542</v>
      </c>
      <c r="J144" s="14">
        <f>J117*Inputs!$H$61</f>
        <v>12679.076985413794</v>
      </c>
      <c r="K144" s="14">
        <f>K117*Inputs!$H$61</f>
        <v>12574.717426535808</v>
      </c>
      <c r="L144" s="14">
        <f>L117*Inputs!$H$61</f>
        <v>12389.338645051395</v>
      </c>
      <c r="M144" s="14">
        <f>M117*Inputs!$H$61</f>
        <v>12087.964347750238</v>
      </c>
      <c r="N144" s="183">
        <f>N117*Inputs!$H$61</f>
        <v>11484.76665416916</v>
      </c>
      <c r="O144" s="14">
        <f>O117*Inputs!$H$61</f>
        <v>11533.169178739621</v>
      </c>
      <c r="P144" s="14">
        <f>P117*Inputs!$H$61</f>
        <v>11635.803208063977</v>
      </c>
      <c r="Q144" s="14">
        <f>Q117*Inputs!$H$61</f>
        <v>11762.64425131952</v>
      </c>
      <c r="R144" s="14">
        <f>R117*Inputs!$H$61</f>
        <v>11985.767242934517</v>
      </c>
      <c r="S144" s="14">
        <f>S117*Inputs!$H$61</f>
        <v>12343.213575915168</v>
      </c>
      <c r="T144" s="14">
        <f>T117*Inputs!$H$61</f>
        <v>12579.686182056716</v>
      </c>
      <c r="U144" s="14">
        <f>U117*Inputs!$H$61</f>
        <v>12809.155032907736</v>
      </c>
      <c r="V144" s="14">
        <f>V117*Inputs!$H$61</f>
        <v>13020.001637630798</v>
      </c>
      <c r="W144" s="14">
        <f>W117*Inputs!$H$61</f>
        <v>13103.183576985699</v>
      </c>
      <c r="X144" s="188">
        <f>X117*Inputs!$H$61</f>
        <v>13160.863854462459</v>
      </c>
      <c r="Y144" s="159">
        <f>Y117*Inputs!$H$61</f>
        <v>13036.84945733829</v>
      </c>
      <c r="Z144" s="159">
        <f>Z117*Inputs!$H$61</f>
        <v>12932.813112649297</v>
      </c>
      <c r="AA144" s="159">
        <f>AA117*Inputs!$H$61</f>
        <v>12822.006941433152</v>
      </c>
      <c r="AB144" s="159">
        <f>AB117*Inputs!$H$61</f>
        <v>12703.137795450431</v>
      </c>
      <c r="AC144" s="159">
        <f>AC117*Inputs!$H$61</f>
        <v>12578.680703809132</v>
      </c>
      <c r="AD144" s="159">
        <f>AD117*Inputs!$H$61</f>
        <v>12427.98035452954</v>
      </c>
      <c r="AE144" s="159">
        <f>AE117*Inputs!$H$61</f>
        <v>12279.572689995186</v>
      </c>
      <c r="AF144" s="159">
        <f>AF117*Inputs!$H$61</f>
        <v>12104.137251814476</v>
      </c>
      <c r="AG144" s="159">
        <f>AG117*Inputs!$H$61</f>
        <v>11909.627999006363</v>
      </c>
      <c r="AH144" s="188">
        <f>AH117*Inputs!$H$61</f>
        <v>11698.310468073661</v>
      </c>
      <c r="AI144" s="48"/>
    </row>
    <row r="145" spans="1:35">
      <c r="A145" s="10" t="s">
        <v>60</v>
      </c>
      <c r="C145" s="301">
        <f>SUM(C140,C143,C144)</f>
        <v>21476.916008099997</v>
      </c>
      <c r="D145" s="301">
        <f>SUM(D140,D143,D144)</f>
        <v>22724.672103633489</v>
      </c>
      <c r="E145" s="301">
        <f t="shared" ref="E145:AH145" si="90">SUM(E140,E143,E144)</f>
        <v>21289.269033469958</v>
      </c>
      <c r="F145" s="301">
        <f t="shared" si="90"/>
        <v>21765.729170161412</v>
      </c>
      <c r="G145" s="301">
        <f t="shared" si="90"/>
        <v>21358.709385816594</v>
      </c>
      <c r="H145" s="373">
        <f t="shared" si="90"/>
        <v>20866.210595100001</v>
      </c>
      <c r="I145" s="14">
        <f t="shared" si="90"/>
        <v>21393.485273294646</v>
      </c>
      <c r="J145" s="14">
        <f t="shared" si="90"/>
        <v>21890.770931699371</v>
      </c>
      <c r="K145" s="14">
        <f t="shared" si="90"/>
        <v>22630.579153708095</v>
      </c>
      <c r="L145" s="14">
        <f t="shared" si="90"/>
        <v>23534.252054933582</v>
      </c>
      <c r="M145" s="14">
        <f t="shared" si="90"/>
        <v>24718.81108347384</v>
      </c>
      <c r="N145" s="188">
        <f t="shared" si="90"/>
        <v>26027.248092336158</v>
      </c>
      <c r="O145" s="14">
        <f t="shared" si="90"/>
        <v>26383.455306118718</v>
      </c>
      <c r="P145" s="14">
        <f t="shared" si="90"/>
        <v>26840.371347883887</v>
      </c>
      <c r="Q145" s="14">
        <f t="shared" si="90"/>
        <v>27357.761273865712</v>
      </c>
      <c r="R145" s="14">
        <f t="shared" si="90"/>
        <v>28063.750201079823</v>
      </c>
      <c r="S145" s="14">
        <f t="shared" si="90"/>
        <v>28756.507686922923</v>
      </c>
      <c r="T145" s="14">
        <f t="shared" si="90"/>
        <v>29476.122555684466</v>
      </c>
      <c r="U145" s="14">
        <f t="shared" si="90"/>
        <v>30222.06121289463</v>
      </c>
      <c r="V145" s="14">
        <f t="shared" si="90"/>
        <v>30984.260011756214</v>
      </c>
      <c r="W145" s="14">
        <f t="shared" si="90"/>
        <v>31544.330931213091</v>
      </c>
      <c r="X145" s="188">
        <f t="shared" si="90"/>
        <v>32050.869270652383</v>
      </c>
      <c r="Y145" s="159">
        <f t="shared" si="90"/>
        <v>32597.655397776063</v>
      </c>
      <c r="Z145" s="159">
        <f t="shared" si="90"/>
        <v>33174.908321535164</v>
      </c>
      <c r="AA145" s="159">
        <f t="shared" si="90"/>
        <v>33775.964032074422</v>
      </c>
      <c r="AB145" s="159">
        <f t="shared" si="90"/>
        <v>34394.087597381469</v>
      </c>
      <c r="AC145" s="159">
        <f t="shared" si="90"/>
        <v>35030.203344967384</v>
      </c>
      <c r="AD145" s="159">
        <f t="shared" si="90"/>
        <v>35697.49300810264</v>
      </c>
      <c r="AE145" s="159">
        <f t="shared" si="90"/>
        <v>36454.231968897489</v>
      </c>
      <c r="AF145" s="159">
        <f t="shared" si="90"/>
        <v>37181.930115660398</v>
      </c>
      <c r="AG145" s="159">
        <f t="shared" si="90"/>
        <v>37910.451028975171</v>
      </c>
      <c r="AH145" s="188">
        <f t="shared" si="90"/>
        <v>38631.653321806145</v>
      </c>
      <c r="AI145" s="48"/>
    </row>
    <row r="146" spans="1:35" s="1" customFormat="1">
      <c r="A146" s="1" t="s">
        <v>341</v>
      </c>
      <c r="B146" s="13"/>
      <c r="C146" s="311">
        <f>C145-'Output - Jobs vs Yr (BAU)'!C73</f>
        <v>1.0691972999957216</v>
      </c>
      <c r="D146" s="311">
        <f>D145-'Output - Jobs vs Yr (BAU)'!D73</f>
        <v>286.99529283349329</v>
      </c>
      <c r="E146" s="311">
        <f>E145-'Output - Jobs vs Yr (BAU)'!E73</f>
        <v>226.91244466995704</v>
      </c>
      <c r="F146" s="311">
        <f>F145-'Output - Jobs vs Yr (BAU)'!F73</f>
        <v>483.47343036140956</v>
      </c>
      <c r="G146" s="311">
        <f>G145-'Output - Jobs vs Yr (BAU)'!G73</f>
        <v>391.5289670165912</v>
      </c>
      <c r="H146" s="376">
        <f>H145-'Output - Jobs vs Yr (BAU)'!H73</f>
        <v>-187.40096370000174</v>
      </c>
      <c r="I146" s="15">
        <f>I145-'Output - Jobs vs Yr (BAU)'!I73</f>
        <v>-130.18338850535656</v>
      </c>
      <c r="J146" s="15">
        <f>J145-'Output - Jobs vs Yr (BAU)'!J73</f>
        <v>8.2171358993691683</v>
      </c>
      <c r="K146" s="15">
        <f>K145-'Output - Jobs vs Yr (BAU)'!K73</f>
        <v>527.53459190809372</v>
      </c>
      <c r="L146" s="15">
        <f>L145-'Output - Jobs vs Yr (BAU)'!L73</f>
        <v>1224.3327101335817</v>
      </c>
      <c r="M146" s="15">
        <f>M145-'Output - Jobs vs Yr (BAU)'!M73</f>
        <v>2199.9495476738375</v>
      </c>
      <c r="N146" s="183">
        <f>N145-'Output - Jobs vs Yr (BAU)'!N73</f>
        <v>3502.1712735361543</v>
      </c>
      <c r="O146" s="15">
        <f>O145-'Output - Jobs vs Yr (BAU)'!O73</f>
        <v>3660.1198273187183</v>
      </c>
      <c r="P146" s="15">
        <f>P145-'Output - Jobs vs Yr (BAU)'!P73</f>
        <v>3842.1070820838831</v>
      </c>
      <c r="Q146" s="15">
        <f>Q145-'Output - Jobs vs Yr (BAU)'!Q73</f>
        <v>4041.1326820657123</v>
      </c>
      <c r="R146" s="15">
        <f>R145-'Output - Jobs vs Yr (BAU)'!R73</f>
        <v>4295.0072662798193</v>
      </c>
      <c r="S146" s="15">
        <f>S145-'Output - Jobs vs Yr (BAU)'!S73</f>
        <v>4357.9602141229188</v>
      </c>
      <c r="T146" s="15">
        <f>T145-'Output - Jobs vs Yr (BAU)'!T73</f>
        <v>4614.4335348844616</v>
      </c>
      <c r="U146" s="15">
        <f>U145-'Output - Jobs vs Yr (BAU)'!U73</f>
        <v>4887.5394170946311</v>
      </c>
      <c r="V146" s="15">
        <f>V145-'Output - Jobs vs Yr (BAU)'!V73</f>
        <v>5134.6949729562148</v>
      </c>
      <c r="W146" s="15">
        <f>W145-'Output - Jobs vs Yr (BAU)'!W73</f>
        <v>5302.7404004130913</v>
      </c>
      <c r="X146" s="191">
        <f>X145-'Output - Jobs vs Yr (BAU)'!X73</f>
        <v>5482.9686018523826</v>
      </c>
      <c r="Y146" s="131">
        <f>Y145-'Output - Jobs vs Yr (BAU)'!Y73</f>
        <v>5677.4382899760603</v>
      </c>
      <c r="Z146" s="131">
        <f>Z145-'Output - Jobs vs Yr (BAU)'!Z73</f>
        <v>5930.5076947351627</v>
      </c>
      <c r="AA146" s="131">
        <f>AA145-'Output - Jobs vs Yr (BAU)'!AA73</f>
        <v>6135.6645022744196</v>
      </c>
      <c r="AB146" s="131">
        <f>AB145-'Output - Jobs vs Yr (BAU)'!AB73</f>
        <v>6300.8804015814676</v>
      </c>
      <c r="AC146" s="131">
        <f>AC145-'Output - Jobs vs Yr (BAU)'!AC73</f>
        <v>6477.1642161673844</v>
      </c>
      <c r="AD146" s="131">
        <f>AD145-'Output - Jobs vs Yr (BAU)'!AD73</f>
        <v>6661.252852302634</v>
      </c>
      <c r="AE146" s="131">
        <f>AE145-'Output - Jobs vs Yr (BAU)'!AE73</f>
        <v>6857.0985560974877</v>
      </c>
      <c r="AF146" s="131">
        <f>AF145-'Output - Jobs vs Yr (BAU)'!AF73</f>
        <v>7054.7126778603997</v>
      </c>
      <c r="AG146" s="131">
        <f>AG145-'Output - Jobs vs Yr (BAU)'!AG73</f>
        <v>7247.8465501751707</v>
      </c>
      <c r="AH146" s="191">
        <f>AH145-'Output - Jobs vs Yr (BAU)'!AH73</f>
        <v>7445.1206380061485</v>
      </c>
    </row>
    <row r="147" spans="1:35" s="1" customFormat="1">
      <c r="A147" s="11"/>
      <c r="B147" s="13"/>
      <c r="C147" s="298"/>
      <c r="D147" s="311"/>
      <c r="E147" s="311"/>
      <c r="F147" s="311"/>
      <c r="G147" s="311"/>
      <c r="H147" s="376"/>
      <c r="I147" s="15"/>
      <c r="J147" s="15"/>
      <c r="K147" s="15"/>
      <c r="L147" s="15"/>
      <c r="M147" s="15"/>
      <c r="N147" s="188" t="s">
        <v>0</v>
      </c>
      <c r="O147" s="15"/>
      <c r="P147" s="15"/>
      <c r="Q147" s="15"/>
      <c r="R147" s="15"/>
      <c r="S147" s="15"/>
      <c r="T147" s="15"/>
      <c r="U147" s="15"/>
      <c r="V147" s="15"/>
      <c r="W147" s="15"/>
      <c r="X147" s="191"/>
      <c r="Y147"/>
      <c r="Z147"/>
      <c r="AA147"/>
      <c r="AB147"/>
      <c r="AC147"/>
      <c r="AD147"/>
      <c r="AE147"/>
      <c r="AF147"/>
      <c r="AG147"/>
      <c r="AH147" s="246"/>
    </row>
    <row r="148" spans="1:35" hidden="1">
      <c r="A148" s="1" t="s">
        <v>205</v>
      </c>
    </row>
    <row r="149" spans="1:35" hidden="1">
      <c r="A149" s="20" t="s">
        <v>203</v>
      </c>
      <c r="C149" s="303">
        <f>'backup - EIA liq_fuelS_aeo2014'!E44</f>
        <v>7088.7783050537164</v>
      </c>
      <c r="D149" s="303">
        <f>'backup - EIA liq_fuelS_aeo2014'!F44</f>
        <v>7149.5953941345133</v>
      </c>
      <c r="E149" s="303">
        <f>'backup - EIA liq_fuelS_aeo2014'!G44</f>
        <v>6912.5827950000003</v>
      </c>
      <c r="F149" s="303">
        <f>'backup - EIA liq_fuelS_aeo2014'!H44</f>
        <v>6786.185485</v>
      </c>
      <c r="G149" s="303">
        <f>'backup - EIA liq_fuelS_aeo2014'!I44</f>
        <v>6929.6414350000005</v>
      </c>
      <c r="H149" s="377">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9">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40">
        <f>'backup - EIA liq_fuelS_aeo2014'!Z44</f>
        <v>6908.05278</v>
      </c>
    </row>
    <row r="150" spans="1:35" hidden="1">
      <c r="A150" s="20" t="s">
        <v>204</v>
      </c>
      <c r="C150" s="303">
        <f>'backup - EIA liq_fuelS_aeo2014'!E44</f>
        <v>7088.7783050537164</v>
      </c>
      <c r="D150" s="303">
        <f>'backup - EIA liq_fuelS_aeo2014'!F44</f>
        <v>7149.5953941345133</v>
      </c>
      <c r="E150" s="303">
        <f>'backup - EIA liq_fuelS_aeo2014'!G44</f>
        <v>6912.5827950000003</v>
      </c>
      <c r="F150" s="303">
        <f>'backup - EIA liq_fuelS_aeo2014'!H44</f>
        <v>6786.185485</v>
      </c>
      <c r="G150" s="303">
        <f>'backup - EIA liq_fuelS_aeo2014'!I44</f>
        <v>6929.6414350000005</v>
      </c>
      <c r="H150" s="377">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9">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40">
        <f>'backup - EIA liq_fuelS_aeo2014'!Z44</f>
        <v>6908.05278</v>
      </c>
    </row>
    <row r="151" spans="1:35" hidden="1">
      <c r="A151" s="20" t="s">
        <v>206</v>
      </c>
      <c r="C151" s="312">
        <f>'backup - EIA liq_fuelS_aeo2014'!E46</f>
        <v>273.77869168296451</v>
      </c>
      <c r="D151" s="312">
        <f>'backup - EIA liq_fuelS_aeo2014'!F46</f>
        <v>330.59007454663532</v>
      </c>
      <c r="E151" s="312">
        <f>'backup - EIA liq_fuelS_aeo2014'!G46</f>
        <v>346.41273999999999</v>
      </c>
      <c r="F151" s="312">
        <f>'backup - EIA liq_fuelS_aeo2014'!H46</f>
        <v>332.23648773503913</v>
      </c>
      <c r="G151" s="312">
        <f>'backup - EIA liq_fuelS_aeo2014'!I46</f>
        <v>336.63400877733272</v>
      </c>
      <c r="H151" s="378">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90">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41">
        <f>'backup - EIA liq_fuelS_aeo2014'!Z46</f>
        <v>459.60339229062083</v>
      </c>
    </row>
    <row r="152" spans="1:35" hidden="1">
      <c r="A152" s="20" t="s">
        <v>209</v>
      </c>
      <c r="C152" s="302">
        <f>C151/C149</f>
        <v>3.8621421054708789E-2</v>
      </c>
      <c r="D152" s="302">
        <f t="shared" ref="D152:X152" si="91">D151/D149</f>
        <v>4.62389906452398E-2</v>
      </c>
      <c r="E152" s="302">
        <f t="shared" si="91"/>
        <v>5.0113358533740347E-2</v>
      </c>
      <c r="F152" s="302">
        <f t="shared" si="91"/>
        <v>4.8957766991398283E-2</v>
      </c>
      <c r="G152" s="302">
        <f t="shared" si="91"/>
        <v>4.8578849560248959E-2</v>
      </c>
      <c r="H152" s="250">
        <f t="shared" si="91"/>
        <v>5.1284361693822764E-2</v>
      </c>
      <c r="I152" s="91">
        <f t="shared" si="91"/>
        <v>4.7576032869045513E-2</v>
      </c>
      <c r="J152" s="91">
        <f t="shared" si="91"/>
        <v>4.7305096007127082E-2</v>
      </c>
      <c r="K152" s="91">
        <f t="shared" si="91"/>
        <v>4.7990408149769591E-2</v>
      </c>
      <c r="L152" s="91">
        <f t="shared" si="91"/>
        <v>4.8486149400757073E-2</v>
      </c>
      <c r="M152" s="91">
        <f t="shared" si="91"/>
        <v>4.9368514215783074E-2</v>
      </c>
      <c r="N152" s="181">
        <f t="shared" si="91"/>
        <v>5.0830360119830421E-2</v>
      </c>
      <c r="O152" s="91">
        <f t="shared" si="91"/>
        <v>5.2227082464624618E-2</v>
      </c>
      <c r="P152" s="91">
        <f t="shared" si="91"/>
        <v>5.4509371249060634E-2</v>
      </c>
      <c r="Q152" s="91">
        <f t="shared" si="91"/>
        <v>5.6685779692733994E-2</v>
      </c>
      <c r="R152" s="91">
        <f t="shared" si="91"/>
        <v>5.8757749486676496E-2</v>
      </c>
      <c r="S152" s="91">
        <f t="shared" si="91"/>
        <v>6.059303768673973E-2</v>
      </c>
      <c r="T152" s="91">
        <f t="shared" si="91"/>
        <v>6.2328131729370434E-2</v>
      </c>
      <c r="U152" s="91">
        <f t="shared" si="91"/>
        <v>6.3760503080617439E-2</v>
      </c>
      <c r="V152" s="91">
        <f t="shared" si="91"/>
        <v>6.4904735244002754E-2</v>
      </c>
      <c r="W152" s="91">
        <f t="shared" si="91"/>
        <v>6.5845504400378327E-2</v>
      </c>
      <c r="X152" s="186">
        <f t="shared" si="91"/>
        <v>6.6531540352623195E-2</v>
      </c>
    </row>
    <row r="153" spans="1:35" hidden="1">
      <c r="A153" t="s">
        <v>207</v>
      </c>
      <c r="C153" s="312">
        <f>'backup - EIA liq_fuelS_aeo2014'!E46</f>
        <v>273.77869168296451</v>
      </c>
      <c r="D153" s="312">
        <f>'backup - EIA liq_fuelS_aeo2014'!F46</f>
        <v>330.59007454663532</v>
      </c>
      <c r="E153" s="312">
        <f>'backup - EIA liq_fuelS_aeo2014'!G46</f>
        <v>346.41273999999999</v>
      </c>
      <c r="F153" s="312">
        <f>'backup - EIA liq_fuelS_aeo2014'!H46</f>
        <v>332.23648773503913</v>
      </c>
      <c r="G153" s="312">
        <f>'backup - EIA liq_fuelS_aeo2014'!I46</f>
        <v>336.63400877733272</v>
      </c>
      <c r="H153" s="378">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90">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41">
        <f>'backup - EIA liq_fuelS_aeo2014'!Z46</f>
        <v>459.60339229062083</v>
      </c>
    </row>
    <row r="154" spans="1:35" hidden="1">
      <c r="A154" t="s">
        <v>210</v>
      </c>
      <c r="C154" s="302">
        <f>C153/C149</f>
        <v>3.8621421054708789E-2</v>
      </c>
      <c r="D154" s="302">
        <f t="shared" ref="D154:X154" si="92">D153/D149</f>
        <v>4.62389906452398E-2</v>
      </c>
      <c r="E154" s="302">
        <f t="shared" si="92"/>
        <v>5.0113358533740347E-2</v>
      </c>
      <c r="F154" s="302">
        <f t="shared" si="92"/>
        <v>4.8957766991398283E-2</v>
      </c>
      <c r="G154" s="302">
        <f t="shared" si="92"/>
        <v>4.8578849560248959E-2</v>
      </c>
      <c r="H154" s="250">
        <f t="shared" si="92"/>
        <v>5.1284361693822764E-2</v>
      </c>
      <c r="I154" s="91">
        <f t="shared" si="92"/>
        <v>4.7576032869045513E-2</v>
      </c>
      <c r="J154" s="91">
        <f t="shared" si="92"/>
        <v>4.7305096007127082E-2</v>
      </c>
      <c r="K154" s="91">
        <f t="shared" si="92"/>
        <v>4.7990408149769591E-2</v>
      </c>
      <c r="L154" s="91">
        <f t="shared" si="92"/>
        <v>4.8486149400757073E-2</v>
      </c>
      <c r="M154" s="91">
        <f t="shared" si="92"/>
        <v>4.9368514215783074E-2</v>
      </c>
      <c r="N154" s="181">
        <f t="shared" si="92"/>
        <v>5.0830360119830421E-2</v>
      </c>
      <c r="O154" s="91">
        <f t="shared" si="92"/>
        <v>5.2227082464624618E-2</v>
      </c>
      <c r="P154" s="91">
        <f t="shared" si="92"/>
        <v>5.4509371249060634E-2</v>
      </c>
      <c r="Q154" s="91">
        <f t="shared" si="92"/>
        <v>5.6685779692733994E-2</v>
      </c>
      <c r="R154" s="91">
        <f t="shared" si="92"/>
        <v>5.8757749486676496E-2</v>
      </c>
      <c r="S154" s="91">
        <f t="shared" si="92"/>
        <v>6.059303768673973E-2</v>
      </c>
      <c r="T154" s="91">
        <f t="shared" si="92"/>
        <v>6.2328131729370434E-2</v>
      </c>
      <c r="U154" s="91">
        <f t="shared" si="92"/>
        <v>6.3760503080617439E-2</v>
      </c>
      <c r="V154" s="91">
        <f t="shared" si="92"/>
        <v>6.4904735244002754E-2</v>
      </c>
      <c r="W154" s="91">
        <f t="shared" si="92"/>
        <v>6.5845504400378327E-2</v>
      </c>
      <c r="X154" s="186">
        <f t="shared" si="92"/>
        <v>6.6531540352623195E-2</v>
      </c>
    </row>
    <row r="155" spans="1:35" hidden="1">
      <c r="A155" s="1" t="s">
        <v>208</v>
      </c>
      <c r="C155" s="312">
        <f>MAX(C151,C153)</f>
        <v>273.77869168296451</v>
      </c>
      <c r="D155" s="312">
        <f t="shared" ref="D155:X155" si="93">MAX(D151,D153)</f>
        <v>330.59007454663532</v>
      </c>
      <c r="E155" s="312">
        <f t="shared" si="93"/>
        <v>346.41273999999999</v>
      </c>
      <c r="F155" s="312">
        <f t="shared" si="93"/>
        <v>332.23648773503913</v>
      </c>
      <c r="G155" s="312">
        <f t="shared" si="93"/>
        <v>336.63400877733272</v>
      </c>
      <c r="H155" s="378">
        <f t="shared" si="93"/>
        <v>352.19858305216189</v>
      </c>
      <c r="I155" s="52">
        <f t="shared" si="93"/>
        <v>332.67387741278202</v>
      </c>
      <c r="J155" s="52">
        <f t="shared" si="93"/>
        <v>334.25860074671806</v>
      </c>
      <c r="K155" s="52">
        <f t="shared" si="93"/>
        <v>341.17813427402433</v>
      </c>
      <c r="L155" s="52">
        <f t="shared" si="93"/>
        <v>345.58877710595249</v>
      </c>
      <c r="M155" s="52">
        <f t="shared" si="93"/>
        <v>352.0193896929872</v>
      </c>
      <c r="N155" s="190">
        <f t="shared" si="93"/>
        <v>362.16295876265764</v>
      </c>
      <c r="O155" s="52">
        <f t="shared" si="93"/>
        <v>371.28950968144909</v>
      </c>
      <c r="P155" s="52">
        <f t="shared" si="93"/>
        <v>386.73310267300621</v>
      </c>
      <c r="Q155" s="52">
        <f t="shared" si="93"/>
        <v>401.15959175664915</v>
      </c>
      <c r="R155" s="52">
        <f t="shared" si="93"/>
        <v>414.56272820760728</v>
      </c>
      <c r="S155" s="52">
        <f t="shared" si="93"/>
        <v>426.01426158540727</v>
      </c>
      <c r="T155" s="52">
        <f t="shared" si="93"/>
        <v>436.3142303161336</v>
      </c>
      <c r="U155" s="52">
        <f t="shared" si="93"/>
        <v>444.95490300330164</v>
      </c>
      <c r="V155" s="52">
        <f t="shared" si="93"/>
        <v>451.53307562319765</v>
      </c>
      <c r="W155" s="52">
        <f t="shared" si="93"/>
        <v>456.17321024350161</v>
      </c>
      <c r="X155" s="341">
        <f t="shared" si="93"/>
        <v>459.60339229062083</v>
      </c>
    </row>
    <row r="156" spans="1:35" hidden="1">
      <c r="A156" t="s">
        <v>211</v>
      </c>
      <c r="I156" s="101"/>
      <c r="J156" s="101"/>
      <c r="K156" s="101"/>
      <c r="L156" s="101"/>
      <c r="M156" s="101"/>
      <c r="O156" s="101"/>
      <c r="P156" s="101"/>
      <c r="Q156" s="101"/>
      <c r="R156" s="101"/>
      <c r="S156" s="101"/>
      <c r="T156" s="101"/>
      <c r="U156" s="101"/>
      <c r="V156" s="101"/>
      <c r="W156" s="101"/>
    </row>
    <row r="157" spans="1:35" hidden="1">
      <c r="A157" t="s">
        <v>213</v>
      </c>
      <c r="C157" s="303">
        <f>C149-C150</f>
        <v>0</v>
      </c>
      <c r="D157" s="303">
        <f t="shared" ref="D157:X157" si="94">D149-D150</f>
        <v>0</v>
      </c>
      <c r="E157" s="303">
        <f t="shared" si="94"/>
        <v>0</v>
      </c>
      <c r="F157" s="303">
        <f t="shared" si="94"/>
        <v>0</v>
      </c>
      <c r="G157" s="303">
        <f t="shared" si="94"/>
        <v>0</v>
      </c>
      <c r="H157" s="377">
        <f t="shared" si="94"/>
        <v>0</v>
      </c>
      <c r="I157" s="16">
        <f t="shared" si="94"/>
        <v>0</v>
      </c>
      <c r="J157" s="16">
        <f t="shared" si="94"/>
        <v>0</v>
      </c>
      <c r="K157" s="16">
        <f t="shared" si="94"/>
        <v>0</v>
      </c>
      <c r="L157" s="16">
        <f t="shared" si="94"/>
        <v>0</v>
      </c>
      <c r="M157" s="16">
        <f t="shared" si="94"/>
        <v>0</v>
      </c>
      <c r="N157" s="189">
        <f t="shared" si="94"/>
        <v>0</v>
      </c>
      <c r="O157" s="16">
        <f t="shared" si="94"/>
        <v>0</v>
      </c>
      <c r="P157" s="16">
        <f t="shared" si="94"/>
        <v>0</v>
      </c>
      <c r="Q157" s="16">
        <f t="shared" si="94"/>
        <v>0</v>
      </c>
      <c r="R157" s="16">
        <f t="shared" si="94"/>
        <v>0</v>
      </c>
      <c r="S157" s="16">
        <f t="shared" si="94"/>
        <v>0</v>
      </c>
      <c r="T157" s="16">
        <f t="shared" si="94"/>
        <v>0</v>
      </c>
      <c r="U157" s="16">
        <f t="shared" si="94"/>
        <v>0</v>
      </c>
      <c r="V157" s="16">
        <f t="shared" si="94"/>
        <v>0</v>
      </c>
      <c r="W157" s="16">
        <f t="shared" si="94"/>
        <v>0</v>
      </c>
      <c r="X157" s="340">
        <f t="shared" si="94"/>
        <v>0</v>
      </c>
    </row>
    <row r="158" spans="1:35" hidden="1"/>
    <row r="159" spans="1:35" hidden="1">
      <c r="A159" s="1" t="s">
        <v>258</v>
      </c>
    </row>
    <row r="160" spans="1:35" hidden="1">
      <c r="A160" t="s">
        <v>291</v>
      </c>
      <c r="C160" s="300">
        <v>0</v>
      </c>
      <c r="D160" s="300">
        <v>0</v>
      </c>
      <c r="E160" s="300">
        <v>0</v>
      </c>
      <c r="F160" s="300">
        <v>0</v>
      </c>
      <c r="G160" s="300">
        <v>0</v>
      </c>
      <c r="H160" s="252">
        <v>0</v>
      </c>
      <c r="I160" s="83">
        <v>0</v>
      </c>
      <c r="J160" s="83">
        <v>0</v>
      </c>
      <c r="K160" s="83">
        <v>0</v>
      </c>
      <c r="L160" s="83">
        <v>0</v>
      </c>
      <c r="M160" s="83">
        <v>0</v>
      </c>
      <c r="N160" s="178">
        <v>0</v>
      </c>
      <c r="O160" s="83">
        <v>0</v>
      </c>
      <c r="P160" s="83">
        <v>0</v>
      </c>
      <c r="Q160" s="83">
        <v>0</v>
      </c>
      <c r="R160" s="83">
        <v>0</v>
      </c>
      <c r="S160" s="83">
        <v>0</v>
      </c>
      <c r="T160" s="83">
        <v>0</v>
      </c>
      <c r="U160" s="83">
        <v>0</v>
      </c>
      <c r="V160" s="83">
        <v>0</v>
      </c>
      <c r="W160" s="83">
        <v>0</v>
      </c>
      <c r="X160" s="185">
        <v>0</v>
      </c>
    </row>
    <row r="161" spans="1:35" hidden="1">
      <c r="A161" t="s">
        <v>292</v>
      </c>
      <c r="C161" s="300">
        <v>0</v>
      </c>
      <c r="D161" s="300">
        <v>0</v>
      </c>
      <c r="E161" s="300">
        <v>0</v>
      </c>
      <c r="F161" s="300">
        <v>0</v>
      </c>
      <c r="G161" s="300">
        <v>0</v>
      </c>
      <c r="H161" s="252">
        <v>0</v>
      </c>
      <c r="I161" s="83">
        <v>0</v>
      </c>
      <c r="J161" s="83">
        <v>0</v>
      </c>
      <c r="K161" s="83">
        <v>0</v>
      </c>
      <c r="L161" s="83">
        <v>0</v>
      </c>
      <c r="M161" s="83">
        <v>0</v>
      </c>
      <c r="N161" s="178">
        <v>0</v>
      </c>
      <c r="O161" s="83">
        <v>0</v>
      </c>
      <c r="P161" s="83">
        <v>0</v>
      </c>
      <c r="Q161" s="83">
        <v>0</v>
      </c>
      <c r="R161" s="83">
        <v>0</v>
      </c>
      <c r="S161" s="83">
        <v>0</v>
      </c>
      <c r="T161" s="83">
        <v>0</v>
      </c>
      <c r="U161" s="83">
        <v>0</v>
      </c>
      <c r="V161" s="83">
        <v>0</v>
      </c>
      <c r="W161" s="83">
        <v>0</v>
      </c>
      <c r="X161" s="185">
        <v>0</v>
      </c>
    </row>
    <row r="162" spans="1:35" hidden="1">
      <c r="A162" t="s">
        <v>293</v>
      </c>
      <c r="C162" s="300">
        <v>0</v>
      </c>
      <c r="D162" s="300">
        <v>0</v>
      </c>
      <c r="E162" s="300">
        <v>0</v>
      </c>
      <c r="F162" s="300">
        <v>0</v>
      </c>
      <c r="G162" s="300">
        <v>0</v>
      </c>
      <c r="H162" s="252">
        <v>0</v>
      </c>
      <c r="I162" s="83">
        <v>0</v>
      </c>
      <c r="J162" s="83">
        <v>0</v>
      </c>
      <c r="K162" s="83">
        <v>0</v>
      </c>
      <c r="L162" s="83">
        <v>0</v>
      </c>
      <c r="M162" s="83">
        <v>0</v>
      </c>
      <c r="N162" s="178">
        <v>0</v>
      </c>
      <c r="O162" s="83">
        <v>0</v>
      </c>
      <c r="P162" s="83">
        <v>0</v>
      </c>
      <c r="Q162" s="83">
        <v>0</v>
      </c>
      <c r="R162" s="83">
        <v>0</v>
      </c>
      <c r="S162" s="83">
        <v>0</v>
      </c>
      <c r="T162" s="83">
        <v>0</v>
      </c>
      <c r="U162" s="83">
        <v>0</v>
      </c>
      <c r="V162" s="83">
        <v>0</v>
      </c>
      <c r="W162" s="83">
        <v>0</v>
      </c>
      <c r="X162" s="185">
        <v>0</v>
      </c>
    </row>
    <row r="163" spans="1:35" hidden="1">
      <c r="A163" t="s">
        <v>294</v>
      </c>
      <c r="C163" s="300">
        <v>0</v>
      </c>
      <c r="D163" s="300">
        <v>0</v>
      </c>
      <c r="E163" s="300">
        <v>0</v>
      </c>
      <c r="F163" s="300">
        <v>0</v>
      </c>
      <c r="G163" s="300">
        <v>0</v>
      </c>
      <c r="H163" s="252">
        <v>0</v>
      </c>
      <c r="I163" s="83">
        <v>0</v>
      </c>
      <c r="J163" s="83">
        <v>0</v>
      </c>
      <c r="K163" s="83">
        <v>0</v>
      </c>
      <c r="L163" s="83">
        <v>0</v>
      </c>
      <c r="M163" s="83">
        <v>0</v>
      </c>
      <c r="N163" s="178">
        <v>0</v>
      </c>
      <c r="O163" s="83">
        <v>0</v>
      </c>
      <c r="P163" s="83">
        <v>0</v>
      </c>
      <c r="Q163" s="83">
        <v>0</v>
      </c>
      <c r="R163" s="83">
        <v>0</v>
      </c>
      <c r="S163" s="83">
        <v>0</v>
      </c>
      <c r="T163" s="83">
        <v>0</v>
      </c>
      <c r="U163" s="83">
        <v>0</v>
      </c>
      <c r="V163" s="83">
        <v>0</v>
      </c>
      <c r="W163" s="83">
        <v>0</v>
      </c>
      <c r="X163" s="185">
        <v>0</v>
      </c>
      <c r="AI163" s="79" t="s">
        <v>0</v>
      </c>
    </row>
    <row r="164" spans="1:35" hidden="1">
      <c r="A164" t="s">
        <v>295</v>
      </c>
      <c r="C164" s="300" t="e">
        <f>C157*#REF!</f>
        <v>#REF!</v>
      </c>
      <c r="D164" s="300" t="e">
        <f>D157*#REF!</f>
        <v>#REF!</v>
      </c>
      <c r="E164" s="300" t="e">
        <f>E157*#REF!</f>
        <v>#REF!</v>
      </c>
      <c r="F164" s="300" t="e">
        <f>F157*#REF!</f>
        <v>#REF!</v>
      </c>
      <c r="G164" s="300" t="e">
        <f>G157*#REF!</f>
        <v>#REF!</v>
      </c>
      <c r="H164" s="252" t="e">
        <f>H157*#REF!</f>
        <v>#REF!</v>
      </c>
      <c r="I164" s="83" t="e">
        <f>I157*#REF!</f>
        <v>#REF!</v>
      </c>
      <c r="J164" s="83" t="e">
        <f>J157*#REF!</f>
        <v>#REF!</v>
      </c>
      <c r="K164" s="83" t="e">
        <f>K157*#REF!</f>
        <v>#REF!</v>
      </c>
      <c r="L164" s="83" t="e">
        <f>L157*#REF!</f>
        <v>#REF!</v>
      </c>
      <c r="M164" s="83" t="e">
        <f>M157*#REF!</f>
        <v>#REF!</v>
      </c>
      <c r="N164" s="178"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5" t="e">
        <f>X157*#REF!</f>
        <v>#REF!</v>
      </c>
    </row>
    <row r="165" spans="1:35" hidden="1">
      <c r="A165" t="s">
        <v>296</v>
      </c>
      <c r="C165" s="300">
        <v>0</v>
      </c>
      <c r="D165" s="300">
        <v>0</v>
      </c>
      <c r="E165" s="300">
        <v>0</v>
      </c>
      <c r="F165" s="300">
        <v>0</v>
      </c>
      <c r="G165" s="300">
        <v>0</v>
      </c>
      <c r="H165" s="252">
        <v>0</v>
      </c>
      <c r="I165" s="83">
        <v>0</v>
      </c>
      <c r="J165" s="83">
        <v>0</v>
      </c>
      <c r="K165" s="83">
        <v>0</v>
      </c>
      <c r="L165" s="83">
        <v>0</v>
      </c>
      <c r="M165" s="83">
        <v>0</v>
      </c>
      <c r="N165" s="178">
        <v>0</v>
      </c>
      <c r="O165" s="83">
        <v>0</v>
      </c>
      <c r="P165" s="83">
        <v>0</v>
      </c>
      <c r="Q165" s="83">
        <v>0</v>
      </c>
      <c r="R165" s="83">
        <v>0</v>
      </c>
      <c r="S165" s="83">
        <v>0</v>
      </c>
      <c r="T165" s="83">
        <v>0</v>
      </c>
      <c r="U165" s="83">
        <v>0</v>
      </c>
      <c r="V165" s="83">
        <v>0</v>
      </c>
      <c r="W165" s="83">
        <v>0</v>
      </c>
      <c r="X165" s="185">
        <v>0</v>
      </c>
    </row>
    <row r="166" spans="1:35" hidden="1">
      <c r="A166" t="s">
        <v>260</v>
      </c>
      <c r="C166" s="300" t="e">
        <f>C162-C160+C164+C165</f>
        <v>#REF!</v>
      </c>
      <c r="D166" s="300">
        <v>0</v>
      </c>
      <c r="E166" s="300">
        <v>0</v>
      </c>
      <c r="F166" s="300">
        <v>0</v>
      </c>
      <c r="G166" s="300">
        <v>0</v>
      </c>
      <c r="H166" s="252">
        <v>0</v>
      </c>
      <c r="I166" s="83">
        <v>0</v>
      </c>
      <c r="J166" s="83">
        <v>0</v>
      </c>
      <c r="K166" s="83">
        <v>0</v>
      </c>
      <c r="L166" s="83">
        <v>0</v>
      </c>
      <c r="M166" s="83">
        <v>0</v>
      </c>
      <c r="N166" s="178">
        <v>0</v>
      </c>
      <c r="O166" s="83">
        <v>0</v>
      </c>
      <c r="P166" s="83">
        <v>0</v>
      </c>
      <c r="Q166" s="83">
        <v>0</v>
      </c>
      <c r="R166" s="83">
        <v>0</v>
      </c>
      <c r="S166" s="83">
        <v>0</v>
      </c>
      <c r="T166" s="83">
        <v>0</v>
      </c>
      <c r="U166" s="83">
        <v>0</v>
      </c>
      <c r="V166" s="83">
        <v>0</v>
      </c>
      <c r="W166" s="83">
        <v>0</v>
      </c>
      <c r="X166" s="185">
        <v>0</v>
      </c>
    </row>
    <row r="167" spans="1:35" hidden="1">
      <c r="I167" s="100"/>
      <c r="J167" s="100"/>
      <c r="K167" s="100"/>
      <c r="L167" s="100"/>
      <c r="M167" s="100"/>
      <c r="O167" s="100"/>
      <c r="P167" s="100"/>
      <c r="Q167" s="100"/>
      <c r="R167" s="100"/>
      <c r="S167" s="100"/>
      <c r="T167" s="100"/>
      <c r="U167" s="100"/>
      <c r="V167" s="100"/>
      <c r="W167" s="100"/>
    </row>
    <row r="168" spans="1:35" hidden="1">
      <c r="A168" s="1" t="s">
        <v>259</v>
      </c>
      <c r="I168" s="100"/>
      <c r="J168" s="100"/>
      <c r="K168" s="100"/>
      <c r="L168" s="100"/>
      <c r="M168" s="100"/>
      <c r="O168" s="100"/>
      <c r="P168" s="100"/>
      <c r="Q168" s="100"/>
      <c r="R168" s="100"/>
      <c r="S168" s="100"/>
      <c r="T168" s="100"/>
      <c r="U168" s="100"/>
      <c r="V168" s="100"/>
      <c r="W168" s="100"/>
    </row>
    <row r="169" spans="1:35" hidden="1">
      <c r="A169" s="55" t="s">
        <v>300</v>
      </c>
      <c r="C169" s="300">
        <v>0</v>
      </c>
      <c r="D169" s="300">
        <v>0</v>
      </c>
      <c r="E169" s="300">
        <v>0</v>
      </c>
      <c r="F169" s="300">
        <v>0</v>
      </c>
      <c r="G169" s="300">
        <v>0</v>
      </c>
      <c r="H169" s="252">
        <v>0</v>
      </c>
      <c r="I169" s="83">
        <v>0</v>
      </c>
      <c r="J169" s="83">
        <v>0</v>
      </c>
      <c r="K169" s="83">
        <v>0</v>
      </c>
      <c r="L169" s="83">
        <v>0</v>
      </c>
      <c r="M169" s="83">
        <v>0</v>
      </c>
      <c r="N169" s="178">
        <v>0</v>
      </c>
      <c r="O169" s="83">
        <v>0</v>
      </c>
      <c r="P169" s="83">
        <v>0</v>
      </c>
      <c r="Q169" s="83">
        <v>0</v>
      </c>
      <c r="R169" s="83">
        <v>0</v>
      </c>
      <c r="S169" s="83">
        <v>0</v>
      </c>
      <c r="T169" s="83">
        <v>0</v>
      </c>
      <c r="U169" s="83">
        <v>0</v>
      </c>
      <c r="V169" s="83">
        <v>0</v>
      </c>
      <c r="W169" s="83">
        <v>0</v>
      </c>
      <c r="X169" s="185">
        <v>0</v>
      </c>
    </row>
    <row r="170" spans="1:35" hidden="1">
      <c r="A170" s="55" t="s">
        <v>301</v>
      </c>
      <c r="C170" s="300">
        <v>0</v>
      </c>
      <c r="D170" s="300">
        <v>0</v>
      </c>
      <c r="E170" s="300">
        <v>0</v>
      </c>
      <c r="F170" s="300">
        <v>0</v>
      </c>
      <c r="G170" s="300">
        <v>0</v>
      </c>
      <c r="H170" s="252">
        <v>0</v>
      </c>
      <c r="I170" s="83">
        <v>0</v>
      </c>
      <c r="J170" s="83">
        <v>0</v>
      </c>
      <c r="K170" s="83">
        <v>0</v>
      </c>
      <c r="L170" s="83">
        <v>0</v>
      </c>
      <c r="M170" s="83">
        <v>0</v>
      </c>
      <c r="N170" s="178">
        <v>0</v>
      </c>
      <c r="O170" s="83">
        <v>0</v>
      </c>
      <c r="P170" s="83">
        <v>0</v>
      </c>
      <c r="Q170" s="83">
        <v>0</v>
      </c>
      <c r="R170" s="83">
        <v>0</v>
      </c>
      <c r="S170" s="83">
        <v>0</v>
      </c>
      <c r="T170" s="83">
        <v>0</v>
      </c>
      <c r="U170" s="83">
        <v>0</v>
      </c>
      <c r="V170" s="83">
        <v>0</v>
      </c>
      <c r="W170" s="83">
        <v>0</v>
      </c>
      <c r="X170" s="185">
        <v>0</v>
      </c>
    </row>
    <row r="171" spans="1:35" hidden="1">
      <c r="A171" s="55" t="s">
        <v>302</v>
      </c>
      <c r="C171" s="300">
        <v>0</v>
      </c>
      <c r="D171" s="300">
        <v>0</v>
      </c>
      <c r="E171" s="300">
        <v>0</v>
      </c>
      <c r="F171" s="300">
        <v>0</v>
      </c>
      <c r="G171" s="300">
        <v>0</v>
      </c>
      <c r="H171" s="252">
        <v>0</v>
      </c>
      <c r="I171" s="83">
        <v>0</v>
      </c>
      <c r="J171" s="83">
        <v>0</v>
      </c>
      <c r="K171" s="83">
        <v>0</v>
      </c>
      <c r="L171" s="83">
        <v>0</v>
      </c>
      <c r="M171" s="83">
        <v>0</v>
      </c>
      <c r="N171" s="178">
        <v>0</v>
      </c>
      <c r="O171" s="83">
        <v>0</v>
      </c>
      <c r="P171" s="83">
        <v>0</v>
      </c>
      <c r="Q171" s="83">
        <v>0</v>
      </c>
      <c r="R171" s="83">
        <v>0</v>
      </c>
      <c r="S171" s="83">
        <v>0</v>
      </c>
      <c r="T171" s="83">
        <v>0</v>
      </c>
      <c r="U171" s="83">
        <v>0</v>
      </c>
      <c r="V171" s="83">
        <v>0</v>
      </c>
      <c r="W171" s="83">
        <v>0</v>
      </c>
      <c r="X171" s="185">
        <v>0</v>
      </c>
    </row>
    <row r="172" spans="1:35" hidden="1">
      <c r="A172" s="55" t="s">
        <v>303</v>
      </c>
      <c r="C172" s="300">
        <v>0</v>
      </c>
      <c r="D172" s="300">
        <v>0</v>
      </c>
      <c r="E172" s="300">
        <v>0</v>
      </c>
      <c r="F172" s="300">
        <v>0</v>
      </c>
      <c r="G172" s="300">
        <v>0</v>
      </c>
      <c r="H172" s="252">
        <v>0</v>
      </c>
      <c r="I172" s="83">
        <v>0</v>
      </c>
      <c r="J172" s="83">
        <v>0</v>
      </c>
      <c r="K172" s="83">
        <v>0</v>
      </c>
      <c r="L172" s="83">
        <v>0</v>
      </c>
      <c r="M172" s="83">
        <v>0</v>
      </c>
      <c r="N172" s="178">
        <v>0</v>
      </c>
      <c r="O172" s="83">
        <v>0</v>
      </c>
      <c r="P172" s="83">
        <v>0</v>
      </c>
      <c r="Q172" s="83">
        <v>0</v>
      </c>
      <c r="R172" s="83">
        <v>0</v>
      </c>
      <c r="S172" s="83">
        <v>0</v>
      </c>
      <c r="T172" s="83">
        <v>0</v>
      </c>
      <c r="U172" s="83">
        <v>0</v>
      </c>
      <c r="V172" s="83">
        <v>0</v>
      </c>
      <c r="W172" s="83">
        <v>0</v>
      </c>
      <c r="X172" s="185">
        <v>0</v>
      </c>
    </row>
    <row r="173" spans="1:35" hidden="1">
      <c r="A173" s="55" t="s">
        <v>261</v>
      </c>
      <c r="C173" s="300" t="e">
        <f>'backup - Mass Transit'!BC34</f>
        <v>#REF!</v>
      </c>
      <c r="D173" s="300" t="e">
        <f>'backup - Mass Transit'!BD34</f>
        <v>#REF!</v>
      </c>
      <c r="E173" s="300" t="e">
        <f>'backup - Mass Transit'!BE34</f>
        <v>#REF!</v>
      </c>
      <c r="F173" s="300" t="e">
        <f>'backup - Mass Transit'!BF34</f>
        <v>#REF!</v>
      </c>
      <c r="G173" s="300" t="e">
        <f>'backup - Mass Transit'!BG34</f>
        <v>#REF!</v>
      </c>
      <c r="H173" s="252"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8"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5" t="e">
        <f>'backup - Mass Transit'!BX34</f>
        <v>#REF!</v>
      </c>
    </row>
    <row r="175" spans="1:35">
      <c r="A175" s="75" t="s">
        <v>262</v>
      </c>
      <c r="C175" s="298">
        <v>2009</v>
      </c>
      <c r="D175" s="298">
        <v>2010</v>
      </c>
      <c r="E175" s="298">
        <v>2011</v>
      </c>
      <c r="F175" s="298">
        <v>2012</v>
      </c>
      <c r="G175" s="298">
        <v>2013</v>
      </c>
      <c r="H175" s="371">
        <v>2014</v>
      </c>
      <c r="I175" s="13">
        <v>2015</v>
      </c>
      <c r="J175" s="13">
        <v>2016</v>
      </c>
      <c r="K175" s="13">
        <v>2017</v>
      </c>
      <c r="L175" s="13">
        <v>2018</v>
      </c>
      <c r="M175" s="13">
        <v>2019</v>
      </c>
      <c r="N175" s="177">
        <v>2020</v>
      </c>
      <c r="O175" s="13">
        <v>2021</v>
      </c>
      <c r="P175" s="13">
        <v>2022</v>
      </c>
      <c r="Q175" s="13">
        <v>2023</v>
      </c>
      <c r="R175" s="13">
        <v>2024</v>
      </c>
      <c r="S175" s="13">
        <v>2025</v>
      </c>
      <c r="T175" s="13">
        <v>2026</v>
      </c>
      <c r="U175" s="13">
        <v>2027</v>
      </c>
      <c r="V175" s="13">
        <v>2028</v>
      </c>
      <c r="W175" s="13">
        <v>2029</v>
      </c>
      <c r="X175" s="177">
        <v>2030</v>
      </c>
      <c r="Y175" s="13">
        <v>2031</v>
      </c>
      <c r="Z175" s="13">
        <v>2032</v>
      </c>
      <c r="AA175" s="13">
        <v>2033</v>
      </c>
      <c r="AB175" s="13">
        <v>2034</v>
      </c>
      <c r="AC175" s="13">
        <v>2035</v>
      </c>
      <c r="AD175" s="13">
        <v>2036</v>
      </c>
      <c r="AE175" s="13">
        <v>2037</v>
      </c>
      <c r="AF175" s="13">
        <v>2038</v>
      </c>
      <c r="AG175" s="13">
        <v>2039</v>
      </c>
      <c r="AH175" s="177">
        <v>2040</v>
      </c>
      <c r="AI175" s="1" t="s">
        <v>0</v>
      </c>
    </row>
    <row r="176" spans="1:35">
      <c r="A176" s="75" t="s">
        <v>305</v>
      </c>
      <c r="C176" s="304">
        <f>'Output - Jobs vs Yr (BAU)'!C55+'Output - Jobs vs Yr (BAU)'!C73</f>
        <v>45337.898822800002</v>
      </c>
      <c r="D176" s="304">
        <f>'Output - Jobs vs Yr (BAU)'!D55+'Output - Jobs vs Yr (BAU)'!D73</f>
        <v>47368.428822799993</v>
      </c>
      <c r="E176" s="304">
        <f>'Output - Jobs vs Yr (BAU)'!E55+'Output - Jobs vs Yr (BAU)'!E73</f>
        <v>44464.975020800004</v>
      </c>
      <c r="F176" s="304">
        <f>'Output - Jobs vs Yr (BAU)'!F55+'Output - Jobs vs Yr (BAU)'!F73</f>
        <v>44929.206561800005</v>
      </c>
      <c r="G176" s="304">
        <f>'Output - Jobs vs Yr (BAU)'!G55+'Output - Jobs vs Yr (BAU)'!G73</f>
        <v>44264.047550800002</v>
      </c>
      <c r="H176" s="375">
        <f>'Output - Jobs vs Yr (BAU)'!H55+'Output - Jobs vs Yr (BAU)'!H73</f>
        <v>44446.513290800009</v>
      </c>
      <c r="I176" s="19">
        <f>'Output - Jobs vs Yr (BAU)'!I55+'Output - Jobs vs Yr (BAU)'!I73</f>
        <v>45438.856063800005</v>
      </c>
      <c r="J176" s="19">
        <f>'Output - Jobs vs Yr (BAU)'!J55+'Output - Jobs vs Yr (BAU)'!J73</f>
        <v>46196.502457800001</v>
      </c>
      <c r="K176" s="19">
        <f>'Output - Jobs vs Yr (BAU)'!K55+'Output - Jobs vs Yr (BAU)'!K73</f>
        <v>46661.982963800001</v>
      </c>
      <c r="L176" s="19">
        <f>'Output - Jobs vs Yr (BAU)'!L55+'Output - Jobs vs Yr (BAU)'!L73</f>
        <v>47098.718616800004</v>
      </c>
      <c r="M176" s="19">
        <f>'Output - Jobs vs Yr (BAU)'!M55+'Output - Jobs vs Yr (BAU)'!M73</f>
        <v>47539.818797800006</v>
      </c>
      <c r="N176" s="183">
        <f>'Output - Jobs vs Yr (BAU)'!N55+'Output - Jobs vs Yr (BAU)'!N73</f>
        <v>47552.939950800006</v>
      </c>
      <c r="O176" s="19">
        <f>'Output - Jobs vs Yr (BAU)'!O55+'Output - Jobs vs Yr (BAU)'!O73</f>
        <v>47971.486010799999</v>
      </c>
      <c r="P176" s="19">
        <f>'Output - Jobs vs Yr (BAU)'!P55+'Output - Jobs vs Yr (BAU)'!P73</f>
        <v>48551.891227800006</v>
      </c>
      <c r="Q176" s="19">
        <f>'Output - Jobs vs Yr (BAU)'!Q55+'Output - Jobs vs Yr (BAU)'!Q73</f>
        <v>49223.993693800003</v>
      </c>
      <c r="R176" s="19">
        <f>'Output - Jobs vs Yr (BAU)'!R55+'Output - Jobs vs Yr (BAU)'!R73</f>
        <v>50178.457306800003</v>
      </c>
      <c r="S176" s="19">
        <f>'Output - Jobs vs Yr (BAU)'!S55+'Output - Jobs vs Yr (BAU)'!S73</f>
        <v>51508.044664800007</v>
      </c>
      <c r="T176" s="19">
        <f>'Output - Jobs vs Yr (BAU)'!T55+'Output - Jobs vs Yr (BAU)'!T73</f>
        <v>52485.787932800005</v>
      </c>
      <c r="U176" s="19">
        <f>'Output - Jobs vs Yr (BAU)'!U55+'Output - Jobs vs Yr (BAU)'!U73</f>
        <v>53483.990457799999</v>
      </c>
      <c r="V176" s="19">
        <f>'Output - Jobs vs Yr (BAU)'!V55+'Output - Jobs vs Yr (BAU)'!V73</f>
        <v>54571.3039708</v>
      </c>
      <c r="W176" s="19">
        <f>'Output - Jobs vs Yr (BAU)'!W55+'Output - Jobs vs Yr (BAU)'!W73</f>
        <v>55398.913342800006</v>
      </c>
      <c r="X176" s="183">
        <f>'Output - Jobs vs Yr (BAU)'!X55+'Output - Jobs vs Yr (BAU)'!X73</f>
        <v>56087.790300799999</v>
      </c>
      <c r="Y176" s="207">
        <f>'Output - Jobs vs Yr (BAU)'!Y55+'Output - Jobs vs Yr (BAU)'!Y73</f>
        <v>56831.569449800001</v>
      </c>
      <c r="Z176" s="207">
        <f>'Output - Jobs vs Yr (BAU)'!Z55+'Output - Jobs vs Yr (BAU)'!Z73</f>
        <v>57515.956878800003</v>
      </c>
      <c r="AA176" s="207">
        <f>'Output - Jobs vs Yr (BAU)'!AA55+'Output - Jobs vs Yr (BAU)'!AA73</f>
        <v>58351.743451800001</v>
      </c>
      <c r="AB176" s="207">
        <f>'Output - Jobs vs Yr (BAU)'!AB55+'Output - Jobs vs Yr (BAU)'!AB73</f>
        <v>59307.881857799999</v>
      </c>
      <c r="AC176" s="207">
        <f>'Output - Jobs vs Yr (BAU)'!AC55+'Output - Jobs vs Yr (BAU)'!AC73</f>
        <v>60278.638160799994</v>
      </c>
      <c r="AD176" s="207">
        <f>'Output - Jobs vs Yr (BAU)'!AD55+'Output - Jobs vs Yr (BAU)'!AD73</f>
        <v>61298.729217800006</v>
      </c>
      <c r="AE176" s="207">
        <f>'Output - Jobs vs Yr (BAU)'!AE55+'Output - Jobs vs Yr (BAU)'!AE73</f>
        <v>62482.837204800002</v>
      </c>
      <c r="AF176" s="207">
        <f>'Output - Jobs vs Yr (BAU)'!AF55+'Output - Jobs vs Yr (BAU)'!AF73</f>
        <v>63601.903479799999</v>
      </c>
      <c r="AG176" s="207">
        <f>'Output - Jobs vs Yr (BAU)'!AG55+'Output - Jobs vs Yr (BAU)'!AG73</f>
        <v>64732.165010800003</v>
      </c>
      <c r="AH176" s="183">
        <f>'Output - Jobs vs Yr (BAU)'!AH55+'Output - Jobs vs Yr (BAU)'!AH73</f>
        <v>65838.235665799992</v>
      </c>
      <c r="AI176" s="1"/>
    </row>
    <row r="177" spans="1:35">
      <c r="A177" s="76" t="s">
        <v>306</v>
      </c>
      <c r="C177" s="304">
        <f>'Output - Jobs vs Yr (BAU)'!C55</f>
        <v>23862.052012</v>
      </c>
      <c r="D177" s="304">
        <f>'Output - Jobs vs Yr (BAU)'!D55</f>
        <v>24930.752011999997</v>
      </c>
      <c r="E177" s="304">
        <f>'Output - Jobs vs Yr (BAU)'!E55</f>
        <v>23402.618432000003</v>
      </c>
      <c r="F177" s="304">
        <f>'Output - Jobs vs Yr (BAU)'!F55</f>
        <v>23646.950822000003</v>
      </c>
      <c r="G177" s="304">
        <f>'Output - Jobs vs Yr (BAU)'!G55</f>
        <v>23296.867131999999</v>
      </c>
      <c r="H177" s="375">
        <f>'Output - Jobs vs Yr (BAU)'!H55</f>
        <v>23392.901732000002</v>
      </c>
      <c r="I177" s="19">
        <f>'Output - Jobs vs Yr (BAU)'!I55</f>
        <v>23915.187402000003</v>
      </c>
      <c r="J177" s="19">
        <f>'Output - Jobs vs Yr (BAU)'!J55</f>
        <v>24313.948662000003</v>
      </c>
      <c r="K177" s="19">
        <f>'Output - Jobs vs Yr (BAU)'!K55</f>
        <v>24558.938402</v>
      </c>
      <c r="L177" s="19">
        <f>'Output - Jobs vs Yr (BAU)'!L55</f>
        <v>24788.799272000004</v>
      </c>
      <c r="M177" s="19">
        <f>'Output - Jobs vs Yr (BAU)'!M55</f>
        <v>25020.957262</v>
      </c>
      <c r="N177" s="183">
        <f>'Output - Jobs vs Yr (BAU)'!N55</f>
        <v>25027.863132000006</v>
      </c>
      <c r="O177" s="19">
        <f>'Output - Jobs vs Yr (BAU)'!O55</f>
        <v>25248.150532</v>
      </c>
      <c r="P177" s="19">
        <f>'Output - Jobs vs Yr (BAU)'!P55</f>
        <v>25553.626962000002</v>
      </c>
      <c r="Q177" s="19">
        <f>'Output - Jobs vs Yr (BAU)'!Q55</f>
        <v>25907.365102</v>
      </c>
      <c r="R177" s="19">
        <f>'Output - Jobs vs Yr (BAU)'!R55</f>
        <v>26409.714372000002</v>
      </c>
      <c r="S177" s="19">
        <f>'Output - Jobs vs Yr (BAU)'!S55</f>
        <v>27109.497192000003</v>
      </c>
      <c r="T177" s="19">
        <f>'Output - Jobs vs Yr (BAU)'!T55</f>
        <v>27624.098912000001</v>
      </c>
      <c r="U177" s="19">
        <f>'Output - Jobs vs Yr (BAU)'!U55</f>
        <v>28149.468662000003</v>
      </c>
      <c r="V177" s="19">
        <f>'Output - Jobs vs Yr (BAU)'!V55</f>
        <v>28721.738932</v>
      </c>
      <c r="W177" s="19">
        <f>'Output - Jobs vs Yr (BAU)'!W55</f>
        <v>29157.322812000002</v>
      </c>
      <c r="X177" s="183">
        <f>'Output - Jobs vs Yr (BAU)'!X55</f>
        <v>29519.889631999999</v>
      </c>
      <c r="Y177" s="207">
        <f>'Output - Jobs vs Yr (BAU)'!Y55</f>
        <v>29911.352341999998</v>
      </c>
      <c r="Z177" s="207">
        <f>'Output - Jobs vs Yr (BAU)'!Z55</f>
        <v>30271.556252000002</v>
      </c>
      <c r="AA177" s="207">
        <f>'Output - Jobs vs Yr (BAU)'!AA55</f>
        <v>30711.443921999999</v>
      </c>
      <c r="AB177" s="207">
        <f>'Output - Jobs vs Yr (BAU)'!AB55</f>
        <v>31214.674661999998</v>
      </c>
      <c r="AC177" s="207">
        <f>'Output - Jobs vs Yr (BAU)'!AC55</f>
        <v>31725.599031999998</v>
      </c>
      <c r="AD177" s="207">
        <f>'Output - Jobs vs Yr (BAU)'!AD55</f>
        <v>32262.489062000001</v>
      </c>
      <c r="AE177" s="207">
        <f>'Output - Jobs vs Yr (BAU)'!AE55</f>
        <v>32885.703792</v>
      </c>
      <c r="AF177" s="207">
        <f>'Output - Jobs vs Yr (BAU)'!AF55</f>
        <v>33474.686042000001</v>
      </c>
      <c r="AG177" s="207">
        <f>'Output - Jobs vs Yr (BAU)'!AG55</f>
        <v>34069.560532000003</v>
      </c>
      <c r="AH177" s="183">
        <f>'Output - Jobs vs Yr (BAU)'!AH55</f>
        <v>34651.702982000003</v>
      </c>
      <c r="AI177" s="1"/>
    </row>
    <row r="178" spans="1:35">
      <c r="A178" s="76" t="s">
        <v>307</v>
      </c>
      <c r="C178" s="304">
        <f>'Output - Jobs vs Yr (BAU)'!C73</f>
        <v>21475.846810800002</v>
      </c>
      <c r="D178" s="304">
        <f>'Output - Jobs vs Yr (BAU)'!D73</f>
        <v>22437.676810799996</v>
      </c>
      <c r="E178" s="304">
        <f>'Output - Jobs vs Yr (BAU)'!E73</f>
        <v>21062.356588800001</v>
      </c>
      <c r="F178" s="304">
        <f>'Output - Jobs vs Yr (BAU)'!F73</f>
        <v>21282.255739800003</v>
      </c>
      <c r="G178" s="304">
        <f>'Output - Jobs vs Yr (BAU)'!G73</f>
        <v>20967.180418800002</v>
      </c>
      <c r="H178" s="375">
        <f>'Output - Jobs vs Yr (BAU)'!H73</f>
        <v>21053.611558800003</v>
      </c>
      <c r="I178" s="19">
        <f>'Output - Jobs vs Yr (BAU)'!I73</f>
        <v>21523.668661800002</v>
      </c>
      <c r="J178" s="19">
        <f>'Output - Jobs vs Yr (BAU)'!J73</f>
        <v>21882.553795800002</v>
      </c>
      <c r="K178" s="19">
        <f>'Output - Jobs vs Yr (BAU)'!K73</f>
        <v>22103.044561800001</v>
      </c>
      <c r="L178" s="19">
        <f>'Output - Jobs vs Yr (BAU)'!L73</f>
        <v>22309.919344800001</v>
      </c>
      <c r="M178" s="19">
        <f>'Output - Jobs vs Yr (BAU)'!M73</f>
        <v>22518.861535800002</v>
      </c>
      <c r="N178" s="183">
        <f>'Output - Jobs vs Yr (BAU)'!N73</f>
        <v>22525.076818800004</v>
      </c>
      <c r="O178" s="19">
        <f>'Output - Jobs vs Yr (BAU)'!O73</f>
        <v>22723.3354788</v>
      </c>
      <c r="P178" s="19">
        <f>'Output - Jobs vs Yr (BAU)'!P73</f>
        <v>22998.264265800004</v>
      </c>
      <c r="Q178" s="19">
        <f>'Output - Jobs vs Yr (BAU)'!Q73</f>
        <v>23316.628591799999</v>
      </c>
      <c r="R178" s="19">
        <f>'Output - Jobs vs Yr (BAU)'!R73</f>
        <v>23768.742934800004</v>
      </c>
      <c r="S178" s="19">
        <f>'Output - Jobs vs Yr (BAU)'!S73</f>
        <v>24398.547472800004</v>
      </c>
      <c r="T178" s="19">
        <f>'Output - Jobs vs Yr (BAU)'!T73</f>
        <v>24861.689020800004</v>
      </c>
      <c r="U178" s="19">
        <f>'Output - Jobs vs Yr (BAU)'!U73</f>
        <v>25334.521795799999</v>
      </c>
      <c r="V178" s="19">
        <f>'Output - Jobs vs Yr (BAU)'!V73</f>
        <v>25849.565038799999</v>
      </c>
      <c r="W178" s="19">
        <f>'Output - Jobs vs Yr (BAU)'!W73</f>
        <v>26241.5905308</v>
      </c>
      <c r="X178" s="183">
        <f>'Output - Jobs vs Yr (BAU)'!X73</f>
        <v>26567.900668800001</v>
      </c>
      <c r="Y178" s="207">
        <f>'Output - Jobs vs Yr (BAU)'!Y73</f>
        <v>26920.217107800003</v>
      </c>
      <c r="Z178" s="207">
        <f>'Output - Jobs vs Yr (BAU)'!Z73</f>
        <v>27244.400626800001</v>
      </c>
      <c r="AA178" s="207">
        <f>'Output - Jobs vs Yr (BAU)'!AA73</f>
        <v>27640.299529800002</v>
      </c>
      <c r="AB178" s="207">
        <f>'Output - Jobs vs Yr (BAU)'!AB73</f>
        <v>28093.207195800002</v>
      </c>
      <c r="AC178" s="207">
        <f>'Output - Jobs vs Yr (BAU)'!AC73</f>
        <v>28553.039128799999</v>
      </c>
      <c r="AD178" s="207">
        <f>'Output - Jobs vs Yr (BAU)'!AD73</f>
        <v>29036.240155800006</v>
      </c>
      <c r="AE178" s="207">
        <f>'Output - Jobs vs Yr (BAU)'!AE73</f>
        <v>29597.133412800002</v>
      </c>
      <c r="AF178" s="207">
        <f>'Output - Jobs vs Yr (BAU)'!AF73</f>
        <v>30127.217437799998</v>
      </c>
      <c r="AG178" s="207">
        <f>'Output - Jobs vs Yr (BAU)'!AG73</f>
        <v>30662.6044788</v>
      </c>
      <c r="AH178" s="183">
        <f>'Output - Jobs vs Yr (BAU)'!AH73</f>
        <v>31186.532683799996</v>
      </c>
      <c r="AI178" s="80" t="s">
        <v>0</v>
      </c>
    </row>
    <row r="179" spans="1:35">
      <c r="A179" s="75" t="s">
        <v>304</v>
      </c>
      <c r="C179" s="301">
        <f>SUM(C118,C145)</f>
        <v>45340.156020099996</v>
      </c>
      <c r="D179" s="301">
        <f t="shared" ref="D179:AH179" si="95">SUM(D118,D145)+D249+D252</f>
        <v>47974.307778359085</v>
      </c>
      <c r="E179" s="301">
        <f t="shared" si="95"/>
        <v>44944.012408582348</v>
      </c>
      <c r="F179" s="301">
        <f t="shared" si="95"/>
        <v>45949.872698434745</v>
      </c>
      <c r="G179" s="301">
        <f t="shared" si="95"/>
        <v>45090.608710615372</v>
      </c>
      <c r="H179" s="373">
        <f>SUM(H118,H145)+H249+H252</f>
        <v>44050.889037100002</v>
      </c>
      <c r="I179" s="14">
        <f t="shared" si="95"/>
        <v>45164.024469720905</v>
      </c>
      <c r="J179" s="14">
        <f t="shared" si="95"/>
        <v>46213.849749676956</v>
      </c>
      <c r="K179" s="14">
        <f t="shared" si="95"/>
        <v>47775.667108696165</v>
      </c>
      <c r="L179" s="14">
        <f t="shared" si="95"/>
        <v>49683.421013131374</v>
      </c>
      <c r="M179" s="14">
        <f t="shared" si="95"/>
        <v>52184.156742428837</v>
      </c>
      <c r="N179" s="188">
        <f t="shared" si="95"/>
        <v>54946.412652948871</v>
      </c>
      <c r="O179" s="14">
        <f t="shared" si="95"/>
        <v>55698.405660336291</v>
      </c>
      <c r="P179" s="14">
        <f t="shared" si="95"/>
        <v>56663.006193534646</v>
      </c>
      <c r="Q179" s="14">
        <f t="shared" si="95"/>
        <v>57755.273815690263</v>
      </c>
      <c r="R179" s="14">
        <f t="shared" si="95"/>
        <v>59245.6948850181</v>
      </c>
      <c r="S179" s="14">
        <f t="shared" si="95"/>
        <v>60708.182911464974</v>
      </c>
      <c r="T179" s="14">
        <f t="shared" si="95"/>
        <v>62227.369857446596</v>
      </c>
      <c r="U179" s="14">
        <f t="shared" si="95"/>
        <v>63802.129245752047</v>
      </c>
      <c r="V179" s="14">
        <f t="shared" si="95"/>
        <v>65411.215599803967</v>
      </c>
      <c r="W179" s="14">
        <f t="shared" si="95"/>
        <v>66593.587541678062</v>
      </c>
      <c r="X179" s="188">
        <f t="shared" si="95"/>
        <v>67662.946259059448</v>
      </c>
      <c r="Y179" s="159">
        <f t="shared" si="95"/>
        <v>68817.272528118105</v>
      </c>
      <c r="Z179" s="159">
        <f t="shared" si="95"/>
        <v>70035.917590108627</v>
      </c>
      <c r="AA179" s="159">
        <f t="shared" si="95"/>
        <v>71304.812979778231</v>
      </c>
      <c r="AB179" s="159">
        <f t="shared" si="95"/>
        <v>72609.740507318929</v>
      </c>
      <c r="AC179" s="159">
        <f t="shared" si="95"/>
        <v>73952.651530811185</v>
      </c>
      <c r="AD179" s="159">
        <f t="shared" si="95"/>
        <v>75361.374153836165</v>
      </c>
      <c r="AE179" s="159">
        <f t="shared" si="95"/>
        <v>76958.934183114354</v>
      </c>
      <c r="AF179" s="159">
        <f t="shared" si="95"/>
        <v>78495.185827212626</v>
      </c>
      <c r="AG179" s="159">
        <f t="shared" si="95"/>
        <v>80033.17442294088</v>
      </c>
      <c r="AH179" s="188">
        <f t="shared" si="95"/>
        <v>81555.712597662234</v>
      </c>
    </row>
    <row r="180" spans="1:35">
      <c r="A180" s="76" t="s">
        <v>308</v>
      </c>
      <c r="C180" s="301">
        <f>C118</f>
        <v>23863.240011999998</v>
      </c>
      <c r="D180" s="301">
        <f t="shared" ref="D180:AH180" si="96">D118+D250+D253</f>
        <v>25249.635674725592</v>
      </c>
      <c r="E180" s="301">
        <f t="shared" si="96"/>
        <v>23654.74337511239</v>
      </c>
      <c r="F180" s="301">
        <f t="shared" si="96"/>
        <v>24184.143528273329</v>
      </c>
      <c r="G180" s="301">
        <f t="shared" si="96"/>
        <v>23731.899324798782</v>
      </c>
      <c r="H180" s="373">
        <f t="shared" si="96"/>
        <v>23184.678442000004</v>
      </c>
      <c r="I180" s="14">
        <f t="shared" si="96"/>
        <v>23770.53919642626</v>
      </c>
      <c r="J180" s="14">
        <f t="shared" si="96"/>
        <v>24323.078817977585</v>
      </c>
      <c r="K180" s="14">
        <f t="shared" si="96"/>
        <v>25145.08795498807</v>
      </c>
      <c r="L180" s="14">
        <f t="shared" si="96"/>
        <v>26149.168958197788</v>
      </c>
      <c r="M180" s="14">
        <f t="shared" si="96"/>
        <v>27465.345658955001</v>
      </c>
      <c r="N180" s="188">
        <f t="shared" si="96"/>
        <v>28919.164560612713</v>
      </c>
      <c r="O180" s="14">
        <f t="shared" si="96"/>
        <v>29314.950354217573</v>
      </c>
      <c r="P180" s="14">
        <f t="shared" si="96"/>
        <v>29822.634845650762</v>
      </c>
      <c r="Q180" s="14">
        <f t="shared" si="96"/>
        <v>30397.512541824552</v>
      </c>
      <c r="R180" s="14">
        <f t="shared" si="96"/>
        <v>31181.944683938276</v>
      </c>
      <c r="S180" s="14">
        <f t="shared" si="96"/>
        <v>31951.67522454205</v>
      </c>
      <c r="T180" s="14">
        <f t="shared" si="96"/>
        <v>32751.247301762131</v>
      </c>
      <c r="U180" s="14">
        <f t="shared" si="96"/>
        <v>33580.068032857416</v>
      </c>
      <c r="V180" s="14">
        <f t="shared" si="96"/>
        <v>34426.955588047749</v>
      </c>
      <c r="W180" s="14">
        <f t="shared" si="96"/>
        <v>35049.256610464967</v>
      </c>
      <c r="X180" s="188">
        <f t="shared" si="96"/>
        <v>35612.076988407061</v>
      </c>
      <c r="Y180" s="159">
        <f t="shared" si="96"/>
        <v>36219.617130342041</v>
      </c>
      <c r="Z180" s="159">
        <f t="shared" si="96"/>
        <v>36861.009268573463</v>
      </c>
      <c r="AA180" s="159">
        <f t="shared" si="96"/>
        <v>37528.848947703809</v>
      </c>
      <c r="AB180" s="159">
        <f t="shared" si="96"/>
        <v>38215.65290993746</v>
      </c>
      <c r="AC180" s="159">
        <f t="shared" si="96"/>
        <v>38922.448185843801</v>
      </c>
      <c r="AD180" s="159">
        <f t="shared" si="96"/>
        <v>39663.881145733532</v>
      </c>
      <c r="AE180" s="159">
        <f t="shared" si="96"/>
        <v>40504.702214216872</v>
      </c>
      <c r="AF180" s="159">
        <f t="shared" si="96"/>
        <v>41313.255711552229</v>
      </c>
      <c r="AG180" s="159">
        <f t="shared" si="96"/>
        <v>42122.723393965702</v>
      </c>
      <c r="AH180" s="188">
        <f t="shared" si="96"/>
        <v>42924.059275856096</v>
      </c>
    </row>
    <row r="181" spans="1:35">
      <c r="A181" s="76" t="s">
        <v>309</v>
      </c>
      <c r="C181" s="301">
        <f>C145</f>
        <v>21476.916008099997</v>
      </c>
      <c r="D181" s="301">
        <f t="shared" ref="D181:AH181" si="97">D145+D251+D254</f>
        <v>22724.672103633489</v>
      </c>
      <c r="E181" s="301">
        <f t="shared" si="97"/>
        <v>21289.269033469958</v>
      </c>
      <c r="F181" s="301">
        <f t="shared" si="97"/>
        <v>21765.729170161412</v>
      </c>
      <c r="G181" s="301">
        <f t="shared" si="97"/>
        <v>21358.709385816594</v>
      </c>
      <c r="H181" s="373">
        <f>H145+H251+H254</f>
        <v>20866.210595100001</v>
      </c>
      <c r="I181" s="14">
        <f t="shared" si="97"/>
        <v>21393.485273294646</v>
      </c>
      <c r="J181" s="14">
        <f t="shared" si="97"/>
        <v>21890.770931699371</v>
      </c>
      <c r="K181" s="14">
        <f t="shared" si="97"/>
        <v>22630.579153708095</v>
      </c>
      <c r="L181" s="14">
        <f t="shared" si="97"/>
        <v>23534.252054933582</v>
      </c>
      <c r="M181" s="14">
        <f t="shared" si="97"/>
        <v>24718.81108347384</v>
      </c>
      <c r="N181" s="188">
        <f t="shared" si="97"/>
        <v>26027.248092336158</v>
      </c>
      <c r="O181" s="14">
        <f t="shared" si="97"/>
        <v>26383.455306118718</v>
      </c>
      <c r="P181" s="14">
        <f t="shared" si="97"/>
        <v>26840.371347883887</v>
      </c>
      <c r="Q181" s="14">
        <f t="shared" si="97"/>
        <v>27357.761273865712</v>
      </c>
      <c r="R181" s="14">
        <f t="shared" si="97"/>
        <v>28063.750201079823</v>
      </c>
      <c r="S181" s="14">
        <f t="shared" si="97"/>
        <v>28756.507686922923</v>
      </c>
      <c r="T181" s="14">
        <f t="shared" si="97"/>
        <v>29476.122555684466</v>
      </c>
      <c r="U181" s="14">
        <f t="shared" si="97"/>
        <v>30222.06121289463</v>
      </c>
      <c r="V181" s="14">
        <f t="shared" si="97"/>
        <v>30984.260011756214</v>
      </c>
      <c r="W181" s="14">
        <f t="shared" si="97"/>
        <v>31544.330931213091</v>
      </c>
      <c r="X181" s="188">
        <f t="shared" si="97"/>
        <v>32050.869270652383</v>
      </c>
      <c r="Y181" s="159">
        <f t="shared" si="97"/>
        <v>32597.655397776063</v>
      </c>
      <c r="Z181" s="159">
        <f t="shared" si="97"/>
        <v>33174.908321535164</v>
      </c>
      <c r="AA181" s="159">
        <f t="shared" si="97"/>
        <v>33775.964032074422</v>
      </c>
      <c r="AB181" s="159">
        <f t="shared" si="97"/>
        <v>34394.087597381469</v>
      </c>
      <c r="AC181" s="159">
        <f t="shared" si="97"/>
        <v>35030.203344967384</v>
      </c>
      <c r="AD181" s="159">
        <f t="shared" si="97"/>
        <v>35697.49300810264</v>
      </c>
      <c r="AE181" s="159">
        <f t="shared" si="97"/>
        <v>36454.231968897489</v>
      </c>
      <c r="AF181" s="159">
        <f t="shared" si="97"/>
        <v>37181.930115660398</v>
      </c>
      <c r="AG181" s="159">
        <f t="shared" si="97"/>
        <v>37910.451028975171</v>
      </c>
      <c r="AH181" s="188">
        <f t="shared" si="97"/>
        <v>38631.653321806145</v>
      </c>
      <c r="AI181" s="31" t="s">
        <v>0</v>
      </c>
    </row>
    <row r="182" spans="1:35" s="1" customFormat="1">
      <c r="A182" s="75" t="s">
        <v>310</v>
      </c>
      <c r="B182" s="13"/>
      <c r="C182" s="311" t="s">
        <v>0</v>
      </c>
      <c r="D182" s="311">
        <f t="shared" ref="D182:AH182" si="98">D179-D176</f>
        <v>605.87895555909199</v>
      </c>
      <c r="E182" s="311">
        <f t="shared" si="98"/>
        <v>479.03738778234401</v>
      </c>
      <c r="F182" s="311">
        <f t="shared" si="98"/>
        <v>1020.6661366347398</v>
      </c>
      <c r="G182" s="311">
        <f t="shared" si="98"/>
        <v>826.56115981537005</v>
      </c>
      <c r="H182" s="376">
        <f>H179-H176</f>
        <v>-395.6242537000071</v>
      </c>
      <c r="I182" s="15">
        <f t="shared" si="98"/>
        <v>-274.83159407909989</v>
      </c>
      <c r="J182" s="15">
        <f t="shared" si="98"/>
        <v>17.347291876954841</v>
      </c>
      <c r="K182" s="15">
        <f t="shared" si="98"/>
        <v>1113.6841448961641</v>
      </c>
      <c r="L182" s="15">
        <f t="shared" si="98"/>
        <v>2584.7023963313695</v>
      </c>
      <c r="M182" s="15">
        <f t="shared" si="98"/>
        <v>4644.3379446288309</v>
      </c>
      <c r="N182" s="191">
        <f t="shared" si="98"/>
        <v>7393.4727021488652</v>
      </c>
      <c r="O182" s="15">
        <f t="shared" si="98"/>
        <v>7726.9196495362921</v>
      </c>
      <c r="P182" s="15">
        <f t="shared" si="98"/>
        <v>8111.1149657346396</v>
      </c>
      <c r="Q182" s="15">
        <f t="shared" si="98"/>
        <v>8531.2801218902605</v>
      </c>
      <c r="R182" s="15">
        <f t="shared" si="98"/>
        <v>9067.237578218097</v>
      </c>
      <c r="S182" s="15">
        <f t="shared" si="98"/>
        <v>9200.1382466649666</v>
      </c>
      <c r="T182" s="15">
        <f t="shared" si="98"/>
        <v>9741.5819246465908</v>
      </c>
      <c r="U182" s="15">
        <f t="shared" si="98"/>
        <v>10318.138787952048</v>
      </c>
      <c r="V182" s="15">
        <f t="shared" si="98"/>
        <v>10839.911629003967</v>
      </c>
      <c r="W182" s="15">
        <f t="shared" si="98"/>
        <v>11194.674198878056</v>
      </c>
      <c r="X182" s="191">
        <f t="shared" si="98"/>
        <v>11575.155958259449</v>
      </c>
      <c r="Y182" s="131">
        <f t="shared" si="98"/>
        <v>11985.703078318104</v>
      </c>
      <c r="Z182" s="131">
        <f t="shared" si="98"/>
        <v>12519.960711308624</v>
      </c>
      <c r="AA182" s="131">
        <f t="shared" si="98"/>
        <v>12953.06952797823</v>
      </c>
      <c r="AB182" s="131">
        <f t="shared" si="98"/>
        <v>13301.85864951893</v>
      </c>
      <c r="AC182" s="131">
        <f t="shared" si="98"/>
        <v>13674.013370011191</v>
      </c>
      <c r="AD182" s="131">
        <f t="shared" si="98"/>
        <v>14062.644936036158</v>
      </c>
      <c r="AE182" s="131">
        <f t="shared" si="98"/>
        <v>14476.096978314352</v>
      </c>
      <c r="AF182" s="131">
        <f t="shared" si="98"/>
        <v>14893.282347412627</v>
      </c>
      <c r="AG182" s="131">
        <f t="shared" si="98"/>
        <v>15301.009412140877</v>
      </c>
      <c r="AH182" s="191">
        <f t="shared" si="98"/>
        <v>15717.476931862242</v>
      </c>
    </row>
    <row r="183" spans="1:35" s="20" customFormat="1">
      <c r="A183" s="20" t="s">
        <v>311</v>
      </c>
      <c r="B183" s="33"/>
      <c r="C183" s="304" t="s">
        <v>0</v>
      </c>
      <c r="D183" s="304">
        <f t="shared" ref="D183:AH183" si="99">D180-D177</f>
        <v>318.88366272559506</v>
      </c>
      <c r="E183" s="304">
        <f t="shared" si="99"/>
        <v>252.12494311238697</v>
      </c>
      <c r="F183" s="304">
        <f t="shared" si="99"/>
        <v>537.19270627332662</v>
      </c>
      <c r="G183" s="304">
        <f t="shared" si="99"/>
        <v>435.03219279878249</v>
      </c>
      <c r="H183" s="375">
        <f>H180-H177</f>
        <v>-208.22328999999809</v>
      </c>
      <c r="I183" s="19">
        <f t="shared" si="99"/>
        <v>-144.64820557374333</v>
      </c>
      <c r="J183" s="19">
        <f t="shared" si="99"/>
        <v>9.1301559775820351</v>
      </c>
      <c r="K183" s="19">
        <f t="shared" si="99"/>
        <v>586.14955298807035</v>
      </c>
      <c r="L183" s="19">
        <f t="shared" si="99"/>
        <v>1360.3696861977842</v>
      </c>
      <c r="M183" s="19">
        <f t="shared" si="99"/>
        <v>2444.3883969550006</v>
      </c>
      <c r="N183" s="183">
        <f t="shared" si="99"/>
        <v>3891.3014286127072</v>
      </c>
      <c r="O183" s="19">
        <f t="shared" si="99"/>
        <v>4066.7998222175738</v>
      </c>
      <c r="P183" s="19">
        <f t="shared" si="99"/>
        <v>4269.00788365076</v>
      </c>
      <c r="Q183" s="19">
        <f t="shared" si="99"/>
        <v>4490.1474398245518</v>
      </c>
      <c r="R183" s="19">
        <f t="shared" si="99"/>
        <v>4772.2303119382741</v>
      </c>
      <c r="S183" s="19">
        <f t="shared" si="99"/>
        <v>4842.1780325420477</v>
      </c>
      <c r="T183" s="19">
        <f t="shared" si="99"/>
        <v>5127.1483897621292</v>
      </c>
      <c r="U183" s="19">
        <f t="shared" si="99"/>
        <v>5430.5993708574133</v>
      </c>
      <c r="V183" s="19">
        <f t="shared" si="99"/>
        <v>5705.216656047749</v>
      </c>
      <c r="W183" s="19">
        <f t="shared" si="99"/>
        <v>5891.9337984649646</v>
      </c>
      <c r="X183" s="183">
        <f t="shared" si="99"/>
        <v>6092.1873564070629</v>
      </c>
      <c r="Y183" s="207">
        <f t="shared" si="99"/>
        <v>6308.2647883420432</v>
      </c>
      <c r="Z183" s="207">
        <f t="shared" si="99"/>
        <v>6589.4530165734614</v>
      </c>
      <c r="AA183" s="207">
        <f t="shared" si="99"/>
        <v>6817.4050257038107</v>
      </c>
      <c r="AB183" s="207">
        <f t="shared" si="99"/>
        <v>7000.9782479374626</v>
      </c>
      <c r="AC183" s="207">
        <f t="shared" si="99"/>
        <v>7196.8491538438029</v>
      </c>
      <c r="AD183" s="207">
        <f t="shared" si="99"/>
        <v>7401.3920837335318</v>
      </c>
      <c r="AE183" s="207">
        <f t="shared" si="99"/>
        <v>7618.9984222168714</v>
      </c>
      <c r="AF183" s="207">
        <f t="shared" si="99"/>
        <v>7838.5696695522274</v>
      </c>
      <c r="AG183" s="207">
        <f t="shared" si="99"/>
        <v>8053.1628619656985</v>
      </c>
      <c r="AH183" s="183">
        <f t="shared" si="99"/>
        <v>8272.3562938560935</v>
      </c>
    </row>
    <row r="184" spans="1:35" s="20" customFormat="1">
      <c r="A184" s="20" t="s">
        <v>312</v>
      </c>
      <c r="B184" s="33"/>
      <c r="C184" s="304" t="s">
        <v>0</v>
      </c>
      <c r="D184" s="304">
        <f t="shared" ref="D184:AH184" si="100">D181-D178</f>
        <v>286.99529283349329</v>
      </c>
      <c r="E184" s="304">
        <f t="shared" si="100"/>
        <v>226.91244466995704</v>
      </c>
      <c r="F184" s="304">
        <f t="shared" si="100"/>
        <v>483.47343036140956</v>
      </c>
      <c r="G184" s="304">
        <f t="shared" si="100"/>
        <v>391.5289670165912</v>
      </c>
      <c r="H184" s="375">
        <f t="shared" si="100"/>
        <v>-187.40096370000174</v>
      </c>
      <c r="I184" s="19">
        <f t="shared" si="100"/>
        <v>-130.18338850535656</v>
      </c>
      <c r="J184" s="19">
        <f t="shared" si="100"/>
        <v>8.2171358993691683</v>
      </c>
      <c r="K184" s="19">
        <f t="shared" si="100"/>
        <v>527.53459190809372</v>
      </c>
      <c r="L184" s="19">
        <f t="shared" si="100"/>
        <v>1224.3327101335817</v>
      </c>
      <c r="M184" s="19">
        <f t="shared" si="100"/>
        <v>2199.9495476738375</v>
      </c>
      <c r="N184" s="183">
        <f t="shared" si="100"/>
        <v>3502.1712735361543</v>
      </c>
      <c r="O184" s="19">
        <f t="shared" si="100"/>
        <v>3660.1198273187183</v>
      </c>
      <c r="P184" s="19">
        <f t="shared" si="100"/>
        <v>3842.1070820838831</v>
      </c>
      <c r="Q184" s="19">
        <f t="shared" si="100"/>
        <v>4041.1326820657123</v>
      </c>
      <c r="R184" s="19">
        <f t="shared" si="100"/>
        <v>4295.0072662798193</v>
      </c>
      <c r="S184" s="19">
        <f t="shared" si="100"/>
        <v>4357.9602141229188</v>
      </c>
      <c r="T184" s="19">
        <f t="shared" si="100"/>
        <v>4614.4335348844616</v>
      </c>
      <c r="U184" s="19">
        <f t="shared" si="100"/>
        <v>4887.5394170946311</v>
      </c>
      <c r="V184" s="19">
        <f t="shared" si="100"/>
        <v>5134.6949729562148</v>
      </c>
      <c r="W184" s="19">
        <f t="shared" si="100"/>
        <v>5302.7404004130913</v>
      </c>
      <c r="X184" s="183">
        <f t="shared" si="100"/>
        <v>5482.9686018523826</v>
      </c>
      <c r="Y184" s="207">
        <f t="shared" si="100"/>
        <v>5677.4382899760603</v>
      </c>
      <c r="Z184" s="207">
        <f t="shared" si="100"/>
        <v>5930.5076947351627</v>
      </c>
      <c r="AA184" s="207">
        <f t="shared" si="100"/>
        <v>6135.6645022744196</v>
      </c>
      <c r="AB184" s="207">
        <f t="shared" si="100"/>
        <v>6300.8804015814676</v>
      </c>
      <c r="AC184" s="207">
        <f t="shared" si="100"/>
        <v>6477.1642161673844</v>
      </c>
      <c r="AD184" s="207">
        <f t="shared" si="100"/>
        <v>6661.252852302634</v>
      </c>
      <c r="AE184" s="207">
        <f t="shared" si="100"/>
        <v>6857.0985560974877</v>
      </c>
      <c r="AF184" s="207">
        <f t="shared" si="100"/>
        <v>7054.7126778603997</v>
      </c>
      <c r="AG184" s="207">
        <f t="shared" si="100"/>
        <v>7247.8465501751707</v>
      </c>
      <c r="AH184" s="183">
        <f t="shared" si="100"/>
        <v>7445.1206380061485</v>
      </c>
    </row>
    <row r="185" spans="1:35" s="1" customFormat="1">
      <c r="A185" s="1" t="s">
        <v>456</v>
      </c>
      <c r="B185" s="13"/>
      <c r="C185" s="311"/>
      <c r="D185" s="311">
        <f>D182</f>
        <v>605.87895555909199</v>
      </c>
      <c r="E185" s="311">
        <f>D185+E182</f>
        <v>1084.916343341436</v>
      </c>
      <c r="F185" s="311">
        <f t="shared" ref="E185:N187" si="101">E185+F182</f>
        <v>2105.5824799761758</v>
      </c>
      <c r="G185" s="311">
        <f t="shared" si="101"/>
        <v>2932.1436397915459</v>
      </c>
      <c r="H185" s="376">
        <f>H182</f>
        <v>-395.6242537000071</v>
      </c>
      <c r="I185" s="15">
        <f t="shared" si="101"/>
        <v>-670.45584777910699</v>
      </c>
      <c r="J185" s="15">
        <f t="shared" si="101"/>
        <v>-653.10855590215215</v>
      </c>
      <c r="K185" s="15">
        <f t="shared" si="101"/>
        <v>460.57558899401192</v>
      </c>
      <c r="L185" s="15">
        <f t="shared" si="101"/>
        <v>3045.2779853253815</v>
      </c>
      <c r="M185" s="15">
        <f t="shared" si="101"/>
        <v>7689.6159299542123</v>
      </c>
      <c r="N185" s="15">
        <f t="shared" si="101"/>
        <v>15083.088632103078</v>
      </c>
      <c r="O185" s="15">
        <f t="shared" ref="O185:X185" si="102">N185+O182</f>
        <v>22810.00828163937</v>
      </c>
      <c r="P185" s="15">
        <f t="shared" si="102"/>
        <v>30921.123247374009</v>
      </c>
      <c r="Q185" s="15">
        <f t="shared" si="102"/>
        <v>39452.40336926427</v>
      </c>
      <c r="R185" s="15">
        <f t="shared" si="102"/>
        <v>48519.640947482367</v>
      </c>
      <c r="S185" s="131">
        <f t="shared" si="102"/>
        <v>57719.779194147333</v>
      </c>
      <c r="T185" s="15">
        <f t="shared" si="102"/>
        <v>67461.361118793924</v>
      </c>
      <c r="U185" s="15">
        <f t="shared" si="102"/>
        <v>77779.499906745972</v>
      </c>
      <c r="V185" s="15">
        <f t="shared" si="102"/>
        <v>88619.41153574994</v>
      </c>
      <c r="W185" s="15">
        <f t="shared" si="102"/>
        <v>99814.085734627995</v>
      </c>
      <c r="X185" s="191">
        <f t="shared" si="102"/>
        <v>111389.24169288744</v>
      </c>
      <c r="Y185" s="131">
        <f t="shared" ref="Y185:AH185" si="103">X185+Y182</f>
        <v>123374.94477120554</v>
      </c>
      <c r="Z185" s="131">
        <f t="shared" si="103"/>
        <v>135894.90548251418</v>
      </c>
      <c r="AA185" s="131">
        <f t="shared" si="103"/>
        <v>148847.9750104924</v>
      </c>
      <c r="AB185" s="131">
        <f t="shared" si="103"/>
        <v>162149.83366001133</v>
      </c>
      <c r="AC185" s="131">
        <f t="shared" si="103"/>
        <v>175823.84703002253</v>
      </c>
      <c r="AD185" s="131">
        <f t="shared" si="103"/>
        <v>189886.49196605867</v>
      </c>
      <c r="AE185" s="131">
        <f t="shared" si="103"/>
        <v>204362.58894437301</v>
      </c>
      <c r="AF185" s="131">
        <f t="shared" si="103"/>
        <v>219255.87129178565</v>
      </c>
      <c r="AG185" s="131">
        <f t="shared" si="103"/>
        <v>234556.88070392652</v>
      </c>
      <c r="AH185" s="191">
        <f t="shared" si="103"/>
        <v>250274.35763578877</v>
      </c>
    </row>
    <row r="186" spans="1:35" s="20" customFormat="1">
      <c r="A186" s="20" t="s">
        <v>457</v>
      </c>
      <c r="B186" s="33"/>
      <c r="C186" s="304"/>
      <c r="D186" s="304">
        <f>D183</f>
        <v>318.88366272559506</v>
      </c>
      <c r="E186" s="304">
        <f t="shared" si="101"/>
        <v>571.00860583798203</v>
      </c>
      <c r="F186" s="304">
        <f t="shared" si="101"/>
        <v>1108.2013121113087</v>
      </c>
      <c r="G186" s="304">
        <f t="shared" si="101"/>
        <v>1543.2335049100911</v>
      </c>
      <c r="H186" s="375">
        <f t="shared" si="101"/>
        <v>1335.0102149100931</v>
      </c>
      <c r="I186" s="19">
        <f t="shared" ref="I186:X186" si="104">H186+I183</f>
        <v>1190.3620093363497</v>
      </c>
      <c r="J186" s="19">
        <f t="shared" si="104"/>
        <v>1199.4921653139318</v>
      </c>
      <c r="K186" s="19">
        <f t="shared" si="104"/>
        <v>1785.6417183020021</v>
      </c>
      <c r="L186" s="19">
        <f t="shared" si="104"/>
        <v>3146.0114044997863</v>
      </c>
      <c r="M186" s="19">
        <f t="shared" si="104"/>
        <v>5590.3998014547869</v>
      </c>
      <c r="N186" s="183">
        <f t="shared" si="104"/>
        <v>9481.7012300674942</v>
      </c>
      <c r="O186" s="19">
        <f t="shared" si="104"/>
        <v>13548.501052285068</v>
      </c>
      <c r="P186" s="19">
        <f t="shared" si="104"/>
        <v>17817.508935935828</v>
      </c>
      <c r="Q186" s="19">
        <f t="shared" si="104"/>
        <v>22307.65637576038</v>
      </c>
      <c r="R186" s="19">
        <f t="shared" si="104"/>
        <v>27079.886687698654</v>
      </c>
      <c r="S186" s="207">
        <f t="shared" si="104"/>
        <v>31922.064720240702</v>
      </c>
      <c r="T186" s="19">
        <f t="shared" si="104"/>
        <v>37049.213110002835</v>
      </c>
      <c r="U186" s="19">
        <f t="shared" si="104"/>
        <v>42479.812480860244</v>
      </c>
      <c r="V186" s="19">
        <f t="shared" si="104"/>
        <v>48185.029136907993</v>
      </c>
      <c r="W186" s="19">
        <f t="shared" si="104"/>
        <v>54076.962935372954</v>
      </c>
      <c r="X186" s="183">
        <f t="shared" si="104"/>
        <v>60169.150291780017</v>
      </c>
      <c r="Y186" s="207">
        <f t="shared" ref="Y186:AH186" si="105">X186+Y183</f>
        <v>66477.415080122068</v>
      </c>
      <c r="Z186" s="207">
        <f t="shared" si="105"/>
        <v>73066.868096695529</v>
      </c>
      <c r="AA186" s="207">
        <f t="shared" si="105"/>
        <v>79884.273122399347</v>
      </c>
      <c r="AB186" s="207">
        <f t="shared" si="105"/>
        <v>86885.251370336802</v>
      </c>
      <c r="AC186" s="207">
        <f t="shared" si="105"/>
        <v>94082.100524180598</v>
      </c>
      <c r="AD186" s="207">
        <f t="shared" si="105"/>
        <v>101483.49260791413</v>
      </c>
      <c r="AE186" s="207">
        <f t="shared" si="105"/>
        <v>109102.491030131</v>
      </c>
      <c r="AF186" s="207">
        <f t="shared" si="105"/>
        <v>116941.06069968324</v>
      </c>
      <c r="AG186" s="207">
        <f t="shared" si="105"/>
        <v>124994.22356164893</v>
      </c>
      <c r="AH186" s="183">
        <f t="shared" si="105"/>
        <v>133266.57985550503</v>
      </c>
    </row>
    <row r="187" spans="1:35" s="20" customFormat="1">
      <c r="A187" s="20" t="s">
        <v>458</v>
      </c>
      <c r="B187" s="33"/>
      <c r="C187" s="304"/>
      <c r="D187" s="304">
        <f>D184</f>
        <v>286.99529283349329</v>
      </c>
      <c r="E187" s="304">
        <f t="shared" si="101"/>
        <v>513.90773750345033</v>
      </c>
      <c r="F187" s="304">
        <f t="shared" si="101"/>
        <v>997.38116786485989</v>
      </c>
      <c r="G187" s="304">
        <f t="shared" si="101"/>
        <v>1388.9101348814511</v>
      </c>
      <c r="H187" s="375">
        <f t="shared" si="101"/>
        <v>1201.5091711814493</v>
      </c>
      <c r="I187" s="19">
        <f t="shared" ref="I187:X187" si="106">H187+I184</f>
        <v>1071.3257826760928</v>
      </c>
      <c r="J187" s="19">
        <f t="shared" si="106"/>
        <v>1079.542918575462</v>
      </c>
      <c r="K187" s="19">
        <f t="shared" si="106"/>
        <v>1607.0775104835557</v>
      </c>
      <c r="L187" s="19">
        <f t="shared" si="106"/>
        <v>2831.4102206171374</v>
      </c>
      <c r="M187" s="19">
        <f t="shared" si="106"/>
        <v>5031.3597682909749</v>
      </c>
      <c r="N187" s="183">
        <f t="shared" si="106"/>
        <v>8533.5310418271292</v>
      </c>
      <c r="O187" s="19">
        <f t="shared" si="106"/>
        <v>12193.650869145848</v>
      </c>
      <c r="P187" s="19">
        <f t="shared" si="106"/>
        <v>16035.757951229731</v>
      </c>
      <c r="Q187" s="19">
        <f t="shared" si="106"/>
        <v>20076.890633295443</v>
      </c>
      <c r="R187" s="19">
        <f t="shared" si="106"/>
        <v>24371.897899575262</v>
      </c>
      <c r="S187" s="207">
        <f t="shared" si="106"/>
        <v>28729.858113698181</v>
      </c>
      <c r="T187" s="19">
        <f t="shared" si="106"/>
        <v>33344.291648582643</v>
      </c>
      <c r="U187" s="19">
        <f t="shared" si="106"/>
        <v>38231.831065677274</v>
      </c>
      <c r="V187" s="19">
        <f t="shared" si="106"/>
        <v>43366.526038633485</v>
      </c>
      <c r="W187" s="19">
        <f t="shared" si="106"/>
        <v>48669.26643904658</v>
      </c>
      <c r="X187" s="183">
        <f t="shared" si="106"/>
        <v>54152.235040898959</v>
      </c>
      <c r="Y187" s="207">
        <f t="shared" ref="Y187:AH187" si="107">X187+Y184</f>
        <v>59829.673330875019</v>
      </c>
      <c r="Z187" s="207">
        <f t="shared" si="107"/>
        <v>65760.181025610189</v>
      </c>
      <c r="AA187" s="207">
        <f t="shared" si="107"/>
        <v>71895.845527884609</v>
      </c>
      <c r="AB187" s="207">
        <f t="shared" si="107"/>
        <v>78196.725929466076</v>
      </c>
      <c r="AC187" s="207">
        <f t="shared" si="107"/>
        <v>84673.890145633457</v>
      </c>
      <c r="AD187" s="207">
        <f t="shared" si="107"/>
        <v>91335.142997936084</v>
      </c>
      <c r="AE187" s="207">
        <f t="shared" si="107"/>
        <v>98192.241554033564</v>
      </c>
      <c r="AF187" s="207">
        <f t="shared" si="107"/>
        <v>105246.95423189396</v>
      </c>
      <c r="AG187" s="207">
        <f t="shared" si="107"/>
        <v>112494.80078206913</v>
      </c>
      <c r="AH187" s="183">
        <f t="shared" si="107"/>
        <v>119939.92142007528</v>
      </c>
    </row>
    <row r="188" spans="1:35" s="257" customFormat="1">
      <c r="A188" s="257" t="s">
        <v>556</v>
      </c>
      <c r="B188" s="258"/>
      <c r="C188" s="311"/>
      <c r="D188" s="311"/>
      <c r="E188" s="311"/>
      <c r="F188" s="311"/>
      <c r="G188" s="311"/>
      <c r="H188" s="259"/>
      <c r="I188" s="259"/>
      <c r="J188" s="259"/>
      <c r="K188" s="259"/>
      <c r="L188" s="259"/>
      <c r="M188" s="259"/>
      <c r="N188" s="259"/>
      <c r="O188" s="259"/>
      <c r="P188" s="259"/>
      <c r="Q188" s="259"/>
      <c r="R188" s="259"/>
      <c r="S188" s="259"/>
      <c r="T188" s="259"/>
      <c r="U188" s="259"/>
      <c r="V188" s="259"/>
      <c r="W188" s="259"/>
      <c r="X188" s="342"/>
      <c r="Y188" s="260"/>
      <c r="Z188" s="260"/>
      <c r="AA188" s="260"/>
      <c r="AB188" s="260"/>
      <c r="AC188" s="260"/>
      <c r="AD188" s="260"/>
      <c r="AE188" s="260"/>
      <c r="AF188" s="260"/>
      <c r="AG188" s="260"/>
      <c r="AH188" s="342"/>
    </row>
    <row r="189" spans="1:35" s="1" customFormat="1">
      <c r="B189" s="13"/>
      <c r="C189" s="311"/>
      <c r="D189" s="311"/>
      <c r="E189" s="311"/>
      <c r="F189" s="311"/>
      <c r="G189" s="311"/>
      <c r="H189" s="376"/>
      <c r="I189" s="15" t="s">
        <v>0</v>
      </c>
      <c r="J189" s="15" t="s">
        <v>0</v>
      </c>
      <c r="K189" s="15" t="s">
        <v>0</v>
      </c>
      <c r="L189" s="15" t="s">
        <v>0</v>
      </c>
      <c r="M189" s="15" t="s">
        <v>0</v>
      </c>
      <c r="N189" s="15" t="s">
        <v>0</v>
      </c>
      <c r="O189" s="131"/>
      <c r="P189" s="131"/>
      <c r="Q189" s="131"/>
      <c r="R189" s="131"/>
      <c r="S189" s="159"/>
      <c r="T189" s="131"/>
      <c r="U189" s="15"/>
      <c r="V189" s="15"/>
      <c r="W189" s="15"/>
      <c r="X189" s="191"/>
      <c r="Y189"/>
      <c r="Z189"/>
      <c r="AA189"/>
      <c r="AB189"/>
      <c r="AC189"/>
      <c r="AD189"/>
      <c r="AE189"/>
      <c r="AF189"/>
      <c r="AG189"/>
      <c r="AH189" s="246"/>
    </row>
    <row r="190" spans="1:35" s="1" customFormat="1">
      <c r="A190" s="1" t="s">
        <v>418</v>
      </c>
      <c r="B190" s="13"/>
      <c r="C190" s="298"/>
      <c r="D190" s="298"/>
      <c r="E190" s="298"/>
      <c r="F190" s="298"/>
      <c r="G190" s="298"/>
      <c r="H190" s="371"/>
      <c r="I190" s="15" t="s">
        <v>0</v>
      </c>
      <c r="J190" s="13"/>
      <c r="K190" s="13"/>
      <c r="L190" s="13"/>
      <c r="M190" s="13"/>
      <c r="N190" s="192"/>
      <c r="O190" s="13"/>
      <c r="P190" s="13"/>
      <c r="Q190" s="13"/>
      <c r="R190" s="13"/>
      <c r="T190" s="13"/>
      <c r="U190" s="13"/>
      <c r="V190" s="13"/>
      <c r="W190" s="13"/>
      <c r="X190" s="177"/>
      <c r="Y190"/>
      <c r="Z190"/>
      <c r="AA190"/>
      <c r="AB190"/>
      <c r="AC190"/>
      <c r="AD190"/>
      <c r="AE190"/>
      <c r="AF190"/>
      <c r="AG190"/>
      <c r="AH190" s="246"/>
    </row>
    <row r="191" spans="1:35">
      <c r="A191" t="s">
        <v>412</v>
      </c>
      <c r="I191" s="112"/>
      <c r="J191" s="112"/>
      <c r="K191" s="112"/>
      <c r="L191" s="112"/>
      <c r="M191" s="132"/>
      <c r="N191" s="193"/>
      <c r="O191" s="132"/>
      <c r="P191" s="112"/>
      <c r="Q191" s="112"/>
      <c r="R191" s="132"/>
      <c r="S191" s="132"/>
      <c r="T191" s="132"/>
      <c r="U191" s="132"/>
      <c r="V191" s="112"/>
      <c r="W191" s="112"/>
    </row>
    <row r="192" spans="1:35">
      <c r="A192" t="s">
        <v>413</v>
      </c>
      <c r="I192" s="112"/>
      <c r="J192" s="112"/>
      <c r="K192" s="112"/>
      <c r="L192" s="112"/>
      <c r="M192" s="132"/>
      <c r="N192" s="193"/>
      <c r="O192" s="132"/>
      <c r="P192" s="112"/>
      <c r="Q192" s="112"/>
      <c r="R192" s="132"/>
      <c r="S192" s="132"/>
      <c r="T192" s="132"/>
      <c r="U192" s="132"/>
      <c r="V192" s="112"/>
      <c r="W192" s="112"/>
    </row>
    <row r="193" spans="1:34">
      <c r="A193" t="s">
        <v>414</v>
      </c>
      <c r="I193" s="112"/>
      <c r="J193" s="112"/>
      <c r="K193" s="112"/>
      <c r="L193" s="112"/>
      <c r="M193" s="132"/>
      <c r="N193" s="193"/>
      <c r="O193" s="132"/>
      <c r="P193" s="112"/>
      <c r="Q193" s="112"/>
      <c r="R193" s="132"/>
      <c r="S193" s="132"/>
      <c r="T193" s="132"/>
      <c r="U193" s="132"/>
      <c r="V193" s="112"/>
      <c r="W193" s="112"/>
    </row>
    <row r="194" spans="1:34">
      <c r="A194" t="s">
        <v>394</v>
      </c>
      <c r="C194" s="301">
        <f>SUM(C195:C196)</f>
        <v>1517.3058513000001</v>
      </c>
      <c r="D194" s="301">
        <f t="shared" ref="D194:AH194" si="108">SUM(D195:D196)</f>
        <v>1548.0288512999998</v>
      </c>
      <c r="E194" s="301">
        <f t="shared" si="108"/>
        <v>1579.1469373</v>
      </c>
      <c r="F194" s="301">
        <f t="shared" si="108"/>
        <v>1741.4011423000002</v>
      </c>
      <c r="G194" s="301">
        <f t="shared" si="108"/>
        <v>2209.4111562999997</v>
      </c>
      <c r="H194" s="373">
        <f t="shared" si="108"/>
        <v>2660.1630713000004</v>
      </c>
      <c r="I194" s="14">
        <f t="shared" si="108"/>
        <v>3097.5279092999999</v>
      </c>
      <c r="J194" s="14">
        <f t="shared" si="108"/>
        <v>3625.3808552999999</v>
      </c>
      <c r="K194" s="14">
        <f t="shared" si="108"/>
        <v>3575.6434913000003</v>
      </c>
      <c r="L194" s="14">
        <f t="shared" si="108"/>
        <v>3609.8365753000003</v>
      </c>
      <c r="M194" s="14">
        <f t="shared" si="108"/>
        <v>3637.5798052999999</v>
      </c>
      <c r="N194" s="188">
        <f t="shared" si="108"/>
        <v>3688.3704913000001</v>
      </c>
      <c r="O194" s="14">
        <f t="shared" si="108"/>
        <v>3744.5497292999999</v>
      </c>
      <c r="P194" s="14">
        <f t="shared" si="108"/>
        <v>3811.9886902999997</v>
      </c>
      <c r="Q194" s="14">
        <f t="shared" si="108"/>
        <v>3894.3324483000006</v>
      </c>
      <c r="R194" s="14">
        <f t="shared" si="108"/>
        <v>3950.9692633000004</v>
      </c>
      <c r="S194" s="15">
        <f t="shared" si="108"/>
        <v>4867.5387633</v>
      </c>
      <c r="T194" s="14">
        <f t="shared" si="108"/>
        <v>4984.6214942999995</v>
      </c>
      <c r="U194" s="14">
        <f t="shared" si="108"/>
        <v>5093.6349823</v>
      </c>
      <c r="V194" s="14">
        <f t="shared" si="108"/>
        <v>5228.9721912999994</v>
      </c>
      <c r="W194" s="14">
        <f t="shared" si="108"/>
        <v>5424.0177933000014</v>
      </c>
      <c r="X194" s="188">
        <f t="shared" si="108"/>
        <v>5655.6819813000011</v>
      </c>
      <c r="Y194" s="159">
        <f t="shared" si="108"/>
        <v>5877.4298983000008</v>
      </c>
      <c r="Z194" s="159">
        <f t="shared" si="108"/>
        <v>6027.8360073000003</v>
      </c>
      <c r="AA194" s="159">
        <f t="shared" si="108"/>
        <v>6268.5484323000001</v>
      </c>
      <c r="AB194" s="159">
        <f t="shared" si="108"/>
        <v>6619.9928573000007</v>
      </c>
      <c r="AC194" s="159">
        <f t="shared" si="108"/>
        <v>6970.5486903000001</v>
      </c>
      <c r="AD194" s="159">
        <f t="shared" si="108"/>
        <v>7207.0064453000005</v>
      </c>
      <c r="AE194" s="159">
        <f t="shared" si="108"/>
        <v>7490.0178293000008</v>
      </c>
      <c r="AF194" s="159">
        <f t="shared" si="108"/>
        <v>7658.7528393000011</v>
      </c>
      <c r="AG194" s="159">
        <f t="shared" si="108"/>
        <v>7834.2596203000012</v>
      </c>
      <c r="AH194" s="188">
        <f t="shared" si="108"/>
        <v>8015.5488422999997</v>
      </c>
    </row>
    <row r="195" spans="1:34">
      <c r="A195" t="s">
        <v>395</v>
      </c>
      <c r="C195" s="300">
        <f>'Output - Jobs vs Yr (BAU)'!C51</f>
        <v>798.58202700000004</v>
      </c>
      <c r="D195" s="300">
        <f>'Output - Jobs vs Yr (BAU)'!D51</f>
        <v>814.752027</v>
      </c>
      <c r="E195" s="300">
        <f>'Output - Jobs vs Yr (BAU)'!E51</f>
        <v>831.12996699999985</v>
      </c>
      <c r="F195" s="300">
        <f>'Output - Jobs vs Yr (BAU)'!F51</f>
        <v>916.52691700000003</v>
      </c>
      <c r="G195" s="300">
        <f>'Output - Jobs vs Yr (BAU)'!G51</f>
        <v>1162.8479769999999</v>
      </c>
      <c r="H195" s="252">
        <f>'Output - Jobs vs Yr (BAU)'!H51</f>
        <v>1400.0858270000001</v>
      </c>
      <c r="I195" s="118">
        <f>'Output - Jobs vs Yr (BAU)'!I51</f>
        <v>1630.2778469999998</v>
      </c>
      <c r="J195" s="118">
        <f>'Output - Jobs vs Yr (BAU)'!J51</f>
        <v>1908.0951869999997</v>
      </c>
      <c r="K195" s="118">
        <f>'Output - Jobs vs Yr (BAU)'!K51</f>
        <v>1881.9176269999998</v>
      </c>
      <c r="L195" s="118">
        <f>'Output - Jobs vs Yr (BAU)'!L51</f>
        <v>1899.9139870000001</v>
      </c>
      <c r="M195" s="118">
        <f>'Output - Jobs vs Yr (BAU)'!M51</f>
        <v>1914.5156869999998</v>
      </c>
      <c r="N195" s="178">
        <f>'Output - Jobs vs Yr (BAU)'!N51</f>
        <v>1941.247627</v>
      </c>
      <c r="O195" s="118">
        <f>'Output - Jobs vs Yr (BAU)'!O51</f>
        <v>1970.8156469999999</v>
      </c>
      <c r="P195" s="118">
        <f>'Output - Jobs vs Yr (BAU)'!P51</f>
        <v>2006.3098369999998</v>
      </c>
      <c r="Q195" s="118">
        <f>'Output - Jobs vs Yr (BAU)'!Q51</f>
        <v>2049.6486570000002</v>
      </c>
      <c r="R195" s="118">
        <f>'Output - Jobs vs Yr (BAU)'!R51</f>
        <v>2079.4575070000001</v>
      </c>
      <c r="S195" s="118">
        <f>'Output - Jobs vs Yr (BAU)'!S51</f>
        <v>2561.8625070000003</v>
      </c>
      <c r="T195" s="118">
        <f>'Output - Jobs vs Yr (BAU)'!T51</f>
        <v>2623.484997</v>
      </c>
      <c r="U195" s="118">
        <f>'Output - Jobs vs Yr (BAU)'!U51</f>
        <v>2680.8605170000005</v>
      </c>
      <c r="V195" s="118">
        <f>'Output - Jobs vs Yr (BAU)'!V51</f>
        <v>2752.090627</v>
      </c>
      <c r="W195" s="118">
        <f>'Output - Jobs vs Yr (BAU)'!W51</f>
        <v>2854.7462070000006</v>
      </c>
      <c r="X195" s="185">
        <f>'Output - Jobs vs Yr (BAU)'!X51</f>
        <v>2976.6747270000005</v>
      </c>
      <c r="Y195" s="237">
        <f>'Output - Jobs vs Yr (BAU)'!Y51</f>
        <v>3093.3841570000004</v>
      </c>
      <c r="Z195" s="237">
        <f>'Output - Jobs vs Yr (BAU)'!Z51</f>
        <v>3172.5452670000004</v>
      </c>
      <c r="AA195" s="237">
        <f>'Output - Jobs vs Yr (BAU)'!AA51</f>
        <v>3299.2360170000002</v>
      </c>
      <c r="AB195" s="237">
        <f>'Output - Jobs vs Yr (BAU)'!AB51</f>
        <v>3484.2067670000001</v>
      </c>
      <c r="AC195" s="237">
        <f>'Output - Jobs vs Yr (BAU)'!AC51</f>
        <v>3668.7098370000003</v>
      </c>
      <c r="AD195" s="237">
        <f>'Output - Jobs vs Yr (BAU)'!AD51</f>
        <v>3793.1612870000004</v>
      </c>
      <c r="AE195" s="237">
        <f>'Output - Jobs vs Yr (BAU)'!AE51</f>
        <v>3942.1146470000003</v>
      </c>
      <c r="AF195" s="237">
        <f>'Output - Jobs vs Yr (BAU)'!AF51</f>
        <v>4030.9225470000006</v>
      </c>
      <c r="AG195" s="237">
        <f>'Output - Jobs vs Yr (BAU)'!AG51</f>
        <v>4123.2945370000007</v>
      </c>
      <c r="AH195" s="185">
        <f>'Output - Jobs vs Yr (BAU)'!AH51</f>
        <v>4218.7099170000001</v>
      </c>
    </row>
    <row r="196" spans="1:34">
      <c r="A196" t="s">
        <v>396</v>
      </c>
      <c r="C196" s="300">
        <f>'Output - Jobs vs Yr (BAU)'!C69</f>
        <v>718.72382429999993</v>
      </c>
      <c r="D196" s="300">
        <f>'Output - Jobs vs Yr (BAU)'!D69</f>
        <v>733.27682429999982</v>
      </c>
      <c r="E196" s="300">
        <f>'Output - Jobs vs Yr (BAU)'!E69</f>
        <v>748.01697030000003</v>
      </c>
      <c r="F196" s="300">
        <f>'Output - Jobs vs Yr (BAU)'!F69</f>
        <v>824.87422530000003</v>
      </c>
      <c r="G196" s="300">
        <f>'Output - Jobs vs Yr (BAU)'!G69</f>
        <v>1046.5631793</v>
      </c>
      <c r="H196" s="252">
        <f>'Output - Jobs vs Yr (BAU)'!H69</f>
        <v>1260.0772443000001</v>
      </c>
      <c r="I196" s="118">
        <f>'Output - Jobs vs Yr (BAU)'!I69</f>
        <v>1467.2500623000001</v>
      </c>
      <c r="J196" s="118">
        <f>'Output - Jobs vs Yr (BAU)'!J69</f>
        <v>1717.2856683000002</v>
      </c>
      <c r="K196" s="118">
        <f>'Output - Jobs vs Yr (BAU)'!K69</f>
        <v>1693.7258643000002</v>
      </c>
      <c r="L196" s="118">
        <f>'Output - Jobs vs Yr (BAU)'!L69</f>
        <v>1709.9225883000001</v>
      </c>
      <c r="M196" s="118">
        <f>'Output - Jobs vs Yr (BAU)'!M69</f>
        <v>1723.0641183000002</v>
      </c>
      <c r="N196" s="178">
        <f>'Output - Jobs vs Yr (BAU)'!N69</f>
        <v>1747.1228643000002</v>
      </c>
      <c r="O196" s="118">
        <f>'Output - Jobs vs Yr (BAU)'!O69</f>
        <v>1773.7340823000002</v>
      </c>
      <c r="P196" s="118">
        <f>'Output - Jobs vs Yr (BAU)'!P69</f>
        <v>1805.6788533000001</v>
      </c>
      <c r="Q196" s="118">
        <f>'Output - Jobs vs Yr (BAU)'!Q69</f>
        <v>1844.6837913000002</v>
      </c>
      <c r="R196" s="118">
        <f>'Output - Jobs vs Yr (BAU)'!R69</f>
        <v>1871.5117563000001</v>
      </c>
      <c r="S196" s="118">
        <f>'Output - Jobs vs Yr (BAU)'!S69</f>
        <v>2305.6762562999997</v>
      </c>
      <c r="T196" s="118">
        <f>'Output - Jobs vs Yr (BAU)'!T69</f>
        <v>2361.1364973</v>
      </c>
      <c r="U196" s="118">
        <f>'Output - Jobs vs Yr (BAU)'!U69</f>
        <v>2412.7744653</v>
      </c>
      <c r="V196" s="118">
        <f>'Output - Jobs vs Yr (BAU)'!V69</f>
        <v>2476.8815642999998</v>
      </c>
      <c r="W196" s="118">
        <f>'Output - Jobs vs Yr (BAU)'!W69</f>
        <v>2569.2715863000003</v>
      </c>
      <c r="X196" s="185">
        <f>'Output - Jobs vs Yr (BAU)'!X69</f>
        <v>2679.0072543000006</v>
      </c>
      <c r="Y196" s="237">
        <f>'Output - Jobs vs Yr (BAU)'!Y69</f>
        <v>2784.0457413000004</v>
      </c>
      <c r="Z196" s="237">
        <f>'Output - Jobs vs Yr (BAU)'!Z69</f>
        <v>2855.2907402999999</v>
      </c>
      <c r="AA196" s="237">
        <f>'Output - Jobs vs Yr (BAU)'!AA69</f>
        <v>2969.3124152999999</v>
      </c>
      <c r="AB196" s="237">
        <f>'Output - Jobs vs Yr (BAU)'!AB69</f>
        <v>3135.7860903000005</v>
      </c>
      <c r="AC196" s="237">
        <f>'Output - Jobs vs Yr (BAU)'!AC69</f>
        <v>3301.8388533000002</v>
      </c>
      <c r="AD196" s="237">
        <f>'Output - Jobs vs Yr (BAU)'!AD69</f>
        <v>3413.8451583000001</v>
      </c>
      <c r="AE196" s="237">
        <f>'Output - Jobs vs Yr (BAU)'!AE69</f>
        <v>3547.9031823000005</v>
      </c>
      <c r="AF196" s="237">
        <f>'Output - Jobs vs Yr (BAU)'!AF69</f>
        <v>3627.8302923000001</v>
      </c>
      <c r="AG196" s="237">
        <f>'Output - Jobs vs Yr (BAU)'!AG69</f>
        <v>3710.9650833000001</v>
      </c>
      <c r="AH196" s="185">
        <f>'Output - Jobs vs Yr (BAU)'!AH69</f>
        <v>3796.8389252999996</v>
      </c>
    </row>
    <row r="197" spans="1:34">
      <c r="A197" t="s">
        <v>397</v>
      </c>
      <c r="C197" s="301">
        <f>SUM(C198:C199)</f>
        <v>7804.6679715000009</v>
      </c>
      <c r="D197" s="301">
        <f t="shared" ref="D197:AH197" si="109">SUM(D198:D199)</f>
        <v>6417.4209715000015</v>
      </c>
      <c r="E197" s="301">
        <f t="shared" si="109"/>
        <v>5857.4147055000012</v>
      </c>
      <c r="F197" s="301">
        <f t="shared" si="109"/>
        <v>4755.1302375000005</v>
      </c>
      <c r="G197" s="301">
        <f t="shared" si="109"/>
        <v>6441.8069775000004</v>
      </c>
      <c r="H197" s="373">
        <f t="shared" si="109"/>
        <v>6428.680542500002</v>
      </c>
      <c r="I197" s="14">
        <f t="shared" si="109"/>
        <v>6630.4503585000011</v>
      </c>
      <c r="J197" s="14">
        <f t="shared" si="109"/>
        <v>6693.8054025000001</v>
      </c>
      <c r="K197" s="14">
        <f t="shared" si="109"/>
        <v>6693.9521775000012</v>
      </c>
      <c r="L197" s="14">
        <f t="shared" si="109"/>
        <v>6693.9521775000012</v>
      </c>
      <c r="M197" s="14">
        <f t="shared" si="109"/>
        <v>6693.9516455000012</v>
      </c>
      <c r="N197" s="188">
        <f t="shared" si="109"/>
        <v>6693.9516455000012</v>
      </c>
      <c r="O197" s="14">
        <f t="shared" si="109"/>
        <v>6693.9521775000012</v>
      </c>
      <c r="P197" s="14">
        <f t="shared" si="109"/>
        <v>6693.9521775000012</v>
      </c>
      <c r="Q197" s="14">
        <f t="shared" si="109"/>
        <v>6693.9521775000012</v>
      </c>
      <c r="R197" s="14">
        <f t="shared" si="109"/>
        <v>6693.9521775000012</v>
      </c>
      <c r="S197" s="15">
        <f t="shared" si="109"/>
        <v>6693.9521775000012</v>
      </c>
      <c r="T197" s="14">
        <f t="shared" si="109"/>
        <v>6693.9521775000012</v>
      </c>
      <c r="U197" s="14">
        <f t="shared" si="109"/>
        <v>6693.9521775000012</v>
      </c>
      <c r="V197" s="14">
        <f t="shared" si="109"/>
        <v>6916.2614115000006</v>
      </c>
      <c r="W197" s="14">
        <f t="shared" si="109"/>
        <v>7266.8829275000007</v>
      </c>
      <c r="X197" s="188">
        <f t="shared" si="109"/>
        <v>7362.6293615000013</v>
      </c>
      <c r="Y197" s="159">
        <f t="shared" si="109"/>
        <v>7596.5407175000009</v>
      </c>
      <c r="Z197" s="159">
        <f t="shared" si="109"/>
        <v>7655.4942975000013</v>
      </c>
      <c r="AA197" s="159">
        <f t="shared" si="109"/>
        <v>7937.463873499999</v>
      </c>
      <c r="AB197" s="159">
        <f t="shared" si="109"/>
        <v>8245.1285175000012</v>
      </c>
      <c r="AC197" s="159">
        <f t="shared" si="109"/>
        <v>8567.0951835000014</v>
      </c>
      <c r="AD197" s="159">
        <f t="shared" si="109"/>
        <v>9422.1910195000019</v>
      </c>
      <c r="AE197" s="159">
        <f t="shared" si="109"/>
        <v>10635.588589499999</v>
      </c>
      <c r="AF197" s="159">
        <f t="shared" si="109"/>
        <v>11948.979815500003</v>
      </c>
      <c r="AG197" s="159">
        <f t="shared" si="109"/>
        <v>13358.531105499998</v>
      </c>
      <c r="AH197" s="188">
        <f t="shared" si="109"/>
        <v>14758.789419500001</v>
      </c>
    </row>
    <row r="198" spans="1:34">
      <c r="A198" t="s">
        <v>399</v>
      </c>
      <c r="C198" s="300">
        <f>SUM('Output - Jobs vs Yr (BAU)'!C40:C43)</f>
        <v>4107.7199850000006</v>
      </c>
      <c r="D198" s="300">
        <f>SUM('Output - Jobs vs Yr (BAU)'!D40:D43)</f>
        <v>3377.5899850000005</v>
      </c>
      <c r="E198" s="300">
        <f>SUM('Output - Jobs vs Yr (BAU)'!E40:E43)</f>
        <v>3082.8498450000002</v>
      </c>
      <c r="F198" s="300">
        <f>SUM('Output - Jobs vs Yr (BAU)'!F40:F43)</f>
        <v>2502.7001250000003</v>
      </c>
      <c r="G198" s="300">
        <f>SUM('Output - Jobs vs Yr (BAU)'!G40:G43)</f>
        <v>3390.4247250000003</v>
      </c>
      <c r="H198" s="252">
        <f>SUM('Output - Jobs vs Yr (BAU)'!H40:H43)</f>
        <v>3383.5160750000009</v>
      </c>
      <c r="I198" s="118">
        <f>SUM('Output - Jobs vs Yr (BAU)'!I40:I43)</f>
        <v>3489.7107150000006</v>
      </c>
      <c r="J198" s="118">
        <f>SUM('Output - Jobs vs Yr (BAU)'!J40:J43)</f>
        <v>3523.0554750000001</v>
      </c>
      <c r="K198" s="118">
        <f>SUM('Output - Jobs vs Yr (BAU)'!K40:K43)</f>
        <v>3523.1327250000004</v>
      </c>
      <c r="L198" s="118">
        <f>SUM('Output - Jobs vs Yr (BAU)'!L40:L43)</f>
        <v>3523.1327250000004</v>
      </c>
      <c r="M198" s="118">
        <f>SUM('Output - Jobs vs Yr (BAU)'!M40:M43)</f>
        <v>3523.1324450000006</v>
      </c>
      <c r="N198" s="178">
        <f>SUM('Output - Jobs vs Yr (BAU)'!N40:N43)</f>
        <v>3523.1324450000006</v>
      </c>
      <c r="O198" s="118">
        <f>SUM('Output - Jobs vs Yr (BAU)'!O40:O43)</f>
        <v>3523.1327250000004</v>
      </c>
      <c r="P198" s="118">
        <f>SUM('Output - Jobs vs Yr (BAU)'!P40:P43)</f>
        <v>3523.1327250000004</v>
      </c>
      <c r="Q198" s="118">
        <f>SUM('Output - Jobs vs Yr (BAU)'!Q40:Q43)</f>
        <v>3523.1327250000004</v>
      </c>
      <c r="R198" s="118">
        <f>SUM('Output - Jobs vs Yr (BAU)'!R40:R43)</f>
        <v>3523.1327250000004</v>
      </c>
      <c r="S198" s="118">
        <f>SUM('Output - Jobs vs Yr (BAU)'!S40:S43)</f>
        <v>3523.1327250000004</v>
      </c>
      <c r="T198" s="118">
        <f>SUM('Output - Jobs vs Yr (BAU)'!T40:T43)</f>
        <v>3523.1327250000004</v>
      </c>
      <c r="U198" s="118">
        <f>SUM('Output - Jobs vs Yr (BAU)'!U40:U43)</f>
        <v>3523.1327250000004</v>
      </c>
      <c r="V198" s="118">
        <f>SUM('Output - Jobs vs Yr (BAU)'!V40:V43)</f>
        <v>3640.1375850000004</v>
      </c>
      <c r="W198" s="118">
        <f>SUM('Output - Jobs vs Yr (BAU)'!W40:W43)</f>
        <v>3824.6752250000004</v>
      </c>
      <c r="X198" s="185">
        <f>SUM('Output - Jobs vs Yr (BAU)'!X40:X43)</f>
        <v>3875.0680850000008</v>
      </c>
      <c r="Y198" s="237">
        <f>SUM('Output - Jobs vs Yr (BAU)'!Y40:Y43)</f>
        <v>3998.1793250000005</v>
      </c>
      <c r="Z198" s="237">
        <f>SUM('Output - Jobs vs Yr (BAU)'!Z40:Z43)</f>
        <v>4029.2075250000007</v>
      </c>
      <c r="AA198" s="237">
        <f>SUM('Output - Jobs vs Yr (BAU)'!AA40:AA43)</f>
        <v>4177.6125649999994</v>
      </c>
      <c r="AB198" s="237">
        <f>SUM('Output - Jobs vs Yr (BAU)'!AB40:AB43)</f>
        <v>4339.5413250000001</v>
      </c>
      <c r="AC198" s="237">
        <f>SUM('Output - Jobs vs Yr (BAU)'!AC40:AC43)</f>
        <v>4508.9974650000004</v>
      </c>
      <c r="AD198" s="237">
        <f>SUM('Output - Jobs vs Yr (BAU)'!AD40:AD43)</f>
        <v>4959.0479050000004</v>
      </c>
      <c r="AE198" s="237">
        <f>SUM('Output - Jobs vs Yr (BAU)'!AE40:AE43)</f>
        <v>5597.6782050000002</v>
      </c>
      <c r="AF198" s="237">
        <f>SUM('Output - Jobs vs Yr (BAU)'!AF40:AF43)</f>
        <v>6288.9367450000009</v>
      </c>
      <c r="AG198" s="237">
        <f>SUM('Output - Jobs vs Yr (BAU)'!AG40:AG43)</f>
        <v>7030.8058449999999</v>
      </c>
      <c r="AH198" s="185">
        <f>SUM('Output - Jobs vs Yr (BAU)'!AH40:AH43)</f>
        <v>7767.7839050000002</v>
      </c>
    </row>
    <row r="199" spans="1:34">
      <c r="A199" t="s">
        <v>398</v>
      </c>
      <c r="C199" s="300">
        <f>SUM('Output - Jobs vs Yr (BAU)'!C58:C61)</f>
        <v>3696.9479865000003</v>
      </c>
      <c r="D199" s="300">
        <f>SUM('Output - Jobs vs Yr (BAU)'!D58:D61)</f>
        <v>3039.8309865000006</v>
      </c>
      <c r="E199" s="300">
        <f>SUM('Output - Jobs vs Yr (BAU)'!E58:E61)</f>
        <v>2774.5648605000006</v>
      </c>
      <c r="F199" s="300">
        <f>SUM('Output - Jobs vs Yr (BAU)'!F58:F61)</f>
        <v>2252.4301125000002</v>
      </c>
      <c r="G199" s="300">
        <f>SUM('Output - Jobs vs Yr (BAU)'!G58:G61)</f>
        <v>3051.3822525000005</v>
      </c>
      <c r="H199" s="252">
        <f>SUM('Output - Jobs vs Yr (BAU)'!H58:H61)</f>
        <v>3045.1644675000007</v>
      </c>
      <c r="I199" s="118">
        <f>SUM('Output - Jobs vs Yr (BAU)'!I58:I61)</f>
        <v>3140.7396435000005</v>
      </c>
      <c r="J199" s="118">
        <f>SUM('Output - Jobs vs Yr (BAU)'!J58:J61)</f>
        <v>3170.7499275000005</v>
      </c>
      <c r="K199" s="118">
        <f>SUM('Output - Jobs vs Yr (BAU)'!K58:K61)</f>
        <v>3170.8194525000004</v>
      </c>
      <c r="L199" s="118">
        <f>SUM('Output - Jobs vs Yr (BAU)'!L58:L61)</f>
        <v>3170.8194525000004</v>
      </c>
      <c r="M199" s="118">
        <f>SUM('Output - Jobs vs Yr (BAU)'!M58:M61)</f>
        <v>3170.8192005000005</v>
      </c>
      <c r="N199" s="178">
        <f>SUM('Output - Jobs vs Yr (BAU)'!N58:N61)</f>
        <v>3170.8192005000005</v>
      </c>
      <c r="O199" s="118">
        <f>SUM('Output - Jobs vs Yr (BAU)'!O58:O61)</f>
        <v>3170.8194525000004</v>
      </c>
      <c r="P199" s="118">
        <f>SUM('Output - Jobs vs Yr (BAU)'!P58:P61)</f>
        <v>3170.8194525000004</v>
      </c>
      <c r="Q199" s="118">
        <f>SUM('Output - Jobs vs Yr (BAU)'!Q58:Q61)</f>
        <v>3170.8194525000004</v>
      </c>
      <c r="R199" s="118">
        <f>SUM('Output - Jobs vs Yr (BAU)'!R58:R61)</f>
        <v>3170.8194525000004</v>
      </c>
      <c r="S199" s="118">
        <f>SUM('Output - Jobs vs Yr (BAU)'!S58:S61)</f>
        <v>3170.8194525000004</v>
      </c>
      <c r="T199" s="118">
        <f>SUM('Output - Jobs vs Yr (BAU)'!T58:T61)</f>
        <v>3170.8194525000004</v>
      </c>
      <c r="U199" s="118">
        <f>SUM('Output - Jobs vs Yr (BAU)'!U58:U61)</f>
        <v>3170.8194525000004</v>
      </c>
      <c r="V199" s="118">
        <f>SUM('Output - Jobs vs Yr (BAU)'!V58:V61)</f>
        <v>3276.1238265000002</v>
      </c>
      <c r="W199" s="118">
        <f>SUM('Output - Jobs vs Yr (BAU)'!W58:W61)</f>
        <v>3442.2077025000003</v>
      </c>
      <c r="X199" s="185">
        <f>SUM('Output - Jobs vs Yr (BAU)'!X58:X61)</f>
        <v>3487.5612765000005</v>
      </c>
      <c r="Y199" s="237">
        <f>SUM('Output - Jobs vs Yr (BAU)'!Y58:Y61)</f>
        <v>3598.3613925000004</v>
      </c>
      <c r="Z199" s="237">
        <f>SUM('Output - Jobs vs Yr (BAU)'!Z58:Z61)</f>
        <v>3626.2867725000006</v>
      </c>
      <c r="AA199" s="237">
        <f>SUM('Output - Jobs vs Yr (BAU)'!AA58:AA61)</f>
        <v>3759.8513085</v>
      </c>
      <c r="AB199" s="237">
        <f>SUM('Output - Jobs vs Yr (BAU)'!AB58:AB61)</f>
        <v>3905.5871925000006</v>
      </c>
      <c r="AC199" s="237">
        <f>SUM('Output - Jobs vs Yr (BAU)'!AC58:AC61)</f>
        <v>4058.0977185000006</v>
      </c>
      <c r="AD199" s="237">
        <f>SUM('Output - Jobs vs Yr (BAU)'!AD58:AD61)</f>
        <v>4463.1431145000006</v>
      </c>
      <c r="AE199" s="237">
        <f>SUM('Output - Jobs vs Yr (BAU)'!AE58:AE61)</f>
        <v>5037.9103845</v>
      </c>
      <c r="AF199" s="237">
        <f>SUM('Output - Jobs vs Yr (BAU)'!AF58:AF61)</f>
        <v>5660.0430705000008</v>
      </c>
      <c r="AG199" s="237">
        <f>SUM('Output - Jobs vs Yr (BAU)'!AG58:AG61)</f>
        <v>6327.7252604999994</v>
      </c>
      <c r="AH199" s="185">
        <f>SUM('Output - Jobs vs Yr (BAU)'!AH58:AH61)</f>
        <v>6991.0055145000006</v>
      </c>
    </row>
    <row r="200" spans="1:34">
      <c r="A200" t="s">
        <v>400</v>
      </c>
      <c r="C200" s="301">
        <f>SUM(C201:C202)</f>
        <v>36015.925000000003</v>
      </c>
      <c r="D200" s="301">
        <f t="shared" ref="D200:AH200" si="110">SUM(D201:D202)</f>
        <v>39402.978999999992</v>
      </c>
      <c r="E200" s="301">
        <f t="shared" si="110"/>
        <v>37028.413378000005</v>
      </c>
      <c r="F200" s="301">
        <f t="shared" si="110"/>
        <v>38432.675182000006</v>
      </c>
      <c r="G200" s="301">
        <f t="shared" si="110"/>
        <v>35612.829417000001</v>
      </c>
      <c r="H200" s="373">
        <f t="shared" si="110"/>
        <v>35357.669676999998</v>
      </c>
      <c r="I200" s="14">
        <f t="shared" si="110"/>
        <v>35710.877796000001</v>
      </c>
      <c r="J200" s="14">
        <f t="shared" si="110"/>
        <v>35877.316200000001</v>
      </c>
      <c r="K200" s="14">
        <f t="shared" si="110"/>
        <v>36392.387294999993</v>
      </c>
      <c r="L200" s="14">
        <f t="shared" si="110"/>
        <v>36794.929864000005</v>
      </c>
      <c r="M200" s="14">
        <f t="shared" si="110"/>
        <v>37208.287347000005</v>
      </c>
      <c r="N200" s="188">
        <f t="shared" si="110"/>
        <v>37170.617814000005</v>
      </c>
      <c r="O200" s="14">
        <f t="shared" si="110"/>
        <v>37532.984104000003</v>
      </c>
      <c r="P200" s="14">
        <f t="shared" si="110"/>
        <v>38045.950360000003</v>
      </c>
      <c r="Q200" s="14">
        <f t="shared" si="110"/>
        <v>38635.709067999996</v>
      </c>
      <c r="R200" s="14">
        <f t="shared" si="110"/>
        <v>39533.535866000006</v>
      </c>
      <c r="S200" s="15">
        <f t="shared" si="110"/>
        <v>39946.553723999998</v>
      </c>
      <c r="T200" s="14">
        <f t="shared" si="110"/>
        <v>40807.214261000001</v>
      </c>
      <c r="U200" s="14">
        <f t="shared" si="110"/>
        <v>41696.403298000005</v>
      </c>
      <c r="V200" s="14">
        <f t="shared" si="110"/>
        <v>42426.070368000001</v>
      </c>
      <c r="W200" s="14">
        <f t="shared" si="110"/>
        <v>42708.012622000009</v>
      </c>
      <c r="X200" s="188">
        <f t="shared" si="110"/>
        <v>43069.478957999992</v>
      </c>
      <c r="Y200" s="159">
        <f t="shared" si="110"/>
        <v>43357.598834000004</v>
      </c>
      <c r="Z200" s="159">
        <f t="shared" si="110"/>
        <v>43832.626573999994</v>
      </c>
      <c r="AA200" s="159">
        <f t="shared" si="110"/>
        <v>44145.731146000006</v>
      </c>
      <c r="AB200" s="159">
        <f t="shared" si="110"/>
        <v>44442.760482999991</v>
      </c>
      <c r="AC200" s="159">
        <f t="shared" si="110"/>
        <v>44740.994286999994</v>
      </c>
      <c r="AD200" s="159">
        <f t="shared" si="110"/>
        <v>44669.531753000003</v>
      </c>
      <c r="AE200" s="159">
        <f t="shared" si="110"/>
        <v>44357.230786</v>
      </c>
      <c r="AF200" s="159">
        <f t="shared" si="110"/>
        <v>43994.170824999994</v>
      </c>
      <c r="AG200" s="159">
        <f t="shared" si="110"/>
        <v>43539.374284999998</v>
      </c>
      <c r="AH200" s="188">
        <f t="shared" si="110"/>
        <v>43063.897403999996</v>
      </c>
    </row>
    <row r="201" spans="1:34">
      <c r="A201" t="s">
        <v>401</v>
      </c>
      <c r="C201" s="300">
        <f>SUM('Output - Jobs vs Yr (BAU)'!C53:C54)</f>
        <v>18955.75</v>
      </c>
      <c r="D201" s="300">
        <f>SUM('Output - Jobs vs Yr (BAU)'!D53:D54)</f>
        <v>20738.409999999996</v>
      </c>
      <c r="E201" s="300">
        <f>SUM('Output - Jobs vs Yr (BAU)'!E53:E54)</f>
        <v>19488.638620000002</v>
      </c>
      <c r="F201" s="300">
        <f>SUM('Output - Jobs vs Yr (BAU)'!F53:F54)</f>
        <v>20227.723780000004</v>
      </c>
      <c r="G201" s="300">
        <f>SUM('Output - Jobs vs Yr (BAU)'!G53:G54)</f>
        <v>18743.594430000001</v>
      </c>
      <c r="H201" s="252">
        <f>SUM('Output - Jobs vs Yr (BAU)'!H53:H54)</f>
        <v>18609.29983</v>
      </c>
      <c r="I201" s="118">
        <f>SUM('Output - Jobs vs Yr (BAU)'!I53:I54)</f>
        <v>18795.198840000001</v>
      </c>
      <c r="J201" s="118">
        <f>SUM('Output - Jobs vs Yr (BAU)'!J53:J54)</f>
        <v>18882.798000000003</v>
      </c>
      <c r="K201" s="118">
        <f>SUM('Output - Jobs vs Yr (BAU)'!K53:K54)</f>
        <v>19153.888049999998</v>
      </c>
      <c r="L201" s="118">
        <f>SUM('Output - Jobs vs Yr (BAU)'!L53:L54)</f>
        <v>19365.752560000001</v>
      </c>
      <c r="M201" s="118">
        <f>SUM('Output - Jobs vs Yr (BAU)'!M53:M54)</f>
        <v>19583.309130000001</v>
      </c>
      <c r="N201" s="178">
        <f>SUM('Output - Jobs vs Yr (BAU)'!N53:N54)</f>
        <v>19563.483060000002</v>
      </c>
      <c r="O201" s="118">
        <f>SUM('Output - Jobs vs Yr (BAU)'!O53:O54)</f>
        <v>19754.202160000001</v>
      </c>
      <c r="P201" s="118">
        <f>SUM('Output - Jobs vs Yr (BAU)'!P53:P54)</f>
        <v>20024.184400000002</v>
      </c>
      <c r="Q201" s="118">
        <f>SUM('Output - Jobs vs Yr (BAU)'!Q53:Q54)</f>
        <v>20334.583719999999</v>
      </c>
      <c r="R201" s="118">
        <f>SUM('Output - Jobs vs Yr (BAU)'!R53:R54)</f>
        <v>20807.124140000004</v>
      </c>
      <c r="S201" s="118">
        <f>SUM('Output - Jobs vs Yr (BAU)'!S53:S54)</f>
        <v>21024.501960000001</v>
      </c>
      <c r="T201" s="118">
        <f>SUM('Output - Jobs vs Yr (BAU)'!T53:T54)</f>
        <v>21477.481190000002</v>
      </c>
      <c r="U201" s="118">
        <f>SUM('Output - Jobs vs Yr (BAU)'!U53:U54)</f>
        <v>21945.475420000002</v>
      </c>
      <c r="V201" s="118">
        <f>SUM('Output - Jobs vs Yr (BAU)'!V53:V54)</f>
        <v>22329.510720000002</v>
      </c>
      <c r="W201" s="118">
        <f>SUM('Output - Jobs vs Yr (BAU)'!W53:W54)</f>
        <v>22477.901380000003</v>
      </c>
      <c r="X201" s="185">
        <f>SUM('Output - Jobs vs Yr (BAU)'!X53:X54)</f>
        <v>22668.146819999998</v>
      </c>
      <c r="Y201" s="237">
        <f>SUM('Output - Jobs vs Yr (BAU)'!Y53:Y54)</f>
        <v>22819.788860000001</v>
      </c>
      <c r="Z201" s="237">
        <f>SUM('Output - Jobs vs Yr (BAU)'!Z53:Z54)</f>
        <v>23069.803459999999</v>
      </c>
      <c r="AA201" s="237">
        <f>SUM('Output - Jobs vs Yr (BAU)'!AA53:AA54)</f>
        <v>23234.59534</v>
      </c>
      <c r="AB201" s="237">
        <f>SUM('Output - Jobs vs Yr (BAU)'!AB53:AB54)</f>
        <v>23390.926569999996</v>
      </c>
      <c r="AC201" s="237">
        <f>SUM('Output - Jobs vs Yr (BAU)'!AC53:AC54)</f>
        <v>23547.891729999996</v>
      </c>
      <c r="AD201" s="237">
        <f>SUM('Output - Jobs vs Yr (BAU)'!AD53:AD54)</f>
        <v>23510.279869999998</v>
      </c>
      <c r="AE201" s="237">
        <f>SUM('Output - Jobs vs Yr (BAU)'!AE53:AE54)</f>
        <v>23345.910940000002</v>
      </c>
      <c r="AF201" s="237">
        <f>SUM('Output - Jobs vs Yr (BAU)'!AF53:AF54)</f>
        <v>23154.826749999997</v>
      </c>
      <c r="AG201" s="237">
        <f>SUM('Output - Jobs vs Yr (BAU)'!AG53:AG54)</f>
        <v>22915.460149999999</v>
      </c>
      <c r="AH201" s="185">
        <f>SUM('Output - Jobs vs Yr (BAU)'!AH53:AH54)</f>
        <v>22665.209159999999</v>
      </c>
    </row>
    <row r="202" spans="1:34">
      <c r="A202" t="s">
        <v>402</v>
      </c>
      <c r="C202" s="300">
        <f>SUM('Output - Jobs vs Yr (BAU)'!C71:C72)</f>
        <v>17060.175000000003</v>
      </c>
      <c r="D202" s="300">
        <f>SUM('Output - Jobs vs Yr (BAU)'!D71:D72)</f>
        <v>18664.568999999996</v>
      </c>
      <c r="E202" s="300">
        <f>SUM('Output - Jobs vs Yr (BAU)'!E71:E72)</f>
        <v>17539.774758000003</v>
      </c>
      <c r="F202" s="300">
        <f>SUM('Output - Jobs vs Yr (BAU)'!F71:F72)</f>
        <v>18204.951402000002</v>
      </c>
      <c r="G202" s="300">
        <f>SUM('Output - Jobs vs Yr (BAU)'!G71:G72)</f>
        <v>16869.234987</v>
      </c>
      <c r="H202" s="252">
        <f>SUM('Output - Jobs vs Yr (BAU)'!H71:H72)</f>
        <v>16748.369847000002</v>
      </c>
      <c r="I202" s="118">
        <f>SUM('Output - Jobs vs Yr (BAU)'!I71:I72)</f>
        <v>16915.678956</v>
      </c>
      <c r="J202" s="118">
        <f>SUM('Output - Jobs vs Yr (BAU)'!J71:J72)</f>
        <v>16994.518200000002</v>
      </c>
      <c r="K202" s="118">
        <f>SUM('Output - Jobs vs Yr (BAU)'!K71:K72)</f>
        <v>17238.499244999999</v>
      </c>
      <c r="L202" s="118">
        <f>SUM('Output - Jobs vs Yr (BAU)'!L71:L72)</f>
        <v>17429.177304000001</v>
      </c>
      <c r="M202" s="118">
        <f>SUM('Output - Jobs vs Yr (BAU)'!M71:M72)</f>
        <v>17624.978217</v>
      </c>
      <c r="N202" s="178">
        <f>SUM('Output - Jobs vs Yr (BAU)'!N71:N72)</f>
        <v>17607.134754000002</v>
      </c>
      <c r="O202" s="118">
        <f>SUM('Output - Jobs vs Yr (BAU)'!O71:O72)</f>
        <v>17778.781943999998</v>
      </c>
      <c r="P202" s="118">
        <f>SUM('Output - Jobs vs Yr (BAU)'!P71:P72)</f>
        <v>18021.765960000001</v>
      </c>
      <c r="Q202" s="118">
        <f>SUM('Output - Jobs vs Yr (BAU)'!Q71:Q72)</f>
        <v>18301.125348000001</v>
      </c>
      <c r="R202" s="118">
        <f>SUM('Output - Jobs vs Yr (BAU)'!R71:R72)</f>
        <v>18726.411726000006</v>
      </c>
      <c r="S202" s="118">
        <f>SUM('Output - Jobs vs Yr (BAU)'!S71:S72)</f>
        <v>18922.051764</v>
      </c>
      <c r="T202" s="118">
        <f>SUM('Output - Jobs vs Yr (BAU)'!T71:T72)</f>
        <v>19329.733071000002</v>
      </c>
      <c r="U202" s="118">
        <f>SUM('Output - Jobs vs Yr (BAU)'!U71:U72)</f>
        <v>19750.927878000002</v>
      </c>
      <c r="V202" s="118">
        <f>SUM('Output - Jobs vs Yr (BAU)'!V71:V72)</f>
        <v>20096.559648000002</v>
      </c>
      <c r="W202" s="118">
        <f>SUM('Output - Jobs vs Yr (BAU)'!W71:W72)</f>
        <v>20230.111242000003</v>
      </c>
      <c r="X202" s="185">
        <f>SUM('Output - Jobs vs Yr (BAU)'!X71:X72)</f>
        <v>20401.332137999998</v>
      </c>
      <c r="Y202" s="237">
        <f>SUM('Output - Jobs vs Yr (BAU)'!Y71:Y72)</f>
        <v>20537.809974000003</v>
      </c>
      <c r="Z202" s="237">
        <f>SUM('Output - Jobs vs Yr (BAU)'!Z71:Z72)</f>
        <v>20762.823113999999</v>
      </c>
      <c r="AA202" s="237">
        <f>SUM('Output - Jobs vs Yr (BAU)'!AA71:AA72)</f>
        <v>20911.135806000002</v>
      </c>
      <c r="AB202" s="237">
        <f>SUM('Output - Jobs vs Yr (BAU)'!AB71:AB72)</f>
        <v>21051.833912999999</v>
      </c>
      <c r="AC202" s="237">
        <f>SUM('Output - Jobs vs Yr (BAU)'!AC71:AC72)</f>
        <v>21193.102556999998</v>
      </c>
      <c r="AD202" s="237">
        <f>SUM('Output - Jobs vs Yr (BAU)'!AD71:AD72)</f>
        <v>21159.251883000001</v>
      </c>
      <c r="AE202" s="237">
        <f>SUM('Output - Jobs vs Yr (BAU)'!AE71:AE72)</f>
        <v>21011.319846000002</v>
      </c>
      <c r="AF202" s="237">
        <f>SUM('Output - Jobs vs Yr (BAU)'!AF71:AF72)</f>
        <v>20839.344075000001</v>
      </c>
      <c r="AG202" s="237">
        <f>SUM('Output - Jobs vs Yr (BAU)'!AG71:AG72)</f>
        <v>20623.914135000003</v>
      </c>
      <c r="AH202" s="185">
        <f>SUM('Output - Jobs vs Yr (BAU)'!AH71:AH72)</f>
        <v>20398.688243999997</v>
      </c>
    </row>
    <row r="203" spans="1:34">
      <c r="A203" s="1" t="s">
        <v>431</v>
      </c>
      <c r="C203" s="301">
        <f>SUM(C191,C194,C197,C200)</f>
        <v>45337.898822800002</v>
      </c>
      <c r="D203" s="301">
        <f t="shared" ref="D203:AH203" si="111">SUM(D191,D194,D197,D200)</f>
        <v>47368.428822799993</v>
      </c>
      <c r="E203" s="301">
        <f t="shared" si="111"/>
        <v>44464.975020800004</v>
      </c>
      <c r="F203" s="301">
        <f t="shared" si="111"/>
        <v>44929.206561800005</v>
      </c>
      <c r="G203" s="301">
        <f t="shared" si="111"/>
        <v>44264.047550800002</v>
      </c>
      <c r="H203" s="373">
        <f t="shared" si="111"/>
        <v>44446.513290800001</v>
      </c>
      <c r="I203" s="14">
        <f t="shared" si="111"/>
        <v>45438.856063800005</v>
      </c>
      <c r="J203" s="14">
        <f t="shared" si="111"/>
        <v>46196.502457800001</v>
      </c>
      <c r="K203" s="14">
        <f t="shared" si="111"/>
        <v>46661.982963799994</v>
      </c>
      <c r="L203" s="14">
        <f t="shared" si="111"/>
        <v>47098.718616800004</v>
      </c>
      <c r="M203" s="133">
        <f t="shared" si="111"/>
        <v>47539.818797800006</v>
      </c>
      <c r="N203" s="194">
        <f t="shared" si="111"/>
        <v>47552.939950800006</v>
      </c>
      <c r="O203" s="14">
        <f t="shared" si="111"/>
        <v>47971.486010799999</v>
      </c>
      <c r="P203" s="14">
        <f t="shared" si="111"/>
        <v>48551.891227800006</v>
      </c>
      <c r="Q203" s="14">
        <f t="shared" si="111"/>
        <v>49223.993693800003</v>
      </c>
      <c r="R203" s="14">
        <f t="shared" si="111"/>
        <v>50178.457306800003</v>
      </c>
      <c r="S203" s="14">
        <f t="shared" si="111"/>
        <v>51508.0446648</v>
      </c>
      <c r="T203" s="14">
        <f t="shared" si="111"/>
        <v>52485.787932799998</v>
      </c>
      <c r="U203" s="14">
        <f t="shared" si="111"/>
        <v>53483.990457800006</v>
      </c>
      <c r="V203" s="14">
        <f t="shared" si="111"/>
        <v>54571.3039708</v>
      </c>
      <c r="W203" s="14">
        <f t="shared" si="111"/>
        <v>55398.913342800013</v>
      </c>
      <c r="X203" s="188">
        <f t="shared" si="111"/>
        <v>56087.790300799999</v>
      </c>
      <c r="Y203" s="159">
        <f t="shared" si="111"/>
        <v>56831.569449800008</v>
      </c>
      <c r="Z203" s="159">
        <f t="shared" si="111"/>
        <v>57515.956878799996</v>
      </c>
      <c r="AA203" s="159">
        <f t="shared" si="111"/>
        <v>58351.743451800008</v>
      </c>
      <c r="AB203" s="159">
        <f t="shared" si="111"/>
        <v>59307.881857799992</v>
      </c>
      <c r="AC203" s="159">
        <f t="shared" si="111"/>
        <v>60278.638160799994</v>
      </c>
      <c r="AD203" s="159">
        <f t="shared" si="111"/>
        <v>61298.729217800006</v>
      </c>
      <c r="AE203" s="159">
        <f t="shared" si="111"/>
        <v>62482.837204800002</v>
      </c>
      <c r="AF203" s="159">
        <f t="shared" si="111"/>
        <v>63601.903479799999</v>
      </c>
      <c r="AG203" s="159">
        <f t="shared" si="111"/>
        <v>64732.165010799996</v>
      </c>
      <c r="AH203" s="188">
        <f t="shared" si="111"/>
        <v>65838.235665799992</v>
      </c>
    </row>
    <row r="204" spans="1:34">
      <c r="A204" s="1" t="s">
        <v>454</v>
      </c>
      <c r="C204" s="301"/>
      <c r="D204" s="301">
        <f>D194+D197</f>
        <v>7965.4498228000011</v>
      </c>
      <c r="E204" s="301">
        <f t="shared" ref="E204:AH204" si="112">E194+E197</f>
        <v>7436.5616428000012</v>
      </c>
      <c r="F204" s="301">
        <f t="shared" si="112"/>
        <v>6496.5313798000006</v>
      </c>
      <c r="G204" s="301">
        <f t="shared" si="112"/>
        <v>8651.2181338000009</v>
      </c>
      <c r="H204" s="373">
        <f t="shared" si="112"/>
        <v>9088.8436138000034</v>
      </c>
      <c r="I204" s="14">
        <f t="shared" si="112"/>
        <v>9727.978267800001</v>
      </c>
      <c r="J204" s="14">
        <f t="shared" si="112"/>
        <v>10319.1862578</v>
      </c>
      <c r="K204" s="14">
        <f t="shared" si="112"/>
        <v>10269.595668800001</v>
      </c>
      <c r="L204" s="14">
        <f t="shared" si="112"/>
        <v>10303.788752800001</v>
      </c>
      <c r="M204" s="14">
        <f t="shared" si="112"/>
        <v>10331.531450800001</v>
      </c>
      <c r="N204" s="188">
        <f t="shared" si="112"/>
        <v>10382.322136800001</v>
      </c>
      <c r="O204" s="14">
        <f t="shared" si="112"/>
        <v>10438.5019068</v>
      </c>
      <c r="P204" s="14">
        <f t="shared" si="112"/>
        <v>10505.9408678</v>
      </c>
      <c r="Q204" s="14">
        <f t="shared" si="112"/>
        <v>10588.284625800003</v>
      </c>
      <c r="R204" s="14">
        <f t="shared" si="112"/>
        <v>10644.921440800001</v>
      </c>
      <c r="S204" s="14">
        <f t="shared" si="112"/>
        <v>11561.490940800002</v>
      </c>
      <c r="T204" s="14">
        <f t="shared" si="112"/>
        <v>11678.573671800001</v>
      </c>
      <c r="U204" s="14">
        <f t="shared" si="112"/>
        <v>11787.587159800001</v>
      </c>
      <c r="V204" s="14">
        <f t="shared" si="112"/>
        <v>12145.233602799999</v>
      </c>
      <c r="W204" s="14">
        <f t="shared" si="112"/>
        <v>12690.900720800002</v>
      </c>
      <c r="X204" s="188">
        <f t="shared" si="112"/>
        <v>13018.311342800003</v>
      </c>
      <c r="Y204" s="159">
        <f t="shared" si="112"/>
        <v>13473.970615800001</v>
      </c>
      <c r="Z204" s="159">
        <f t="shared" si="112"/>
        <v>13683.330304800002</v>
      </c>
      <c r="AA204" s="159">
        <f t="shared" si="112"/>
        <v>14206.012305799999</v>
      </c>
      <c r="AB204" s="159">
        <f t="shared" si="112"/>
        <v>14865.121374800001</v>
      </c>
      <c r="AC204" s="159">
        <f t="shared" si="112"/>
        <v>15537.643873800002</v>
      </c>
      <c r="AD204" s="159">
        <f t="shared" si="112"/>
        <v>16629.197464800003</v>
      </c>
      <c r="AE204" s="159">
        <f t="shared" si="112"/>
        <v>18125.606418800002</v>
      </c>
      <c r="AF204" s="159">
        <f t="shared" si="112"/>
        <v>19607.732654800006</v>
      </c>
      <c r="AG204" s="159">
        <f t="shared" si="112"/>
        <v>21192.790725799998</v>
      </c>
      <c r="AH204" s="188">
        <f t="shared" si="112"/>
        <v>22774.3382618</v>
      </c>
    </row>
    <row r="205" spans="1:34">
      <c r="A205" s="1"/>
      <c r="C205" s="301"/>
      <c r="D205" s="301"/>
      <c r="E205" s="301"/>
      <c r="F205" s="301"/>
      <c r="G205" s="301"/>
      <c r="H205" s="373"/>
      <c r="I205" s="14"/>
      <c r="J205" s="14"/>
      <c r="K205" s="14"/>
      <c r="L205" s="14"/>
      <c r="M205" s="14"/>
      <c r="N205" s="188"/>
      <c r="O205" s="14"/>
      <c r="P205" s="14"/>
      <c r="Q205" s="14"/>
      <c r="R205" s="14"/>
      <c r="S205" s="14"/>
      <c r="T205" s="14"/>
      <c r="U205" s="14"/>
      <c r="V205" s="14"/>
      <c r="W205" s="14"/>
      <c r="X205" s="188"/>
    </row>
    <row r="206" spans="1:34">
      <c r="A206" s="1" t="s">
        <v>459</v>
      </c>
      <c r="C206" s="301"/>
      <c r="D206" s="301">
        <f>D194</f>
        <v>1548.0288512999998</v>
      </c>
      <c r="E206" s="301">
        <f>D206+E194</f>
        <v>3127.1757885999996</v>
      </c>
      <c r="F206" s="301">
        <f>E206+F194</f>
        <v>4868.5769308999998</v>
      </c>
      <c r="G206" s="301">
        <f>F206+G194</f>
        <v>7077.9880871999994</v>
      </c>
      <c r="H206" s="373">
        <f t="shared" ref="H206:X206" si="113">G206+H194</f>
        <v>9738.1511585000007</v>
      </c>
      <c r="I206" s="14">
        <f t="shared" si="113"/>
        <v>12835.6790678</v>
      </c>
      <c r="J206" s="14">
        <f t="shared" si="113"/>
        <v>16461.059923100001</v>
      </c>
      <c r="K206" s="14">
        <f t="shared" si="113"/>
        <v>20036.703414400003</v>
      </c>
      <c r="L206" s="14">
        <f t="shared" si="113"/>
        <v>23646.539989700002</v>
      </c>
      <c r="M206" s="14">
        <f t="shared" si="113"/>
        <v>27284.119795000002</v>
      </c>
      <c r="N206" s="188">
        <f t="shared" si="113"/>
        <v>30972.490286300002</v>
      </c>
      <c r="O206" s="14">
        <f t="shared" si="113"/>
        <v>34717.040015600003</v>
      </c>
      <c r="P206" s="14">
        <f t="shared" si="113"/>
        <v>38529.028705900004</v>
      </c>
      <c r="Q206" s="14">
        <f t="shared" si="113"/>
        <v>42423.361154200007</v>
      </c>
      <c r="R206" s="14">
        <f t="shared" si="113"/>
        <v>46374.330417500008</v>
      </c>
      <c r="S206" s="14">
        <f t="shared" si="113"/>
        <v>51241.869180800008</v>
      </c>
      <c r="T206" s="14">
        <f t="shared" si="113"/>
        <v>56226.490675100009</v>
      </c>
      <c r="U206" s="14">
        <f t="shared" si="113"/>
        <v>61320.125657400007</v>
      </c>
      <c r="V206" s="14">
        <f t="shared" si="113"/>
        <v>66549.09784870001</v>
      </c>
      <c r="W206" s="14">
        <f t="shared" si="113"/>
        <v>71973.115642000019</v>
      </c>
      <c r="X206" s="188">
        <f t="shared" si="113"/>
        <v>77628.797623300023</v>
      </c>
      <c r="Y206" s="159">
        <f t="shared" ref="Y206:AH206" si="114">X206+Y194</f>
        <v>83506.227521600027</v>
      </c>
      <c r="Z206" s="159">
        <f t="shared" si="114"/>
        <v>89534.063528900035</v>
      </c>
      <c r="AA206" s="159">
        <f t="shared" si="114"/>
        <v>95802.611961200033</v>
      </c>
      <c r="AB206" s="159">
        <f t="shared" si="114"/>
        <v>102422.60481850004</v>
      </c>
      <c r="AC206" s="159">
        <f t="shared" si="114"/>
        <v>109393.15350880004</v>
      </c>
      <c r="AD206" s="159">
        <f t="shared" si="114"/>
        <v>116600.15995410003</v>
      </c>
      <c r="AE206" s="159">
        <f t="shared" si="114"/>
        <v>124090.17778340004</v>
      </c>
      <c r="AF206" s="159">
        <f t="shared" si="114"/>
        <v>131748.93062270005</v>
      </c>
      <c r="AG206" s="159">
        <f t="shared" si="114"/>
        <v>139583.19024300005</v>
      </c>
      <c r="AH206" s="188">
        <f t="shared" si="114"/>
        <v>147598.73908530004</v>
      </c>
    </row>
    <row r="207" spans="1:34">
      <c r="A207" s="1" t="s">
        <v>462</v>
      </c>
      <c r="C207" s="301"/>
      <c r="D207" s="301">
        <f>D200</f>
        <v>39402.978999999992</v>
      </c>
      <c r="E207" s="301">
        <f>D207+E200</f>
        <v>76431.39237799999</v>
      </c>
      <c r="F207" s="301">
        <f>E207+F200</f>
        <v>114864.06756</v>
      </c>
      <c r="G207" s="301">
        <f t="shared" ref="G207:X207" si="115">F207+G200</f>
        <v>150476.896977</v>
      </c>
      <c r="H207" s="373">
        <f t="shared" si="115"/>
        <v>185834.56665399999</v>
      </c>
      <c r="I207" s="14">
        <f t="shared" si="115"/>
        <v>221545.44445000001</v>
      </c>
      <c r="J207" s="14">
        <f t="shared" si="115"/>
        <v>257422.76065000001</v>
      </c>
      <c r="K207" s="14">
        <f t="shared" si="115"/>
        <v>293815.14794499998</v>
      </c>
      <c r="L207" s="14">
        <f t="shared" si="115"/>
        <v>330610.07780899998</v>
      </c>
      <c r="M207" s="14">
        <f t="shared" si="115"/>
        <v>367818.36515600001</v>
      </c>
      <c r="N207" s="188">
        <f t="shared" si="115"/>
        <v>404988.98297000001</v>
      </c>
      <c r="O207" s="14">
        <f t="shared" si="115"/>
        <v>442521.96707400004</v>
      </c>
      <c r="P207" s="14">
        <f t="shared" si="115"/>
        <v>480567.91743400006</v>
      </c>
      <c r="Q207" s="14">
        <f t="shared" si="115"/>
        <v>519203.62650200003</v>
      </c>
      <c r="R207" s="14">
        <f t="shared" si="115"/>
        <v>558737.16236800002</v>
      </c>
      <c r="S207" s="14">
        <f t="shared" si="115"/>
        <v>598683.71609200002</v>
      </c>
      <c r="T207" s="14">
        <f t="shared" si="115"/>
        <v>639490.93035300006</v>
      </c>
      <c r="U207" s="14">
        <f t="shared" si="115"/>
        <v>681187.33365100005</v>
      </c>
      <c r="V207" s="14">
        <f t="shared" si="115"/>
        <v>723613.40401900001</v>
      </c>
      <c r="W207" s="14">
        <f t="shared" si="115"/>
        <v>766321.41664099996</v>
      </c>
      <c r="X207" s="188">
        <f t="shared" si="115"/>
        <v>809390.89559899992</v>
      </c>
      <c r="Y207" s="159">
        <f t="shared" ref="Y207:AH207" si="116">X207+Y200</f>
        <v>852748.49443299999</v>
      </c>
      <c r="Z207" s="159">
        <f t="shared" si="116"/>
        <v>896581.12100699998</v>
      </c>
      <c r="AA207" s="159">
        <f t="shared" si="116"/>
        <v>940726.85215299996</v>
      </c>
      <c r="AB207" s="159">
        <f t="shared" si="116"/>
        <v>985169.61263599992</v>
      </c>
      <c r="AC207" s="159">
        <f t="shared" si="116"/>
        <v>1029910.606923</v>
      </c>
      <c r="AD207" s="159">
        <f t="shared" si="116"/>
        <v>1074580.1386760001</v>
      </c>
      <c r="AE207" s="159">
        <f t="shared" si="116"/>
        <v>1118937.369462</v>
      </c>
      <c r="AF207" s="159">
        <f t="shared" si="116"/>
        <v>1162931.5402869999</v>
      </c>
      <c r="AG207" s="159">
        <f t="shared" si="116"/>
        <v>1206470.9145719998</v>
      </c>
      <c r="AH207" s="188">
        <f t="shared" si="116"/>
        <v>1249534.8119759997</v>
      </c>
    </row>
    <row r="208" spans="1:34">
      <c r="A208" s="1"/>
      <c r="C208" s="301"/>
      <c r="D208" s="301"/>
      <c r="E208" s="301"/>
      <c r="F208" s="301"/>
      <c r="G208" s="301"/>
      <c r="H208" s="373"/>
      <c r="I208" s="14"/>
      <c r="J208" s="14"/>
      <c r="K208" s="14"/>
      <c r="L208" s="14"/>
      <c r="M208" s="14"/>
      <c r="N208" s="188"/>
      <c r="O208" s="14"/>
      <c r="P208" s="14"/>
      <c r="Q208" s="14"/>
      <c r="R208" s="14"/>
      <c r="S208" s="14"/>
      <c r="T208" s="14"/>
      <c r="U208" s="14"/>
      <c r="V208" s="14"/>
      <c r="W208" s="14"/>
      <c r="X208" s="188"/>
    </row>
    <row r="209" spans="1:34">
      <c r="A209" s="1" t="s">
        <v>418</v>
      </c>
      <c r="C209" s="301"/>
      <c r="D209" s="301"/>
      <c r="E209" s="301"/>
      <c r="F209" s="301"/>
      <c r="G209" s="301"/>
      <c r="H209" s="373"/>
      <c r="I209" s="14"/>
      <c r="J209" s="14"/>
      <c r="K209" s="14"/>
      <c r="L209" s="14"/>
      <c r="M209" s="14"/>
      <c r="N209" s="188"/>
      <c r="O209" s="14"/>
      <c r="P209" s="14"/>
      <c r="Q209" s="14"/>
      <c r="R209" s="14"/>
      <c r="S209" s="14"/>
      <c r="T209" s="14"/>
      <c r="U209" s="14"/>
      <c r="V209" s="14"/>
      <c r="W209" s="14"/>
      <c r="X209" s="188"/>
    </row>
    <row r="210" spans="1:34" s="1" customFormat="1">
      <c r="A210" s="1" t="s">
        <v>415</v>
      </c>
      <c r="B210" s="13"/>
      <c r="C210" s="311">
        <f>SUM(C211:C212)</f>
        <v>0</v>
      </c>
      <c r="D210" s="311">
        <f t="shared" ref="D210:AH210" si="117">SUM(D211:D212)</f>
        <v>0</v>
      </c>
      <c r="E210" s="311">
        <f t="shared" si="117"/>
        <v>0</v>
      </c>
      <c r="F210" s="311">
        <f t="shared" si="117"/>
        <v>0</v>
      </c>
      <c r="G210" s="311">
        <f t="shared" si="117"/>
        <v>0</v>
      </c>
      <c r="H210" s="376">
        <f t="shared" si="117"/>
        <v>0</v>
      </c>
      <c r="I210" s="15">
        <f t="shared" si="117"/>
        <v>0</v>
      </c>
      <c r="J210" s="15">
        <f t="shared" si="117"/>
        <v>0</v>
      </c>
      <c r="K210" s="15">
        <f t="shared" si="117"/>
        <v>0</v>
      </c>
      <c r="L210" s="15">
        <f t="shared" si="117"/>
        <v>0</v>
      </c>
      <c r="M210" s="15">
        <f t="shared" si="117"/>
        <v>0</v>
      </c>
      <c r="N210" s="191">
        <f t="shared" si="117"/>
        <v>0</v>
      </c>
      <c r="O210" s="15">
        <f>SUM(O211:O212)</f>
        <v>0</v>
      </c>
      <c r="P210" s="15">
        <f t="shared" si="117"/>
        <v>0</v>
      </c>
      <c r="Q210" s="15">
        <f t="shared" si="117"/>
        <v>0</v>
      </c>
      <c r="R210" s="15">
        <f t="shared" si="117"/>
        <v>0</v>
      </c>
      <c r="S210" s="15">
        <f t="shared" si="117"/>
        <v>0</v>
      </c>
      <c r="T210" s="15">
        <f t="shared" si="117"/>
        <v>0</v>
      </c>
      <c r="U210" s="15">
        <f t="shared" si="117"/>
        <v>0</v>
      </c>
      <c r="V210" s="15">
        <f t="shared" si="117"/>
        <v>0</v>
      </c>
      <c r="W210" s="15">
        <f t="shared" si="117"/>
        <v>0</v>
      </c>
      <c r="X210" s="191">
        <f t="shared" si="117"/>
        <v>0</v>
      </c>
      <c r="Y210" s="131">
        <f t="shared" si="117"/>
        <v>0</v>
      </c>
      <c r="Z210" s="131">
        <f t="shared" si="117"/>
        <v>0</v>
      </c>
      <c r="AA210" s="131">
        <f t="shared" si="117"/>
        <v>0</v>
      </c>
      <c r="AB210" s="131">
        <f t="shared" si="117"/>
        <v>0</v>
      </c>
      <c r="AC210" s="131">
        <f t="shared" si="117"/>
        <v>0</v>
      </c>
      <c r="AD210" s="131">
        <f t="shared" si="117"/>
        <v>0</v>
      </c>
      <c r="AE210" s="131">
        <f t="shared" si="117"/>
        <v>0</v>
      </c>
      <c r="AF210" s="131">
        <f t="shared" si="117"/>
        <v>0</v>
      </c>
      <c r="AG210" s="131">
        <f t="shared" si="117"/>
        <v>0</v>
      </c>
      <c r="AH210" s="191">
        <f t="shared" si="117"/>
        <v>0</v>
      </c>
    </row>
    <row r="211" spans="1:34">
      <c r="A211" t="s">
        <v>416</v>
      </c>
      <c r="C211" s="301">
        <f>C100</f>
        <v>0</v>
      </c>
      <c r="D211" s="301">
        <f t="shared" ref="D211:AH211" si="118">D100</f>
        <v>0</v>
      </c>
      <c r="E211" s="301">
        <f t="shared" si="118"/>
        <v>0</v>
      </c>
      <c r="F211" s="301">
        <f t="shared" si="118"/>
        <v>0</v>
      </c>
      <c r="G211" s="301">
        <f t="shared" si="118"/>
        <v>0</v>
      </c>
      <c r="H211" s="373">
        <f t="shared" si="118"/>
        <v>0</v>
      </c>
      <c r="I211" s="14">
        <f t="shared" si="118"/>
        <v>0</v>
      </c>
      <c r="J211" s="14">
        <f t="shared" si="118"/>
        <v>0</v>
      </c>
      <c r="K211" s="14">
        <f t="shared" si="118"/>
        <v>0</v>
      </c>
      <c r="L211" s="14">
        <f t="shared" si="118"/>
        <v>0</v>
      </c>
      <c r="M211" s="14">
        <f t="shared" si="118"/>
        <v>0</v>
      </c>
      <c r="N211" s="188">
        <f t="shared" si="118"/>
        <v>0</v>
      </c>
      <c r="O211" s="14">
        <f>O100</f>
        <v>0</v>
      </c>
      <c r="P211" s="14">
        <f t="shared" si="118"/>
        <v>0</v>
      </c>
      <c r="Q211" s="14">
        <f t="shared" si="118"/>
        <v>0</v>
      </c>
      <c r="R211" s="14">
        <f t="shared" si="118"/>
        <v>0</v>
      </c>
      <c r="S211" s="14">
        <f t="shared" si="118"/>
        <v>0</v>
      </c>
      <c r="T211" s="14">
        <f t="shared" si="118"/>
        <v>0</v>
      </c>
      <c r="U211" s="14">
        <f t="shared" si="118"/>
        <v>0</v>
      </c>
      <c r="V211" s="14">
        <f t="shared" si="118"/>
        <v>0</v>
      </c>
      <c r="W211" s="14">
        <f t="shared" si="118"/>
        <v>0</v>
      </c>
      <c r="X211" s="188">
        <f t="shared" si="118"/>
        <v>0</v>
      </c>
      <c r="Y211" s="159">
        <f t="shared" si="118"/>
        <v>0</v>
      </c>
      <c r="Z211" s="159">
        <f t="shared" si="118"/>
        <v>0</v>
      </c>
      <c r="AA211" s="159">
        <f t="shared" si="118"/>
        <v>0</v>
      </c>
      <c r="AB211" s="159">
        <f t="shared" si="118"/>
        <v>0</v>
      </c>
      <c r="AC211" s="159">
        <f t="shared" si="118"/>
        <v>0</v>
      </c>
      <c r="AD211" s="159">
        <f t="shared" si="118"/>
        <v>0</v>
      </c>
      <c r="AE211" s="159">
        <f t="shared" si="118"/>
        <v>0</v>
      </c>
      <c r="AF211" s="159">
        <f t="shared" si="118"/>
        <v>0</v>
      </c>
      <c r="AG211" s="159">
        <f t="shared" si="118"/>
        <v>0</v>
      </c>
      <c r="AH211" s="188">
        <f t="shared" si="118"/>
        <v>0</v>
      </c>
    </row>
    <row r="212" spans="1:34">
      <c r="A212" t="s">
        <v>417</v>
      </c>
      <c r="C212" s="301">
        <f>C127</f>
        <v>0</v>
      </c>
      <c r="D212" s="301">
        <f t="shared" ref="D212:AH212" si="119">D127</f>
        <v>0</v>
      </c>
      <c r="E212" s="301">
        <f t="shared" si="119"/>
        <v>0</v>
      </c>
      <c r="F212" s="301">
        <f t="shared" si="119"/>
        <v>0</v>
      </c>
      <c r="G212" s="301">
        <f t="shared" si="119"/>
        <v>0</v>
      </c>
      <c r="H212" s="373">
        <f t="shared" si="119"/>
        <v>0</v>
      </c>
      <c r="I212" s="14">
        <f t="shared" si="119"/>
        <v>0</v>
      </c>
      <c r="J212" s="14">
        <f t="shared" si="119"/>
        <v>0</v>
      </c>
      <c r="K212" s="14">
        <f t="shared" si="119"/>
        <v>0</v>
      </c>
      <c r="L212" s="14">
        <f t="shared" si="119"/>
        <v>0</v>
      </c>
      <c r="M212" s="14">
        <f t="shared" si="119"/>
        <v>0</v>
      </c>
      <c r="N212" s="188">
        <f t="shared" si="119"/>
        <v>0</v>
      </c>
      <c r="O212" s="14">
        <f>O127</f>
        <v>0</v>
      </c>
      <c r="P212" s="14">
        <f t="shared" si="119"/>
        <v>0</v>
      </c>
      <c r="Q212" s="14">
        <f t="shared" si="119"/>
        <v>0</v>
      </c>
      <c r="R212" s="14">
        <f t="shared" si="119"/>
        <v>0</v>
      </c>
      <c r="S212" s="14">
        <f t="shared" si="119"/>
        <v>0</v>
      </c>
      <c r="T212" s="14">
        <f t="shared" si="119"/>
        <v>0</v>
      </c>
      <c r="U212" s="14">
        <f t="shared" si="119"/>
        <v>0</v>
      </c>
      <c r="V212" s="14">
        <f t="shared" si="119"/>
        <v>0</v>
      </c>
      <c r="W212" s="14">
        <f t="shared" si="119"/>
        <v>0</v>
      </c>
      <c r="X212" s="188">
        <f t="shared" si="119"/>
        <v>0</v>
      </c>
      <c r="Y212" s="159">
        <f t="shared" si="119"/>
        <v>0</v>
      </c>
      <c r="Z212" s="159">
        <f t="shared" si="119"/>
        <v>0</v>
      </c>
      <c r="AA212" s="159">
        <f t="shared" si="119"/>
        <v>0</v>
      </c>
      <c r="AB212" s="159">
        <f t="shared" si="119"/>
        <v>0</v>
      </c>
      <c r="AC212" s="159">
        <f t="shared" si="119"/>
        <v>0</v>
      </c>
      <c r="AD212" s="159">
        <f t="shared" si="119"/>
        <v>0</v>
      </c>
      <c r="AE212" s="159">
        <f t="shared" si="119"/>
        <v>0</v>
      </c>
      <c r="AF212" s="159">
        <f t="shared" si="119"/>
        <v>0</v>
      </c>
      <c r="AG212" s="159">
        <f t="shared" si="119"/>
        <v>0</v>
      </c>
      <c r="AH212" s="188">
        <f t="shared" si="119"/>
        <v>0</v>
      </c>
    </row>
    <row r="213" spans="1:34" s="1" customFormat="1">
      <c r="A213" s="1" t="s">
        <v>403</v>
      </c>
      <c r="B213" s="13"/>
      <c r="C213" s="311">
        <f>SUM(C214:C215)</f>
        <v>1517.3058486</v>
      </c>
      <c r="D213" s="311">
        <f t="shared" ref="D213:AH213" si="120">SUM(D214:D215)</f>
        <v>2084.9119762436512</v>
      </c>
      <c r="E213" s="311">
        <f t="shared" si="120"/>
        <v>2704.7175932259106</v>
      </c>
      <c r="F213" s="311">
        <f t="shared" si="120"/>
        <v>3670.5633282917443</v>
      </c>
      <c r="G213" s="311">
        <f t="shared" si="120"/>
        <v>4673.3828009486806</v>
      </c>
      <c r="H213" s="376">
        <f t="shared" si="120"/>
        <v>2660.1630686000003</v>
      </c>
      <c r="I213" s="15">
        <f t="shared" si="120"/>
        <v>3605.7165787308213</v>
      </c>
      <c r="J213" s="15">
        <f t="shared" si="120"/>
        <v>4870.3700611258319</v>
      </c>
      <c r="K213" s="15">
        <f t="shared" si="120"/>
        <v>6627.9110637759813</v>
      </c>
      <c r="L213" s="15">
        <f t="shared" si="120"/>
        <v>9025.2620034581523</v>
      </c>
      <c r="M213" s="15">
        <f t="shared" si="120"/>
        <v>12320.602566414782</v>
      </c>
      <c r="N213" s="191">
        <f t="shared" si="120"/>
        <v>16686.849261098865</v>
      </c>
      <c r="O213" s="15">
        <f t="shared" si="120"/>
        <v>17317.72051724228</v>
      </c>
      <c r="P213" s="15">
        <f t="shared" si="120"/>
        <v>18034.491634977152</v>
      </c>
      <c r="Q213" s="15">
        <f t="shared" si="120"/>
        <v>18819.40624767129</v>
      </c>
      <c r="R213" s="15">
        <f t="shared" si="120"/>
        <v>19759.59219343535</v>
      </c>
      <c r="S213" s="15">
        <f t="shared" si="120"/>
        <v>20716.236414600116</v>
      </c>
      <c r="T213" s="15">
        <f t="shared" si="120"/>
        <v>21722.383804341589</v>
      </c>
      <c r="U213" s="15">
        <f t="shared" si="120"/>
        <v>22781.89762420379</v>
      </c>
      <c r="V213" s="15">
        <f t="shared" si="120"/>
        <v>23888.016106709336</v>
      </c>
      <c r="W213" s="15">
        <f t="shared" si="120"/>
        <v>24869.693929359764</v>
      </c>
      <c r="X213" s="191">
        <f t="shared" si="120"/>
        <v>25837.67568196333</v>
      </c>
      <c r="Y213" s="131">
        <f t="shared" si="120"/>
        <v>26681.636608523208</v>
      </c>
      <c r="Z213" s="131">
        <f t="shared" si="120"/>
        <v>27568.460086947882</v>
      </c>
      <c r="AA213" s="131">
        <f t="shared" si="120"/>
        <v>28494.725939379983</v>
      </c>
      <c r="AB213" s="131">
        <f t="shared" si="120"/>
        <v>29455.383375198904</v>
      </c>
      <c r="AC213" s="131">
        <f t="shared" si="120"/>
        <v>30452.325662559026</v>
      </c>
      <c r="AD213" s="131">
        <f t="shared" si="120"/>
        <v>31498.057773764165</v>
      </c>
      <c r="AE213" s="131">
        <f t="shared" si="120"/>
        <v>32645.777269565137</v>
      </c>
      <c r="AF213" s="131">
        <f t="shared" si="120"/>
        <v>33791.796859470458</v>
      </c>
      <c r="AG213" s="131">
        <f t="shared" si="120"/>
        <v>34963.010070983044</v>
      </c>
      <c r="AH213" s="191">
        <f t="shared" si="120"/>
        <v>36151.960016582183</v>
      </c>
    </row>
    <row r="214" spans="1:34">
      <c r="A214" t="s">
        <v>404</v>
      </c>
      <c r="C214" s="301">
        <f>C115</f>
        <v>798.58202700000004</v>
      </c>
      <c r="D214" s="301">
        <f t="shared" ref="D214:AH214" si="121">D115</f>
        <v>1097.3220946648396</v>
      </c>
      <c r="E214" s="301">
        <f t="shared" si="121"/>
        <v>1423.5355775563685</v>
      </c>
      <c r="F214" s="301">
        <f t="shared" si="121"/>
        <v>1931.8754387243837</v>
      </c>
      <c r="G214" s="301">
        <f t="shared" si="121"/>
        <v>2459.6751618163112</v>
      </c>
      <c r="H214" s="373">
        <f t="shared" si="121"/>
        <v>1400.0858270000001</v>
      </c>
      <c r="I214" s="14">
        <f t="shared" si="121"/>
        <v>1897.7455695893723</v>
      </c>
      <c r="J214" s="14">
        <f t="shared" si="121"/>
        <v>2563.3526661085739</v>
      </c>
      <c r="K214" s="14">
        <f t="shared" si="121"/>
        <v>3488.3742471353416</v>
      </c>
      <c r="L214" s="14">
        <f t="shared" si="121"/>
        <v>4750.1379004750434</v>
      </c>
      <c r="M214" s="14">
        <f t="shared" si="121"/>
        <v>6484.5276715791797</v>
      </c>
      <c r="N214" s="183">
        <f t="shared" si="121"/>
        <v>8782.5522491127103</v>
      </c>
      <c r="O214" s="14">
        <f t="shared" si="121"/>
        <v>9114.5897525891469</v>
      </c>
      <c r="P214" s="14">
        <f t="shared" si="121"/>
        <v>9491.8377095678679</v>
      </c>
      <c r="Q214" s="14">
        <f t="shared" si="121"/>
        <v>9904.9506639198262</v>
      </c>
      <c r="R214" s="14">
        <f t="shared" si="121"/>
        <v>10399.785372578935</v>
      </c>
      <c r="S214" s="14">
        <f t="shared" si="121"/>
        <v>10903.282331455282</v>
      </c>
      <c r="T214" s="14">
        <f t="shared" si="121"/>
        <v>11432.833589601598</v>
      </c>
      <c r="U214" s="14">
        <f t="shared" si="121"/>
        <v>11990.472442568862</v>
      </c>
      <c r="V214" s="14">
        <f t="shared" si="121"/>
        <v>12572.640065366366</v>
      </c>
      <c r="W214" s="14">
        <f t="shared" si="121"/>
        <v>13089.312603981653</v>
      </c>
      <c r="X214" s="188">
        <f t="shared" si="121"/>
        <v>13598.776684672264</v>
      </c>
      <c r="Y214" s="159">
        <f t="shared" si="121"/>
        <v>14042.966646344727</v>
      </c>
      <c r="Z214" s="159">
        <f t="shared" si="121"/>
        <v>14509.715845857281</v>
      </c>
      <c r="AA214" s="159">
        <f t="shared" si="121"/>
        <v>14997.22418959947</v>
      </c>
      <c r="AB214" s="159">
        <f t="shared" si="121"/>
        <v>15502.833366716393</v>
      </c>
      <c r="AC214" s="159">
        <f t="shared" si="121"/>
        <v>16027.539834132136</v>
      </c>
      <c r="AD214" s="159">
        <f t="shared" si="121"/>
        <v>16577.925156221951</v>
      </c>
      <c r="AE214" s="159">
        <f t="shared" si="121"/>
        <v>17181.988049190964</v>
      </c>
      <c r="AF214" s="159">
        <f t="shared" si="121"/>
        <v>17785.156254845828</v>
      </c>
      <c r="AG214" s="159">
        <f t="shared" si="121"/>
        <v>18401.584261356315</v>
      </c>
      <c r="AH214" s="188">
        <f t="shared" si="121"/>
        <v>19027.347391077117</v>
      </c>
    </row>
    <row r="215" spans="1:34">
      <c r="A215" t="s">
        <v>405</v>
      </c>
      <c r="C215" s="301">
        <f>C142</f>
        <v>718.72382159999995</v>
      </c>
      <c r="D215" s="301">
        <f t="shared" ref="D215:AH215" si="122">D142</f>
        <v>987.5898815788114</v>
      </c>
      <c r="E215" s="301">
        <f t="shared" si="122"/>
        <v>1281.1820156695421</v>
      </c>
      <c r="F215" s="301">
        <f t="shared" si="122"/>
        <v>1738.6878895673603</v>
      </c>
      <c r="G215" s="301">
        <f t="shared" si="122"/>
        <v>2213.7076391323694</v>
      </c>
      <c r="H215" s="373">
        <f t="shared" si="122"/>
        <v>1260.0772416000002</v>
      </c>
      <c r="I215" s="14">
        <f t="shared" si="122"/>
        <v>1707.9710091414493</v>
      </c>
      <c r="J215" s="14">
        <f t="shared" si="122"/>
        <v>2307.0173950172584</v>
      </c>
      <c r="K215" s="14">
        <f t="shared" si="122"/>
        <v>3139.5368166406397</v>
      </c>
      <c r="L215" s="14">
        <f t="shared" si="122"/>
        <v>4275.1241029831099</v>
      </c>
      <c r="M215" s="14">
        <f t="shared" si="122"/>
        <v>5836.0748948356013</v>
      </c>
      <c r="N215" s="183">
        <f t="shared" si="122"/>
        <v>7904.2970119861548</v>
      </c>
      <c r="O215" s="14">
        <f t="shared" si="122"/>
        <v>8203.1307646531332</v>
      </c>
      <c r="P215" s="14">
        <f t="shared" si="122"/>
        <v>8542.6539254092822</v>
      </c>
      <c r="Q215" s="14">
        <f t="shared" si="122"/>
        <v>8914.4555837514636</v>
      </c>
      <c r="R215" s="14">
        <f t="shared" si="122"/>
        <v>9359.8068208564146</v>
      </c>
      <c r="S215" s="14">
        <f t="shared" si="122"/>
        <v>9812.9540831448339</v>
      </c>
      <c r="T215" s="14">
        <f t="shared" si="122"/>
        <v>10289.550214739989</v>
      </c>
      <c r="U215" s="14">
        <f t="shared" si="122"/>
        <v>10791.42518163493</v>
      </c>
      <c r="V215" s="14">
        <f t="shared" si="122"/>
        <v>11315.376041342972</v>
      </c>
      <c r="W215" s="14">
        <f t="shared" si="122"/>
        <v>11780.381325378112</v>
      </c>
      <c r="X215" s="188">
        <f t="shared" si="122"/>
        <v>12238.898997291068</v>
      </c>
      <c r="Y215" s="159">
        <f t="shared" si="122"/>
        <v>12638.669962178481</v>
      </c>
      <c r="Z215" s="159">
        <f t="shared" si="122"/>
        <v>13058.744241090599</v>
      </c>
      <c r="AA215" s="159">
        <f t="shared" si="122"/>
        <v>13497.501749780515</v>
      </c>
      <c r="AB215" s="159">
        <f t="shared" si="122"/>
        <v>13952.550008482511</v>
      </c>
      <c r="AC215" s="159">
        <f t="shared" si="122"/>
        <v>14424.78582842689</v>
      </c>
      <c r="AD215" s="159">
        <f t="shared" si="122"/>
        <v>14920.132617542216</v>
      </c>
      <c r="AE215" s="159">
        <f t="shared" si="122"/>
        <v>15463.78922037417</v>
      </c>
      <c r="AF215" s="159">
        <f t="shared" si="122"/>
        <v>16006.640604624634</v>
      </c>
      <c r="AG215" s="159">
        <f t="shared" si="122"/>
        <v>16561.425809626726</v>
      </c>
      <c r="AH215" s="188">
        <f t="shared" si="122"/>
        <v>17124.612625505066</v>
      </c>
    </row>
    <row r="216" spans="1:34">
      <c r="A216" t="s">
        <v>406</v>
      </c>
      <c r="C216" s="301">
        <f>SUM(C217:C218)</f>
        <v>7804.6679715000009</v>
      </c>
      <c r="D216" s="301">
        <f t="shared" ref="D216:AH216" si="123">SUM(D217:D218)</f>
        <v>8128.9456407644157</v>
      </c>
      <c r="E216" s="301">
        <f t="shared" si="123"/>
        <v>7207.8950519288956</v>
      </c>
      <c r="F216" s="301">
        <f t="shared" si="123"/>
        <v>7162.4217397763623</v>
      </c>
      <c r="G216" s="301">
        <f t="shared" si="123"/>
        <v>6845.3292220375624</v>
      </c>
      <c r="H216" s="373">
        <f t="shared" si="123"/>
        <v>6428.680542500002</v>
      </c>
      <c r="I216" s="14">
        <f t="shared" si="123"/>
        <v>6503.2457428616981</v>
      </c>
      <c r="J216" s="14">
        <f t="shared" si="123"/>
        <v>6537.7035092670012</v>
      </c>
      <c r="K216" s="14">
        <f t="shared" si="123"/>
        <v>6603.7269991721441</v>
      </c>
      <c r="L216" s="14">
        <f t="shared" si="123"/>
        <v>6656.9375632743086</v>
      </c>
      <c r="M216" s="14">
        <f t="shared" si="123"/>
        <v>6710.1726245699538</v>
      </c>
      <c r="N216" s="191">
        <f t="shared" si="123"/>
        <v>6693.9516455000012</v>
      </c>
      <c r="O216" s="14">
        <f t="shared" si="123"/>
        <v>6714.3401383270957</v>
      </c>
      <c r="P216" s="14">
        <f t="shared" si="123"/>
        <v>6757.8513710460702</v>
      </c>
      <c r="Q216" s="14">
        <f t="shared" si="123"/>
        <v>6815.3846592849713</v>
      </c>
      <c r="R216" s="14">
        <f t="shared" si="123"/>
        <v>6915.5962015463929</v>
      </c>
      <c r="S216" s="15">
        <f t="shared" si="123"/>
        <v>7006.7567168821097</v>
      </c>
      <c r="T216" s="14">
        <f t="shared" si="123"/>
        <v>7099.9516328337959</v>
      </c>
      <c r="U216" s="14">
        <f t="shared" si="123"/>
        <v>7195.5929542748599</v>
      </c>
      <c r="V216" s="14">
        <f t="shared" si="123"/>
        <v>7290.7544974988523</v>
      </c>
      <c r="W216" s="14">
        <f t="shared" si="123"/>
        <v>7334.411976687823</v>
      </c>
      <c r="X216" s="188">
        <f t="shared" si="123"/>
        <v>7362.7049087961059</v>
      </c>
      <c r="Y216" s="159">
        <f t="shared" si="123"/>
        <v>8023.4870135761521</v>
      </c>
      <c r="Z216" s="159">
        <f t="shared" si="123"/>
        <v>8701.4303787999052</v>
      </c>
      <c r="AA216" s="159">
        <f t="shared" si="123"/>
        <v>9395.9370685027679</v>
      </c>
      <c r="AB216" s="159">
        <f t="shared" si="123"/>
        <v>10105.540204483881</v>
      </c>
      <c r="AC216" s="159">
        <f t="shared" si="123"/>
        <v>10830.885463842606</v>
      </c>
      <c r="AD216" s="159">
        <f t="shared" si="123"/>
        <v>11576.534661418587</v>
      </c>
      <c r="AE216" s="159">
        <f t="shared" si="123"/>
        <v>12362.940464220559</v>
      </c>
      <c r="AF216" s="159">
        <f t="shared" si="123"/>
        <v>13151.612621217839</v>
      </c>
      <c r="AG216" s="159">
        <f t="shared" si="123"/>
        <v>13951.762981432779</v>
      </c>
      <c r="AH216" s="188">
        <f t="shared" si="123"/>
        <v>14759.700585930059</v>
      </c>
    </row>
    <row r="217" spans="1:34">
      <c r="A217" t="s">
        <v>407</v>
      </c>
      <c r="C217" s="301">
        <f>C114</f>
        <v>4107.7199850000006</v>
      </c>
      <c r="D217" s="301">
        <f t="shared" ref="D217:AH217" si="124">D114</f>
        <v>4278.3924425075866</v>
      </c>
      <c r="E217" s="301">
        <f t="shared" si="124"/>
        <v>3793.6289746994189</v>
      </c>
      <c r="F217" s="301">
        <f t="shared" si="124"/>
        <v>3769.6956525138748</v>
      </c>
      <c r="G217" s="301">
        <f t="shared" si="124"/>
        <v>3602.8048537039804</v>
      </c>
      <c r="H217" s="373">
        <f t="shared" si="124"/>
        <v>3383.5160750000009</v>
      </c>
      <c r="I217" s="14">
        <f t="shared" si="124"/>
        <v>3422.7609172956304</v>
      </c>
      <c r="J217" s="14">
        <f t="shared" si="124"/>
        <v>3440.8965838247373</v>
      </c>
      <c r="K217" s="14">
        <f t="shared" si="124"/>
        <v>3475.6457890379706</v>
      </c>
      <c r="L217" s="14">
        <f t="shared" si="124"/>
        <v>3503.6513490917414</v>
      </c>
      <c r="M217" s="14">
        <f t="shared" si="124"/>
        <v>3531.6698024052389</v>
      </c>
      <c r="N217" s="188">
        <f t="shared" si="124"/>
        <v>3523.1324450000006</v>
      </c>
      <c r="O217" s="14">
        <f t="shared" si="124"/>
        <v>3533.8632306984714</v>
      </c>
      <c r="P217" s="14">
        <f t="shared" si="124"/>
        <v>3556.7638794979321</v>
      </c>
      <c r="Q217" s="14">
        <f t="shared" si="124"/>
        <v>3587.0445575184058</v>
      </c>
      <c r="R217" s="14">
        <f t="shared" si="124"/>
        <v>3639.7874744981013</v>
      </c>
      <c r="S217" s="14">
        <f t="shared" si="124"/>
        <v>3687.7666930958471</v>
      </c>
      <c r="T217" s="14">
        <f t="shared" si="124"/>
        <v>3736.8166488598927</v>
      </c>
      <c r="U217" s="14">
        <f t="shared" si="124"/>
        <v>3787.1541864604528</v>
      </c>
      <c r="V217" s="14">
        <f t="shared" si="124"/>
        <v>3837.2392092099226</v>
      </c>
      <c r="W217" s="14">
        <f t="shared" si="124"/>
        <v>3860.216829835696</v>
      </c>
      <c r="X217" s="188">
        <f t="shared" si="124"/>
        <v>3875.1078467347925</v>
      </c>
      <c r="Y217" s="159">
        <f t="shared" si="124"/>
        <v>4222.8879018821854</v>
      </c>
      <c r="Z217" s="159">
        <f t="shared" si="124"/>
        <v>4579.7001993683707</v>
      </c>
      <c r="AA217" s="159">
        <f t="shared" si="124"/>
        <v>4945.2300360540885</v>
      </c>
      <c r="AB217" s="159">
        <f t="shared" si="124"/>
        <v>5318.7053707809901</v>
      </c>
      <c r="AC217" s="159">
        <f t="shared" si="124"/>
        <v>5700.4660336013712</v>
      </c>
      <c r="AD217" s="159">
        <f t="shared" si="124"/>
        <v>6092.9129796939942</v>
      </c>
      <c r="AE217" s="159">
        <f t="shared" si="124"/>
        <v>6506.8107706423998</v>
      </c>
      <c r="AF217" s="159">
        <f t="shared" si="124"/>
        <v>6921.9013795883366</v>
      </c>
      <c r="AG217" s="159">
        <f t="shared" si="124"/>
        <v>7343.0331481225157</v>
      </c>
      <c r="AH217" s="188">
        <f t="shared" si="124"/>
        <v>7768.2634662789787</v>
      </c>
    </row>
    <row r="218" spans="1:34">
      <c r="A218" t="s">
        <v>408</v>
      </c>
      <c r="C218" s="301">
        <f>C141</f>
        <v>3696.9479865000003</v>
      </c>
      <c r="D218" s="301">
        <f t="shared" ref="D218:AH218" si="125">D141</f>
        <v>3850.5531982568286</v>
      </c>
      <c r="E218" s="301">
        <f t="shared" si="125"/>
        <v>3414.2660772294771</v>
      </c>
      <c r="F218" s="301">
        <f t="shared" si="125"/>
        <v>3392.7260872624875</v>
      </c>
      <c r="G218" s="301">
        <f t="shared" si="125"/>
        <v>3242.5243683335825</v>
      </c>
      <c r="H218" s="373">
        <f t="shared" si="125"/>
        <v>3045.1644675000007</v>
      </c>
      <c r="I218" s="14">
        <f t="shared" si="125"/>
        <v>3080.4848255660672</v>
      </c>
      <c r="J218" s="14">
        <f t="shared" si="125"/>
        <v>3096.8069254422635</v>
      </c>
      <c r="K218" s="14">
        <f t="shared" si="125"/>
        <v>3128.0812101341735</v>
      </c>
      <c r="L218" s="14">
        <f t="shared" si="125"/>
        <v>3153.2862141825676</v>
      </c>
      <c r="M218" s="14">
        <f t="shared" si="125"/>
        <v>3178.5028221647149</v>
      </c>
      <c r="N218" s="188">
        <f t="shared" si="125"/>
        <v>3170.8192005000005</v>
      </c>
      <c r="O218" s="14">
        <f t="shared" si="125"/>
        <v>3180.4769076286243</v>
      </c>
      <c r="P218" s="14">
        <f t="shared" si="125"/>
        <v>3201.0874915481386</v>
      </c>
      <c r="Q218" s="14">
        <f t="shared" si="125"/>
        <v>3228.3401017665656</v>
      </c>
      <c r="R218" s="14">
        <f t="shared" si="125"/>
        <v>3275.8087270482915</v>
      </c>
      <c r="S218" s="14">
        <f t="shared" si="125"/>
        <v>3318.9900237862626</v>
      </c>
      <c r="T218" s="14">
        <f t="shared" si="125"/>
        <v>3363.1349839739032</v>
      </c>
      <c r="U218" s="14">
        <f t="shared" si="125"/>
        <v>3408.4387678144076</v>
      </c>
      <c r="V218" s="14">
        <f t="shared" si="125"/>
        <v>3453.5152882889302</v>
      </c>
      <c r="W218" s="14">
        <f t="shared" si="125"/>
        <v>3474.1951468521265</v>
      </c>
      <c r="X218" s="188">
        <f t="shared" si="125"/>
        <v>3487.597062061313</v>
      </c>
      <c r="Y218" s="159">
        <f t="shared" si="125"/>
        <v>3800.5991116939672</v>
      </c>
      <c r="Z218" s="159">
        <f t="shared" si="125"/>
        <v>4121.7301794315335</v>
      </c>
      <c r="AA218" s="159">
        <f t="shared" si="125"/>
        <v>4450.7070324486795</v>
      </c>
      <c r="AB218" s="159">
        <f t="shared" si="125"/>
        <v>4786.834833702891</v>
      </c>
      <c r="AC218" s="159">
        <f t="shared" si="125"/>
        <v>5130.4194302412343</v>
      </c>
      <c r="AD218" s="159">
        <f t="shared" si="125"/>
        <v>5483.6216817245941</v>
      </c>
      <c r="AE218" s="159">
        <f t="shared" si="125"/>
        <v>5856.1296935781593</v>
      </c>
      <c r="AF218" s="159">
        <f t="shared" si="125"/>
        <v>6229.7112416295031</v>
      </c>
      <c r="AG218" s="159">
        <f t="shared" si="125"/>
        <v>6608.7298333102635</v>
      </c>
      <c r="AH218" s="188">
        <f t="shared" si="125"/>
        <v>6991.437119651081</v>
      </c>
    </row>
    <row r="219" spans="1:34" s="1" customFormat="1">
      <c r="A219" s="1" t="s">
        <v>400</v>
      </c>
      <c r="B219" s="13"/>
      <c r="C219" s="311">
        <f>SUM(C220:C221)</f>
        <v>36018.182199999996</v>
      </c>
      <c r="D219" s="311">
        <f t="shared" ref="D219:AH219" si="126">SUM(D220:D221)</f>
        <v>37760.450161351007</v>
      </c>
      <c r="E219" s="311">
        <f t="shared" si="126"/>
        <v>35031.399763427544</v>
      </c>
      <c r="F219" s="311">
        <f t="shared" si="126"/>
        <v>35116.887630366633</v>
      </c>
      <c r="G219" s="311">
        <f t="shared" si="126"/>
        <v>33571.896687629138</v>
      </c>
      <c r="H219" s="376">
        <f t="shared" si="126"/>
        <v>34962.045426000004</v>
      </c>
      <c r="I219" s="15">
        <f t="shared" si="126"/>
        <v>35055.062148128389</v>
      </c>
      <c r="J219" s="15">
        <f t="shared" si="126"/>
        <v>34805.776179284119</v>
      </c>
      <c r="K219" s="15">
        <f t="shared" si="126"/>
        <v>34544.029045748044</v>
      </c>
      <c r="L219" s="15">
        <f t="shared" si="126"/>
        <v>34001.2214463989</v>
      </c>
      <c r="M219" s="15">
        <f t="shared" si="126"/>
        <v>33153.381551444108</v>
      </c>
      <c r="N219" s="191">
        <f t="shared" si="126"/>
        <v>31565.611746349998</v>
      </c>
      <c r="O219" s="15">
        <f t="shared" si="126"/>
        <v>31666.345004766921</v>
      </c>
      <c r="P219" s="15">
        <f t="shared" si="126"/>
        <v>31870.663187511425</v>
      </c>
      <c r="Q219" s="15">
        <f t="shared" si="126"/>
        <v>32120.482908734</v>
      </c>
      <c r="R219" s="15">
        <f t="shared" si="126"/>
        <v>32570.506490036358</v>
      </c>
      <c r="S219" s="15">
        <f t="shared" si="126"/>
        <v>32985.189779982742</v>
      </c>
      <c r="T219" s="15">
        <f t="shared" si="126"/>
        <v>33405.034420271215</v>
      </c>
      <c r="U219" s="15">
        <f t="shared" si="126"/>
        <v>33824.638667273393</v>
      </c>
      <c r="V219" s="15">
        <f t="shared" si="126"/>
        <v>34232.444995595768</v>
      </c>
      <c r="W219" s="15">
        <f t="shared" si="126"/>
        <v>34389.481635630465</v>
      </c>
      <c r="X219" s="191">
        <f t="shared" si="126"/>
        <v>34462.565668300012</v>
      </c>
      <c r="Y219" s="131">
        <f t="shared" si="126"/>
        <v>34112.148906018745</v>
      </c>
      <c r="Z219" s="131">
        <f t="shared" si="126"/>
        <v>33766.027124360844</v>
      </c>
      <c r="AA219" s="131">
        <f t="shared" si="126"/>
        <v>33414.14997189548</v>
      </c>
      <c r="AB219" s="131">
        <f t="shared" si="126"/>
        <v>33048.816927636151</v>
      </c>
      <c r="AC219" s="131">
        <f t="shared" si="126"/>
        <v>32669.44040440955</v>
      </c>
      <c r="AD219" s="131">
        <f t="shared" si="126"/>
        <v>32286.781718653423</v>
      </c>
      <c r="AE219" s="131">
        <f t="shared" si="126"/>
        <v>31950.216449328665</v>
      </c>
      <c r="AF219" s="131">
        <f t="shared" si="126"/>
        <v>31551.776346524319</v>
      </c>
      <c r="AG219" s="131">
        <f t="shared" si="126"/>
        <v>31118.401370525062</v>
      </c>
      <c r="AH219" s="191">
        <f t="shared" si="126"/>
        <v>30644.051995149995</v>
      </c>
    </row>
    <row r="220" spans="1:34">
      <c r="A220" t="s">
        <v>409</v>
      </c>
      <c r="C220" s="301">
        <f>SUM(C116:C117)</f>
        <v>18956.937999999998</v>
      </c>
      <c r="D220" s="301">
        <f t="shared" ref="D220:AH220" si="127">SUM(D116:D117)</f>
        <v>19873.921137553163</v>
      </c>
      <c r="E220" s="301">
        <f t="shared" si="127"/>
        <v>18437.578822856602</v>
      </c>
      <c r="F220" s="301">
        <f t="shared" si="127"/>
        <v>18482.572437035069</v>
      </c>
      <c r="G220" s="301">
        <f t="shared" si="127"/>
        <v>17669.419309278492</v>
      </c>
      <c r="H220" s="373">
        <f t="shared" si="127"/>
        <v>18401.076540000002</v>
      </c>
      <c r="I220" s="14">
        <f t="shared" si="127"/>
        <v>18450.032709541254</v>
      </c>
      <c r="J220" s="14">
        <f t="shared" si="127"/>
        <v>18318.829568044275</v>
      </c>
      <c r="K220" s="14">
        <f t="shared" si="127"/>
        <v>18181.067918814759</v>
      </c>
      <c r="L220" s="14">
        <f t="shared" si="127"/>
        <v>17895.379708631001</v>
      </c>
      <c r="M220" s="14">
        <f t="shared" si="127"/>
        <v>17449.148184970585</v>
      </c>
      <c r="N220" s="188">
        <f t="shared" si="127"/>
        <v>16613.479866499998</v>
      </c>
      <c r="O220" s="14">
        <f t="shared" si="127"/>
        <v>16666.497370929959</v>
      </c>
      <c r="P220" s="14">
        <f t="shared" si="127"/>
        <v>16774.03325658496</v>
      </c>
      <c r="Q220" s="14">
        <f t="shared" si="127"/>
        <v>16905.517320386316</v>
      </c>
      <c r="R220" s="14">
        <f t="shared" si="127"/>
        <v>17142.371836861239</v>
      </c>
      <c r="S220" s="14">
        <f t="shared" si="127"/>
        <v>17360.626199990918</v>
      </c>
      <c r="T220" s="14">
        <f t="shared" si="127"/>
        <v>17581.59706330064</v>
      </c>
      <c r="U220" s="14">
        <f t="shared" si="127"/>
        <v>17802.441403828103</v>
      </c>
      <c r="V220" s="14">
        <f t="shared" si="127"/>
        <v>18017.076313471458</v>
      </c>
      <c r="W220" s="14">
        <f t="shared" si="127"/>
        <v>18099.727176647615</v>
      </c>
      <c r="X220" s="188">
        <f t="shared" si="127"/>
        <v>18138.192457000005</v>
      </c>
      <c r="Y220" s="159">
        <f t="shared" si="127"/>
        <v>17953.762582115127</v>
      </c>
      <c r="Z220" s="159">
        <f t="shared" si="127"/>
        <v>17771.593223347812</v>
      </c>
      <c r="AA220" s="159">
        <f t="shared" si="127"/>
        <v>17586.394722050252</v>
      </c>
      <c r="AB220" s="159">
        <f t="shared" si="127"/>
        <v>17394.11417244008</v>
      </c>
      <c r="AC220" s="159">
        <f t="shared" si="127"/>
        <v>17194.44231811029</v>
      </c>
      <c r="AD220" s="159">
        <f t="shared" si="127"/>
        <v>16993.043009817589</v>
      </c>
      <c r="AE220" s="159">
        <f t="shared" si="127"/>
        <v>16815.903394383509</v>
      </c>
      <c r="AF220" s="159">
        <f t="shared" si="127"/>
        <v>16606.198077118061</v>
      </c>
      <c r="AG220" s="159">
        <f t="shared" si="127"/>
        <v>16378.105984486874</v>
      </c>
      <c r="AH220" s="188">
        <f t="shared" si="127"/>
        <v>16128.448418499996</v>
      </c>
    </row>
    <row r="221" spans="1:34">
      <c r="A221" t="s">
        <v>410</v>
      </c>
      <c r="C221" s="301">
        <f>SUM(C143:C144)</f>
        <v>17061.244199999997</v>
      </c>
      <c r="D221" s="301">
        <f t="shared" ref="D221:AH221" si="128">SUM(D143:D144)</f>
        <v>17886.529023797848</v>
      </c>
      <c r="E221" s="301">
        <f t="shared" si="128"/>
        <v>16593.820940570942</v>
      </c>
      <c r="F221" s="301">
        <f t="shared" si="128"/>
        <v>16634.315193331564</v>
      </c>
      <c r="G221" s="301">
        <f t="shared" si="128"/>
        <v>15902.477378350643</v>
      </c>
      <c r="H221" s="373">
        <f t="shared" si="128"/>
        <v>16560.968886000002</v>
      </c>
      <c r="I221" s="14">
        <f t="shared" si="128"/>
        <v>16605.029438587131</v>
      </c>
      <c r="J221" s="14">
        <f t="shared" si="128"/>
        <v>16486.946611239848</v>
      </c>
      <c r="K221" s="14">
        <f t="shared" si="128"/>
        <v>16362.961126933282</v>
      </c>
      <c r="L221" s="14">
        <f t="shared" si="128"/>
        <v>16105.841737767902</v>
      </c>
      <c r="M221" s="14">
        <f t="shared" si="128"/>
        <v>15704.233366473527</v>
      </c>
      <c r="N221" s="188">
        <f t="shared" si="128"/>
        <v>14952.13187985</v>
      </c>
      <c r="O221" s="14">
        <f t="shared" si="128"/>
        <v>14999.847633836962</v>
      </c>
      <c r="P221" s="14">
        <f t="shared" si="128"/>
        <v>15096.629930926467</v>
      </c>
      <c r="Q221" s="14">
        <f t="shared" si="128"/>
        <v>15214.965588347684</v>
      </c>
      <c r="R221" s="14">
        <f t="shared" si="128"/>
        <v>15428.134653175117</v>
      </c>
      <c r="S221" s="14">
        <f t="shared" si="128"/>
        <v>15624.563579991827</v>
      </c>
      <c r="T221" s="14">
        <f t="shared" si="128"/>
        <v>15823.437356970575</v>
      </c>
      <c r="U221" s="14">
        <f t="shared" si="128"/>
        <v>16022.197263445294</v>
      </c>
      <c r="V221" s="14">
        <f t="shared" si="128"/>
        <v>16215.368682124312</v>
      </c>
      <c r="W221" s="14">
        <f t="shared" si="128"/>
        <v>16289.754458982854</v>
      </c>
      <c r="X221" s="188">
        <f t="shared" si="128"/>
        <v>16324.373211300004</v>
      </c>
      <c r="Y221" s="159">
        <f t="shared" si="128"/>
        <v>16158.386323903616</v>
      </c>
      <c r="Z221" s="159">
        <f t="shared" si="128"/>
        <v>15994.433901013032</v>
      </c>
      <c r="AA221" s="159">
        <f t="shared" si="128"/>
        <v>15827.755249845228</v>
      </c>
      <c r="AB221" s="159">
        <f t="shared" si="128"/>
        <v>15654.702755196073</v>
      </c>
      <c r="AC221" s="159">
        <f t="shared" si="128"/>
        <v>15474.99808629926</v>
      </c>
      <c r="AD221" s="159">
        <f t="shared" si="128"/>
        <v>15293.738708835832</v>
      </c>
      <c r="AE221" s="159">
        <f t="shared" si="128"/>
        <v>15134.313054945156</v>
      </c>
      <c r="AF221" s="159">
        <f t="shared" si="128"/>
        <v>14945.578269406256</v>
      </c>
      <c r="AG221" s="159">
        <f t="shared" si="128"/>
        <v>14740.295386038186</v>
      </c>
      <c r="AH221" s="188">
        <f t="shared" si="128"/>
        <v>14515.603576649999</v>
      </c>
    </row>
    <row r="222" spans="1:34">
      <c r="A222" s="1" t="s">
        <v>432</v>
      </c>
      <c r="C222" s="301">
        <f>SUM(C210,C213,C216,C219)</f>
        <v>45340.156020099996</v>
      </c>
      <c r="D222" s="301">
        <f t="shared" ref="D222:AH222" si="129">SUM(D210,D213,D216,D219)</f>
        <v>47974.307778359071</v>
      </c>
      <c r="E222" s="301">
        <f t="shared" si="129"/>
        <v>44944.012408582348</v>
      </c>
      <c r="F222" s="301">
        <f t="shared" si="129"/>
        <v>45949.872698434738</v>
      </c>
      <c r="G222" s="301">
        <f t="shared" si="129"/>
        <v>45090.608710615379</v>
      </c>
      <c r="H222" s="373">
        <f t="shared" si="129"/>
        <v>44050.889037100009</v>
      </c>
      <c r="I222" s="14">
        <f t="shared" si="129"/>
        <v>45164.024469720913</v>
      </c>
      <c r="J222" s="14">
        <f t="shared" si="129"/>
        <v>46213.849749676956</v>
      </c>
      <c r="K222" s="14">
        <f t="shared" si="129"/>
        <v>47775.667108696172</v>
      </c>
      <c r="L222" s="14">
        <f t="shared" si="129"/>
        <v>49683.421013131359</v>
      </c>
      <c r="M222" s="14">
        <f t="shared" si="129"/>
        <v>52184.156742428844</v>
      </c>
      <c r="N222" s="188">
        <f t="shared" si="129"/>
        <v>54946.412652948864</v>
      </c>
      <c r="O222" s="14">
        <f t="shared" si="129"/>
        <v>55698.405660336299</v>
      </c>
      <c r="P222" s="14">
        <f t="shared" si="129"/>
        <v>56663.006193534646</v>
      </c>
      <c r="Q222" s="14">
        <f t="shared" si="129"/>
        <v>57755.273815690263</v>
      </c>
      <c r="R222" s="14">
        <f t="shared" si="129"/>
        <v>59245.6948850181</v>
      </c>
      <c r="S222" s="14">
        <f t="shared" si="129"/>
        <v>60708.182911464966</v>
      </c>
      <c r="T222" s="14">
        <f t="shared" si="129"/>
        <v>62227.369857446596</v>
      </c>
      <c r="U222" s="14">
        <f t="shared" si="129"/>
        <v>63802.129245752047</v>
      </c>
      <c r="V222" s="14">
        <f t="shared" si="129"/>
        <v>65411.215599803953</v>
      </c>
      <c r="W222" s="14">
        <f t="shared" si="129"/>
        <v>66593.587541678047</v>
      </c>
      <c r="X222" s="188">
        <f t="shared" si="129"/>
        <v>67662.946259059448</v>
      </c>
      <c r="Y222" s="159">
        <f t="shared" si="129"/>
        <v>68817.272528118105</v>
      </c>
      <c r="Z222" s="159">
        <f t="shared" si="129"/>
        <v>70035.917590108627</v>
      </c>
      <c r="AA222" s="159">
        <f t="shared" si="129"/>
        <v>71304.812979778231</v>
      </c>
      <c r="AB222" s="159">
        <f t="shared" si="129"/>
        <v>72609.740507318929</v>
      </c>
      <c r="AC222" s="159">
        <f t="shared" si="129"/>
        <v>73952.651530811185</v>
      </c>
      <c r="AD222" s="159">
        <f t="shared" si="129"/>
        <v>75361.374153836179</v>
      </c>
      <c r="AE222" s="159">
        <f t="shared" si="129"/>
        <v>76958.934183114368</v>
      </c>
      <c r="AF222" s="159">
        <f t="shared" si="129"/>
        <v>78495.185827212612</v>
      </c>
      <c r="AG222" s="159">
        <f t="shared" si="129"/>
        <v>80033.17442294088</v>
      </c>
      <c r="AH222" s="188">
        <f t="shared" si="129"/>
        <v>81555.712597662234</v>
      </c>
    </row>
    <row r="223" spans="1:34" s="1" customFormat="1">
      <c r="A223" s="1" t="s">
        <v>450</v>
      </c>
      <c r="B223" s="13"/>
      <c r="C223" s="298" t="s">
        <v>0</v>
      </c>
      <c r="D223" s="311">
        <f>D210+D213</f>
        <v>2084.9119762436512</v>
      </c>
      <c r="E223" s="311">
        <f t="shared" ref="E223:AH223" si="130">E210+E213</f>
        <v>2704.7175932259106</v>
      </c>
      <c r="F223" s="311">
        <f t="shared" si="130"/>
        <v>3670.5633282917443</v>
      </c>
      <c r="G223" s="311">
        <f t="shared" si="130"/>
        <v>4673.3828009486806</v>
      </c>
      <c r="H223" s="376">
        <f>H210+H213</f>
        <v>2660.1630686000003</v>
      </c>
      <c r="I223" s="15">
        <f t="shared" si="130"/>
        <v>3605.7165787308213</v>
      </c>
      <c r="J223" s="15">
        <f t="shared" si="130"/>
        <v>4870.3700611258319</v>
      </c>
      <c r="K223" s="15">
        <f t="shared" si="130"/>
        <v>6627.9110637759813</v>
      </c>
      <c r="L223" s="15">
        <f t="shared" si="130"/>
        <v>9025.2620034581523</v>
      </c>
      <c r="M223" s="15">
        <f t="shared" si="130"/>
        <v>12320.602566414782</v>
      </c>
      <c r="N223" s="191">
        <f t="shared" si="130"/>
        <v>16686.849261098865</v>
      </c>
      <c r="O223" s="15">
        <f t="shared" si="130"/>
        <v>17317.72051724228</v>
      </c>
      <c r="P223" s="15">
        <f t="shared" si="130"/>
        <v>18034.491634977152</v>
      </c>
      <c r="Q223" s="15">
        <f t="shared" si="130"/>
        <v>18819.40624767129</v>
      </c>
      <c r="R223" s="15">
        <f t="shared" si="130"/>
        <v>19759.59219343535</v>
      </c>
      <c r="S223" s="15">
        <f t="shared" si="130"/>
        <v>20716.236414600116</v>
      </c>
      <c r="T223" s="15">
        <f t="shared" si="130"/>
        <v>21722.383804341589</v>
      </c>
      <c r="U223" s="15">
        <f t="shared" si="130"/>
        <v>22781.89762420379</v>
      </c>
      <c r="V223" s="15">
        <f t="shared" si="130"/>
        <v>23888.016106709336</v>
      </c>
      <c r="W223" s="15">
        <f t="shared" si="130"/>
        <v>24869.693929359764</v>
      </c>
      <c r="X223" s="191">
        <f t="shared" si="130"/>
        <v>25837.67568196333</v>
      </c>
      <c r="Y223" s="131">
        <f t="shared" si="130"/>
        <v>26681.636608523208</v>
      </c>
      <c r="Z223" s="131">
        <f t="shared" si="130"/>
        <v>27568.460086947882</v>
      </c>
      <c r="AA223" s="131">
        <f t="shared" si="130"/>
        <v>28494.725939379983</v>
      </c>
      <c r="AB223" s="131">
        <f t="shared" si="130"/>
        <v>29455.383375198904</v>
      </c>
      <c r="AC223" s="131">
        <f t="shared" si="130"/>
        <v>30452.325662559026</v>
      </c>
      <c r="AD223" s="131">
        <f t="shared" si="130"/>
        <v>31498.057773764165</v>
      </c>
      <c r="AE223" s="131">
        <f t="shared" si="130"/>
        <v>32645.777269565137</v>
      </c>
      <c r="AF223" s="131">
        <f t="shared" si="130"/>
        <v>33791.796859470458</v>
      </c>
      <c r="AG223" s="131">
        <f t="shared" si="130"/>
        <v>34963.010070983044</v>
      </c>
      <c r="AH223" s="191">
        <f t="shared" si="130"/>
        <v>36151.960016582183</v>
      </c>
    </row>
    <row r="224" spans="1:34">
      <c r="A224" t="s">
        <v>453</v>
      </c>
      <c r="D224" s="301">
        <f>D210+D213+D216</f>
        <v>10213.857617008067</v>
      </c>
      <c r="E224" s="301">
        <f t="shared" ref="E224:AH224" si="131">E210+E213+E216</f>
        <v>9912.6126451548062</v>
      </c>
      <c r="F224" s="301">
        <f t="shared" si="131"/>
        <v>10832.985068068107</v>
      </c>
      <c r="G224" s="301">
        <f t="shared" si="131"/>
        <v>11518.712022986243</v>
      </c>
      <c r="H224" s="373">
        <f t="shared" si="131"/>
        <v>9088.8436111000028</v>
      </c>
      <c r="I224" s="14">
        <f t="shared" si="131"/>
        <v>10108.96232159252</v>
      </c>
      <c r="J224" s="14">
        <f t="shared" si="131"/>
        <v>11408.073570392833</v>
      </c>
      <c r="K224" s="14">
        <f t="shared" si="131"/>
        <v>13231.638062948125</v>
      </c>
      <c r="L224" s="14">
        <f t="shared" si="131"/>
        <v>15682.199566732461</v>
      </c>
      <c r="M224" s="14">
        <f t="shared" si="131"/>
        <v>19030.775190984736</v>
      </c>
      <c r="N224" s="188">
        <f t="shared" si="131"/>
        <v>23380.800906598866</v>
      </c>
      <c r="O224" s="14">
        <f t="shared" si="131"/>
        <v>24032.060655569374</v>
      </c>
      <c r="P224" s="14">
        <f t="shared" si="131"/>
        <v>24792.34300602322</v>
      </c>
      <c r="Q224" s="14">
        <f t="shared" si="131"/>
        <v>25634.790906956259</v>
      </c>
      <c r="R224" s="14">
        <f t="shared" si="131"/>
        <v>26675.188394981742</v>
      </c>
      <c r="S224" s="14">
        <f t="shared" si="131"/>
        <v>27722.993131482224</v>
      </c>
      <c r="T224" s="14">
        <f t="shared" si="131"/>
        <v>28822.335437175385</v>
      </c>
      <c r="U224" s="14">
        <f t="shared" si="131"/>
        <v>29977.49057847865</v>
      </c>
      <c r="V224" s="14">
        <f t="shared" si="131"/>
        <v>31178.770604208188</v>
      </c>
      <c r="W224" s="14">
        <f t="shared" si="131"/>
        <v>32204.105906047589</v>
      </c>
      <c r="X224" s="188">
        <f t="shared" si="131"/>
        <v>33200.380590759436</v>
      </c>
      <c r="Y224" s="159">
        <f t="shared" si="131"/>
        <v>34705.12362209936</v>
      </c>
      <c r="Z224" s="159">
        <f t="shared" si="131"/>
        <v>36269.890465747783</v>
      </c>
      <c r="AA224" s="159">
        <f t="shared" si="131"/>
        <v>37890.663007882751</v>
      </c>
      <c r="AB224" s="159">
        <f t="shared" si="131"/>
        <v>39560.923579682785</v>
      </c>
      <c r="AC224" s="159">
        <f t="shared" si="131"/>
        <v>41283.211126401628</v>
      </c>
      <c r="AD224" s="159">
        <f t="shared" si="131"/>
        <v>43074.592435182756</v>
      </c>
      <c r="AE224" s="159">
        <f t="shared" si="131"/>
        <v>45008.717733785699</v>
      </c>
      <c r="AF224" s="159">
        <f t="shared" si="131"/>
        <v>46943.409480688293</v>
      </c>
      <c r="AG224" s="159">
        <f t="shared" si="131"/>
        <v>48914.773052415825</v>
      </c>
      <c r="AH224" s="188">
        <f t="shared" si="131"/>
        <v>50911.660602512246</v>
      </c>
    </row>
    <row r="225" spans="1:34">
      <c r="D225" s="301"/>
      <c r="E225" s="301"/>
      <c r="F225" s="301"/>
      <c r="G225" s="301"/>
      <c r="H225" s="373"/>
      <c r="I225" s="14"/>
      <c r="J225" s="14"/>
      <c r="K225" s="14"/>
      <c r="L225" s="14"/>
      <c r="M225" s="14"/>
      <c r="N225" s="188"/>
      <c r="O225" s="14"/>
      <c r="P225" s="14"/>
      <c r="Q225" s="14"/>
      <c r="R225" s="14"/>
      <c r="S225" s="14"/>
      <c r="T225" s="14"/>
      <c r="U225" s="14"/>
      <c r="V225" s="14"/>
      <c r="W225" s="14"/>
      <c r="X225" s="188"/>
    </row>
    <row r="226" spans="1:34">
      <c r="A226" s="1" t="s">
        <v>460</v>
      </c>
      <c r="D226" s="301">
        <f>D210+D213</f>
        <v>2084.9119762436512</v>
      </c>
      <c r="E226" s="301">
        <f>D226+E210+E213</f>
        <v>4789.6295694695618</v>
      </c>
      <c r="F226" s="301">
        <f>E226+F210+F213</f>
        <v>8460.1928977613061</v>
      </c>
      <c r="G226" s="301">
        <f>F226+G210+G213</f>
        <v>13133.575698709987</v>
      </c>
      <c r="H226" s="373">
        <f t="shared" ref="H226:X226" si="132">G226+H210+H213</f>
        <v>15793.738767309987</v>
      </c>
      <c r="I226" s="14">
        <f t="shared" si="132"/>
        <v>19399.45534604081</v>
      </c>
      <c r="J226" s="14">
        <f t="shared" si="132"/>
        <v>24269.825407166642</v>
      </c>
      <c r="K226" s="14">
        <f t="shared" si="132"/>
        <v>30897.736470942622</v>
      </c>
      <c r="L226" s="14">
        <f t="shared" si="132"/>
        <v>39922.998474400774</v>
      </c>
      <c r="M226" s="14">
        <f t="shared" si="132"/>
        <v>52243.601040815556</v>
      </c>
      <c r="N226" s="188">
        <f t="shared" si="132"/>
        <v>68930.450301914418</v>
      </c>
      <c r="O226" s="14">
        <f t="shared" si="132"/>
        <v>86248.170819156701</v>
      </c>
      <c r="P226" s="14">
        <f t="shared" si="132"/>
        <v>104282.66245413385</v>
      </c>
      <c r="Q226" s="14">
        <f t="shared" si="132"/>
        <v>123102.06870180514</v>
      </c>
      <c r="R226" s="14">
        <f t="shared" si="132"/>
        <v>142861.66089524049</v>
      </c>
      <c r="S226" s="14">
        <f t="shared" si="132"/>
        <v>163577.8973098406</v>
      </c>
      <c r="T226" s="14">
        <f t="shared" si="132"/>
        <v>185300.2811141822</v>
      </c>
      <c r="U226" s="14">
        <f t="shared" si="132"/>
        <v>208082.17873838599</v>
      </c>
      <c r="V226" s="14">
        <f t="shared" si="132"/>
        <v>231970.19484509534</v>
      </c>
      <c r="W226" s="14">
        <f t="shared" si="132"/>
        <v>256839.88877445509</v>
      </c>
      <c r="X226" s="188">
        <f t="shared" si="132"/>
        <v>282677.56445641839</v>
      </c>
      <c r="Y226" s="159">
        <f t="shared" ref="Y226:AH226" si="133">X226+Y210+Y213</f>
        <v>309359.20106494159</v>
      </c>
      <c r="Z226" s="159">
        <f t="shared" si="133"/>
        <v>336927.66115188948</v>
      </c>
      <c r="AA226" s="159">
        <f t="shared" si="133"/>
        <v>365422.38709126948</v>
      </c>
      <c r="AB226" s="159">
        <f t="shared" si="133"/>
        <v>394877.77046646841</v>
      </c>
      <c r="AC226" s="159">
        <f t="shared" si="133"/>
        <v>425330.09612902743</v>
      </c>
      <c r="AD226" s="159">
        <f t="shared" si="133"/>
        <v>456828.15390279162</v>
      </c>
      <c r="AE226" s="159">
        <f t="shared" si="133"/>
        <v>489473.93117235677</v>
      </c>
      <c r="AF226" s="159">
        <f t="shared" si="133"/>
        <v>523265.72803182725</v>
      </c>
      <c r="AG226" s="159">
        <f t="shared" si="133"/>
        <v>558228.73810281034</v>
      </c>
      <c r="AH226" s="188">
        <f t="shared" si="133"/>
        <v>594380.6981193925</v>
      </c>
    </row>
    <row r="227" spans="1:34">
      <c r="A227" s="1" t="s">
        <v>461</v>
      </c>
      <c r="D227" s="301">
        <f>D219</f>
        <v>37760.450161351007</v>
      </c>
      <c r="E227" s="301">
        <f>D227+E219</f>
        <v>72791.849924778551</v>
      </c>
      <c r="F227" s="301">
        <f>E227+F219</f>
        <v>107908.73755514518</v>
      </c>
      <c r="G227" s="301">
        <f t="shared" ref="G227:X227" si="134">F227+G219</f>
        <v>141480.63424277434</v>
      </c>
      <c r="H227" s="373">
        <f t="shared" si="134"/>
        <v>176442.67966877433</v>
      </c>
      <c r="I227" s="14">
        <f t="shared" si="134"/>
        <v>211497.74181690271</v>
      </c>
      <c r="J227" s="14">
        <f t="shared" si="134"/>
        <v>246303.51799618683</v>
      </c>
      <c r="K227" s="14">
        <f t="shared" si="134"/>
        <v>280847.54704193486</v>
      </c>
      <c r="L227" s="14">
        <f t="shared" si="134"/>
        <v>314848.76848833374</v>
      </c>
      <c r="M227" s="14">
        <f t="shared" si="134"/>
        <v>348002.15003977786</v>
      </c>
      <c r="N227" s="188">
        <f t="shared" si="134"/>
        <v>379567.76178612787</v>
      </c>
      <c r="O227" s="14">
        <f t="shared" si="134"/>
        <v>411234.10679089482</v>
      </c>
      <c r="P227" s="14">
        <f t="shared" si="134"/>
        <v>443104.76997840626</v>
      </c>
      <c r="Q227" s="14">
        <f t="shared" si="134"/>
        <v>475225.25288714026</v>
      </c>
      <c r="R227" s="14">
        <f t="shared" si="134"/>
        <v>507795.75937717664</v>
      </c>
      <c r="S227" s="14">
        <f t="shared" si="134"/>
        <v>540780.94915715943</v>
      </c>
      <c r="T227" s="14">
        <f t="shared" si="134"/>
        <v>574185.9835774306</v>
      </c>
      <c r="U227" s="14">
        <f t="shared" si="134"/>
        <v>608010.62224470405</v>
      </c>
      <c r="V227" s="14">
        <f t="shared" si="134"/>
        <v>642243.06724029977</v>
      </c>
      <c r="W227" s="14">
        <f t="shared" si="134"/>
        <v>676632.54887593025</v>
      </c>
      <c r="X227" s="188">
        <f t="shared" si="134"/>
        <v>711095.11454423028</v>
      </c>
      <c r="Y227" s="159">
        <f t="shared" ref="Y227:AH227" si="135">X227+Y219</f>
        <v>745207.26345024898</v>
      </c>
      <c r="Z227" s="159">
        <f t="shared" si="135"/>
        <v>778973.29057460977</v>
      </c>
      <c r="AA227" s="159">
        <f t="shared" si="135"/>
        <v>812387.44054650527</v>
      </c>
      <c r="AB227" s="159">
        <f t="shared" si="135"/>
        <v>845436.25747414143</v>
      </c>
      <c r="AC227" s="159">
        <f t="shared" si="135"/>
        <v>878105.69787855097</v>
      </c>
      <c r="AD227" s="159">
        <f t="shared" si="135"/>
        <v>910392.47959720436</v>
      </c>
      <c r="AE227" s="159">
        <f t="shared" si="135"/>
        <v>942342.69604653306</v>
      </c>
      <c r="AF227" s="159">
        <f t="shared" si="135"/>
        <v>973894.47239305743</v>
      </c>
      <c r="AG227" s="159">
        <f t="shared" si="135"/>
        <v>1005012.8737635824</v>
      </c>
      <c r="AH227" s="188">
        <f t="shared" si="135"/>
        <v>1035656.9257587325</v>
      </c>
    </row>
    <row r="228" spans="1:34">
      <c r="A228" s="1" t="s">
        <v>463</v>
      </c>
      <c r="D228" s="301">
        <f t="shared" ref="D228:AH228" si="136">D227-D207</f>
        <v>-1642.5288386489847</v>
      </c>
      <c r="E228" s="301">
        <f t="shared" si="136"/>
        <v>-3639.5424532214383</v>
      </c>
      <c r="F228" s="301">
        <f t="shared" si="136"/>
        <v>-6955.3300048548117</v>
      </c>
      <c r="G228" s="301">
        <f t="shared" si="136"/>
        <v>-8996.2627342256601</v>
      </c>
      <c r="H228" s="373">
        <f>H227-H207</f>
        <v>-9391.8869852256612</v>
      </c>
      <c r="I228" s="14">
        <f t="shared" si="136"/>
        <v>-10047.702633097302</v>
      </c>
      <c r="J228" s="14">
        <f t="shared" si="136"/>
        <v>-11119.242653813184</v>
      </c>
      <c r="K228" s="14">
        <f t="shared" si="136"/>
        <v>-12967.600903065118</v>
      </c>
      <c r="L228" s="14">
        <f t="shared" si="136"/>
        <v>-15761.309320666245</v>
      </c>
      <c r="M228" s="14">
        <f t="shared" si="136"/>
        <v>-19816.215116222156</v>
      </c>
      <c r="N228" s="188">
        <f t="shared" si="136"/>
        <v>-25421.221183872141</v>
      </c>
      <c r="O228" s="14">
        <f t="shared" si="136"/>
        <v>-31287.860283105227</v>
      </c>
      <c r="P228" s="14">
        <f t="shared" si="136"/>
        <v>-37463.147455593804</v>
      </c>
      <c r="Q228" s="14">
        <f t="shared" si="136"/>
        <v>-43978.373614859767</v>
      </c>
      <c r="R228" s="14">
        <f t="shared" si="136"/>
        <v>-50941.402990823379</v>
      </c>
      <c r="S228" s="14">
        <f t="shared" si="136"/>
        <v>-57902.766934840591</v>
      </c>
      <c r="T228" s="14">
        <f t="shared" si="136"/>
        <v>-65304.946775569464</v>
      </c>
      <c r="U228" s="14">
        <f t="shared" si="136"/>
        <v>-73176.711406296003</v>
      </c>
      <c r="V228" s="14">
        <f t="shared" si="136"/>
        <v>-81370.336778700235</v>
      </c>
      <c r="W228" s="14">
        <f t="shared" si="136"/>
        <v>-89688.867765069706</v>
      </c>
      <c r="X228" s="188">
        <f t="shared" si="136"/>
        <v>-98295.781054769643</v>
      </c>
      <c r="Y228" s="159">
        <f t="shared" si="136"/>
        <v>-107541.230982751</v>
      </c>
      <c r="Z228" s="159">
        <f t="shared" si="136"/>
        <v>-117607.83043239021</v>
      </c>
      <c r="AA228" s="159">
        <f t="shared" si="136"/>
        <v>-128339.41160649469</v>
      </c>
      <c r="AB228" s="159">
        <f t="shared" si="136"/>
        <v>-139733.35516185849</v>
      </c>
      <c r="AC228" s="159">
        <f t="shared" si="136"/>
        <v>-151804.90904444898</v>
      </c>
      <c r="AD228" s="159">
        <f t="shared" si="136"/>
        <v>-164187.6590787957</v>
      </c>
      <c r="AE228" s="159">
        <f t="shared" si="136"/>
        <v>-176594.67341546691</v>
      </c>
      <c r="AF228" s="159">
        <f t="shared" si="136"/>
        <v>-189037.06789394247</v>
      </c>
      <c r="AG228" s="159">
        <f t="shared" si="136"/>
        <v>-201458.04080841737</v>
      </c>
      <c r="AH228" s="188">
        <f t="shared" si="136"/>
        <v>-213877.88621726725</v>
      </c>
    </row>
    <row r="229" spans="1:34">
      <c r="I229" s="130"/>
      <c r="J229" s="130"/>
      <c r="K229" s="130"/>
      <c r="L229" s="130"/>
      <c r="M229" s="130"/>
      <c r="O229" s="130"/>
      <c r="P229" s="130"/>
      <c r="Q229" s="130"/>
      <c r="R229" s="130"/>
      <c r="S229" s="130"/>
      <c r="T229" s="130"/>
      <c r="U229" s="130"/>
      <c r="V229" s="130"/>
      <c r="W229" s="130"/>
    </row>
    <row r="230" spans="1:34">
      <c r="A230" s="1" t="s">
        <v>419</v>
      </c>
    </row>
    <row r="231" spans="1:34">
      <c r="A231" t="s">
        <v>420</v>
      </c>
      <c r="C231" s="301">
        <f t="shared" ref="C231:AH231" si="137">C210-C191</f>
        <v>0</v>
      </c>
      <c r="D231" s="301">
        <f t="shared" si="137"/>
        <v>0</v>
      </c>
      <c r="E231" s="301">
        <f t="shared" si="137"/>
        <v>0</v>
      </c>
      <c r="F231" s="301">
        <f t="shared" si="137"/>
        <v>0</v>
      </c>
      <c r="G231" s="301">
        <f t="shared" si="137"/>
        <v>0</v>
      </c>
      <c r="H231" s="373">
        <f t="shared" si="137"/>
        <v>0</v>
      </c>
      <c r="I231" s="14">
        <f t="shared" si="137"/>
        <v>0</v>
      </c>
      <c r="J231" s="14">
        <f t="shared" si="137"/>
        <v>0</v>
      </c>
      <c r="K231" s="14">
        <f t="shared" si="137"/>
        <v>0</v>
      </c>
      <c r="L231" s="14">
        <f t="shared" si="137"/>
        <v>0</v>
      </c>
      <c r="M231" s="14">
        <f t="shared" si="137"/>
        <v>0</v>
      </c>
      <c r="N231" s="188">
        <f t="shared" ref="N231:O233" si="138">N210-N191</f>
        <v>0</v>
      </c>
      <c r="O231" s="14">
        <f t="shared" si="138"/>
        <v>0</v>
      </c>
      <c r="P231" s="14">
        <f t="shared" si="137"/>
        <v>0</v>
      </c>
      <c r="Q231" s="14">
        <f t="shared" si="137"/>
        <v>0</v>
      </c>
      <c r="R231" s="14">
        <f t="shared" si="137"/>
        <v>0</v>
      </c>
      <c r="S231" s="14">
        <f t="shared" si="137"/>
        <v>0</v>
      </c>
      <c r="T231" s="14">
        <f t="shared" si="137"/>
        <v>0</v>
      </c>
      <c r="U231" s="14">
        <f t="shared" si="137"/>
        <v>0</v>
      </c>
      <c r="V231" s="14">
        <f t="shared" si="137"/>
        <v>0</v>
      </c>
      <c r="W231" s="14">
        <f t="shared" si="137"/>
        <v>0</v>
      </c>
      <c r="X231" s="188">
        <f t="shared" si="137"/>
        <v>0</v>
      </c>
      <c r="Y231" s="159">
        <f t="shared" si="137"/>
        <v>0</v>
      </c>
      <c r="Z231" s="159">
        <f t="shared" si="137"/>
        <v>0</v>
      </c>
      <c r="AA231" s="159">
        <f t="shared" si="137"/>
        <v>0</v>
      </c>
      <c r="AB231" s="159">
        <f t="shared" si="137"/>
        <v>0</v>
      </c>
      <c r="AC231" s="159">
        <f t="shared" si="137"/>
        <v>0</v>
      </c>
      <c r="AD231" s="159">
        <f t="shared" si="137"/>
        <v>0</v>
      </c>
      <c r="AE231" s="159">
        <f t="shared" si="137"/>
        <v>0</v>
      </c>
      <c r="AF231" s="159">
        <f t="shared" si="137"/>
        <v>0</v>
      </c>
      <c r="AG231" s="159">
        <f t="shared" si="137"/>
        <v>0</v>
      </c>
      <c r="AH231" s="188">
        <f t="shared" si="137"/>
        <v>0</v>
      </c>
    </row>
    <row r="232" spans="1:34">
      <c r="A232" t="s">
        <v>421</v>
      </c>
      <c r="C232" s="301">
        <f t="shared" ref="C232:AH232" si="139">C211-C192</f>
        <v>0</v>
      </c>
      <c r="D232" s="301">
        <f t="shared" si="139"/>
        <v>0</v>
      </c>
      <c r="E232" s="301">
        <f t="shared" si="139"/>
        <v>0</v>
      </c>
      <c r="F232" s="301">
        <f t="shared" si="139"/>
        <v>0</v>
      </c>
      <c r="G232" s="301">
        <f t="shared" si="139"/>
        <v>0</v>
      </c>
      <c r="H232" s="373">
        <f t="shared" si="139"/>
        <v>0</v>
      </c>
      <c r="I232" s="14">
        <f t="shared" si="139"/>
        <v>0</v>
      </c>
      <c r="J232" s="14">
        <f t="shared" si="139"/>
        <v>0</v>
      </c>
      <c r="K232" s="14">
        <f t="shared" si="139"/>
        <v>0</v>
      </c>
      <c r="L232" s="14">
        <f t="shared" si="139"/>
        <v>0</v>
      </c>
      <c r="M232" s="14">
        <f t="shared" si="139"/>
        <v>0</v>
      </c>
      <c r="N232" s="188">
        <f t="shared" si="138"/>
        <v>0</v>
      </c>
      <c r="O232" s="14">
        <f t="shared" si="138"/>
        <v>0</v>
      </c>
      <c r="P232" s="14">
        <f t="shared" si="139"/>
        <v>0</v>
      </c>
      <c r="Q232" s="14">
        <f t="shared" si="139"/>
        <v>0</v>
      </c>
      <c r="R232" s="14">
        <f t="shared" si="139"/>
        <v>0</v>
      </c>
      <c r="S232" s="14">
        <f t="shared" si="139"/>
        <v>0</v>
      </c>
      <c r="T232" s="14">
        <f t="shared" si="139"/>
        <v>0</v>
      </c>
      <c r="U232" s="14">
        <f t="shared" si="139"/>
        <v>0</v>
      </c>
      <c r="V232" s="14">
        <f t="shared" si="139"/>
        <v>0</v>
      </c>
      <c r="W232" s="14">
        <f t="shared" si="139"/>
        <v>0</v>
      </c>
      <c r="X232" s="188">
        <f t="shared" si="139"/>
        <v>0</v>
      </c>
      <c r="Y232" s="159">
        <f t="shared" si="139"/>
        <v>0</v>
      </c>
      <c r="Z232" s="159">
        <f t="shared" si="139"/>
        <v>0</v>
      </c>
      <c r="AA232" s="159">
        <f t="shared" si="139"/>
        <v>0</v>
      </c>
      <c r="AB232" s="159">
        <f t="shared" si="139"/>
        <v>0</v>
      </c>
      <c r="AC232" s="159">
        <f t="shared" si="139"/>
        <v>0</v>
      </c>
      <c r="AD232" s="159">
        <f t="shared" si="139"/>
        <v>0</v>
      </c>
      <c r="AE232" s="159">
        <f t="shared" si="139"/>
        <v>0</v>
      </c>
      <c r="AF232" s="159">
        <f t="shared" si="139"/>
        <v>0</v>
      </c>
      <c r="AG232" s="159">
        <f t="shared" si="139"/>
        <v>0</v>
      </c>
      <c r="AH232" s="188">
        <f t="shared" si="139"/>
        <v>0</v>
      </c>
    </row>
    <row r="233" spans="1:34">
      <c r="A233" t="s">
        <v>422</v>
      </c>
      <c r="C233" s="301">
        <f t="shared" ref="C233:AH233" si="140">C212-C193</f>
        <v>0</v>
      </c>
      <c r="D233" s="301">
        <f t="shared" si="140"/>
        <v>0</v>
      </c>
      <c r="E233" s="301">
        <f t="shared" si="140"/>
        <v>0</v>
      </c>
      <c r="F233" s="301">
        <f t="shared" si="140"/>
        <v>0</v>
      </c>
      <c r="G233" s="301">
        <f t="shared" si="140"/>
        <v>0</v>
      </c>
      <c r="H233" s="373">
        <f t="shared" si="140"/>
        <v>0</v>
      </c>
      <c r="I233" s="14">
        <f t="shared" si="140"/>
        <v>0</v>
      </c>
      <c r="J233" s="14">
        <f t="shared" si="140"/>
        <v>0</v>
      </c>
      <c r="K233" s="14">
        <f t="shared" si="140"/>
        <v>0</v>
      </c>
      <c r="L233" s="14">
        <f t="shared" si="140"/>
        <v>0</v>
      </c>
      <c r="M233" s="14">
        <f t="shared" si="140"/>
        <v>0</v>
      </c>
      <c r="N233" s="188">
        <f t="shared" si="138"/>
        <v>0</v>
      </c>
      <c r="O233" s="14">
        <f t="shared" si="138"/>
        <v>0</v>
      </c>
      <c r="P233" s="14">
        <f t="shared" si="140"/>
        <v>0</v>
      </c>
      <c r="Q233" s="14">
        <f t="shared" si="140"/>
        <v>0</v>
      </c>
      <c r="R233" s="14">
        <f t="shared" si="140"/>
        <v>0</v>
      </c>
      <c r="S233" s="14">
        <f t="shared" si="140"/>
        <v>0</v>
      </c>
      <c r="T233" s="14">
        <f t="shared" si="140"/>
        <v>0</v>
      </c>
      <c r="U233" s="14">
        <f t="shared" si="140"/>
        <v>0</v>
      </c>
      <c r="V233" s="14">
        <f t="shared" si="140"/>
        <v>0</v>
      </c>
      <c r="W233" s="14">
        <f t="shared" si="140"/>
        <v>0</v>
      </c>
      <c r="X233" s="188">
        <f t="shared" si="140"/>
        <v>0</v>
      </c>
      <c r="Y233" s="159">
        <f t="shared" si="140"/>
        <v>0</v>
      </c>
      <c r="Z233" s="159">
        <f t="shared" si="140"/>
        <v>0</v>
      </c>
      <c r="AA233" s="159">
        <f t="shared" si="140"/>
        <v>0</v>
      </c>
      <c r="AB233" s="159">
        <f t="shared" si="140"/>
        <v>0</v>
      </c>
      <c r="AC233" s="159">
        <f t="shared" si="140"/>
        <v>0</v>
      </c>
      <c r="AD233" s="159">
        <f t="shared" si="140"/>
        <v>0</v>
      </c>
      <c r="AE233" s="159">
        <f t="shared" si="140"/>
        <v>0</v>
      </c>
      <c r="AF233" s="159">
        <f t="shared" si="140"/>
        <v>0</v>
      </c>
      <c r="AG233" s="159">
        <f t="shared" si="140"/>
        <v>0</v>
      </c>
      <c r="AH233" s="188">
        <f t="shared" si="140"/>
        <v>0</v>
      </c>
    </row>
    <row r="234" spans="1:34">
      <c r="A234" t="s">
        <v>423</v>
      </c>
      <c r="C234" s="301">
        <f t="shared" ref="C234:AH234" si="141">C213-C194</f>
        <v>-2.7000000955013093E-6</v>
      </c>
      <c r="D234" s="301">
        <f t="shared" si="141"/>
        <v>536.88312494365141</v>
      </c>
      <c r="E234" s="301">
        <f t="shared" si="141"/>
        <v>1125.5706559259106</v>
      </c>
      <c r="F234" s="301">
        <f t="shared" si="141"/>
        <v>1929.1621859917441</v>
      </c>
      <c r="G234" s="301">
        <f t="shared" si="141"/>
        <v>2463.9716446486809</v>
      </c>
      <c r="H234" s="373">
        <f>H213-H194</f>
        <v>-2.7000000955013093E-6</v>
      </c>
      <c r="I234" s="14">
        <f t="shared" si="141"/>
        <v>508.18866943082139</v>
      </c>
      <c r="J234" s="14">
        <f t="shared" si="141"/>
        <v>1244.989205825832</v>
      </c>
      <c r="K234" s="14">
        <f t="shared" si="141"/>
        <v>3052.2675724759811</v>
      </c>
      <c r="L234" s="14">
        <f t="shared" si="141"/>
        <v>5415.4254281581525</v>
      </c>
      <c r="M234" s="14">
        <f t="shared" si="141"/>
        <v>8683.022761114782</v>
      </c>
      <c r="N234" s="188">
        <f t="shared" si="141"/>
        <v>12998.478769798865</v>
      </c>
      <c r="O234" s="14">
        <f t="shared" si="141"/>
        <v>13573.170787942279</v>
      </c>
      <c r="P234" s="14">
        <f t="shared" si="141"/>
        <v>14222.502944677151</v>
      </c>
      <c r="Q234" s="14">
        <f t="shared" si="141"/>
        <v>14925.07379937129</v>
      </c>
      <c r="R234" s="14">
        <f t="shared" si="141"/>
        <v>15808.622930135349</v>
      </c>
      <c r="S234" s="14">
        <f t="shared" si="141"/>
        <v>15848.697651300117</v>
      </c>
      <c r="T234" s="14">
        <f t="shared" si="141"/>
        <v>16737.762310041588</v>
      </c>
      <c r="U234" s="14">
        <f t="shared" si="141"/>
        <v>17688.262641903792</v>
      </c>
      <c r="V234" s="14">
        <f t="shared" si="141"/>
        <v>18659.043915409336</v>
      </c>
      <c r="W234" s="14">
        <f t="shared" si="141"/>
        <v>19445.676136059763</v>
      </c>
      <c r="X234" s="188">
        <f t="shared" si="141"/>
        <v>20181.99370066333</v>
      </c>
      <c r="Y234" s="159">
        <f t="shared" si="141"/>
        <v>20804.206710223207</v>
      </c>
      <c r="Z234" s="159">
        <f t="shared" si="141"/>
        <v>21540.624079647881</v>
      </c>
      <c r="AA234" s="159">
        <f t="shared" si="141"/>
        <v>22226.177507079985</v>
      </c>
      <c r="AB234" s="159">
        <f t="shared" si="141"/>
        <v>22835.390517898904</v>
      </c>
      <c r="AC234" s="159">
        <f t="shared" si="141"/>
        <v>23481.776972259024</v>
      </c>
      <c r="AD234" s="159">
        <f t="shared" si="141"/>
        <v>24291.051328464164</v>
      </c>
      <c r="AE234" s="159">
        <f t="shared" si="141"/>
        <v>25155.759440265138</v>
      </c>
      <c r="AF234" s="159">
        <f t="shared" si="141"/>
        <v>26133.044020170455</v>
      </c>
      <c r="AG234" s="159">
        <f t="shared" si="141"/>
        <v>27128.750450683045</v>
      </c>
      <c r="AH234" s="188">
        <f t="shared" si="141"/>
        <v>28136.411174282184</v>
      </c>
    </row>
    <row r="235" spans="1:34">
      <c r="A235" t="s">
        <v>424</v>
      </c>
      <c r="C235" s="301">
        <f t="shared" ref="C235:AH235" si="142">C214-C195</f>
        <v>0</v>
      </c>
      <c r="D235" s="301">
        <f t="shared" si="142"/>
        <v>282.5700676648396</v>
      </c>
      <c r="E235" s="301">
        <f t="shared" si="142"/>
        <v>592.40561055636863</v>
      </c>
      <c r="F235" s="301">
        <f t="shared" si="142"/>
        <v>1015.3485217243837</v>
      </c>
      <c r="G235" s="301">
        <f t="shared" si="142"/>
        <v>1296.8271848163113</v>
      </c>
      <c r="H235" s="373">
        <f t="shared" si="142"/>
        <v>0</v>
      </c>
      <c r="I235" s="14">
        <f t="shared" si="142"/>
        <v>267.46772258937244</v>
      </c>
      <c r="J235" s="14">
        <f t="shared" si="142"/>
        <v>655.25747910857422</v>
      </c>
      <c r="K235" s="14">
        <f t="shared" si="142"/>
        <v>1606.4566201353418</v>
      </c>
      <c r="L235" s="14">
        <f t="shared" si="142"/>
        <v>2850.2239134750434</v>
      </c>
      <c r="M235" s="14">
        <f t="shared" si="142"/>
        <v>4570.0119845791796</v>
      </c>
      <c r="N235" s="188">
        <f t="shared" si="142"/>
        <v>6841.3046221127106</v>
      </c>
      <c r="O235" s="14">
        <f t="shared" si="142"/>
        <v>7143.7741055891474</v>
      </c>
      <c r="P235" s="14">
        <f t="shared" si="142"/>
        <v>7485.5278725678681</v>
      </c>
      <c r="Q235" s="14">
        <f t="shared" si="142"/>
        <v>7855.3020069198265</v>
      </c>
      <c r="R235" s="14">
        <f t="shared" si="142"/>
        <v>8320.3278655789363</v>
      </c>
      <c r="S235" s="14">
        <f t="shared" si="142"/>
        <v>8341.4198244552827</v>
      </c>
      <c r="T235" s="14">
        <f t="shared" si="142"/>
        <v>8809.3485926015983</v>
      </c>
      <c r="U235" s="14">
        <f t="shared" si="142"/>
        <v>9309.6119255688609</v>
      </c>
      <c r="V235" s="14">
        <f t="shared" si="142"/>
        <v>9820.5494383663663</v>
      </c>
      <c r="W235" s="14">
        <f t="shared" si="142"/>
        <v>10234.566396981652</v>
      </c>
      <c r="X235" s="188">
        <f t="shared" si="142"/>
        <v>10622.101957672265</v>
      </c>
      <c r="Y235" s="159">
        <f t="shared" si="142"/>
        <v>10949.582489344726</v>
      </c>
      <c r="Z235" s="159">
        <f t="shared" si="142"/>
        <v>11337.17057885728</v>
      </c>
      <c r="AA235" s="159">
        <f t="shared" si="142"/>
        <v>11697.988172599471</v>
      </c>
      <c r="AB235" s="159">
        <f t="shared" si="142"/>
        <v>12018.626599716394</v>
      </c>
      <c r="AC235" s="159">
        <f t="shared" si="142"/>
        <v>12358.829997132136</v>
      </c>
      <c r="AD235" s="159">
        <f t="shared" si="142"/>
        <v>12784.76386922195</v>
      </c>
      <c r="AE235" s="159">
        <f t="shared" si="142"/>
        <v>13239.873402190964</v>
      </c>
      <c r="AF235" s="159">
        <f t="shared" si="142"/>
        <v>13754.233707845828</v>
      </c>
      <c r="AG235" s="159">
        <f t="shared" si="142"/>
        <v>14278.289724356313</v>
      </c>
      <c r="AH235" s="188">
        <f t="shared" si="142"/>
        <v>14808.637474077117</v>
      </c>
    </row>
    <row r="236" spans="1:34">
      <c r="A236" t="s">
        <v>425</v>
      </c>
      <c r="C236" s="301">
        <f t="shared" ref="C236:AH236" si="143">C215-C196</f>
        <v>-2.6999999818144715E-6</v>
      </c>
      <c r="D236" s="301">
        <f t="shared" si="143"/>
        <v>254.31305727881158</v>
      </c>
      <c r="E236" s="301">
        <f t="shared" si="143"/>
        <v>533.1650453695421</v>
      </c>
      <c r="F236" s="301">
        <f t="shared" si="143"/>
        <v>913.81366426736031</v>
      </c>
      <c r="G236" s="301">
        <f t="shared" si="143"/>
        <v>1167.1444598323694</v>
      </c>
      <c r="H236" s="373">
        <f>H215-H196</f>
        <v>-2.6999998681276338E-6</v>
      </c>
      <c r="I236" s="14">
        <f t="shared" si="143"/>
        <v>240.72094684144918</v>
      </c>
      <c r="J236" s="14">
        <f t="shared" si="143"/>
        <v>589.7317267172582</v>
      </c>
      <c r="K236" s="14">
        <f t="shared" si="143"/>
        <v>1445.8109523406395</v>
      </c>
      <c r="L236" s="14">
        <f t="shared" si="143"/>
        <v>2565.20151468311</v>
      </c>
      <c r="M236" s="14">
        <f t="shared" si="143"/>
        <v>4113.0107765356006</v>
      </c>
      <c r="N236" s="188">
        <f t="shared" si="143"/>
        <v>6157.1741476861544</v>
      </c>
      <c r="O236" s="14">
        <f t="shared" si="143"/>
        <v>6429.3966823531327</v>
      </c>
      <c r="P236" s="14">
        <f t="shared" si="143"/>
        <v>6736.9750721092823</v>
      </c>
      <c r="Q236" s="14">
        <f t="shared" si="143"/>
        <v>7069.7717924514636</v>
      </c>
      <c r="R236" s="14">
        <f t="shared" si="143"/>
        <v>7488.2950645564142</v>
      </c>
      <c r="S236" s="14">
        <f t="shared" si="143"/>
        <v>7507.2778268448346</v>
      </c>
      <c r="T236" s="14">
        <f t="shared" si="143"/>
        <v>7928.4137174399893</v>
      </c>
      <c r="U236" s="14">
        <f t="shared" si="143"/>
        <v>8378.6507163349306</v>
      </c>
      <c r="V236" s="14">
        <f t="shared" si="143"/>
        <v>8838.494477042972</v>
      </c>
      <c r="W236" s="14">
        <f t="shared" si="143"/>
        <v>9211.1097390781106</v>
      </c>
      <c r="X236" s="188">
        <f t="shared" si="143"/>
        <v>9559.8917429910671</v>
      </c>
      <c r="Y236" s="159">
        <f t="shared" si="143"/>
        <v>9854.6242208784806</v>
      </c>
      <c r="Z236" s="159">
        <f t="shared" si="143"/>
        <v>10203.453500790598</v>
      </c>
      <c r="AA236" s="159">
        <f t="shared" si="143"/>
        <v>10528.189334480514</v>
      </c>
      <c r="AB236" s="159">
        <f t="shared" si="143"/>
        <v>10816.763918182511</v>
      </c>
      <c r="AC236" s="159">
        <f t="shared" si="143"/>
        <v>11122.94697512689</v>
      </c>
      <c r="AD236" s="159">
        <f t="shared" si="143"/>
        <v>11506.287459242216</v>
      </c>
      <c r="AE236" s="159">
        <f t="shared" si="143"/>
        <v>11915.88603807417</v>
      </c>
      <c r="AF236" s="159">
        <f t="shared" si="143"/>
        <v>12378.810312324633</v>
      </c>
      <c r="AG236" s="159">
        <f t="shared" si="143"/>
        <v>12850.460726326726</v>
      </c>
      <c r="AH236" s="188">
        <f t="shared" si="143"/>
        <v>13327.773700205067</v>
      </c>
    </row>
    <row r="237" spans="1:34">
      <c r="A237" t="s">
        <v>426</v>
      </c>
      <c r="C237" s="301">
        <f t="shared" ref="C237:AH237" si="144">C216-C197</f>
        <v>0</v>
      </c>
      <c r="D237" s="301">
        <f t="shared" si="144"/>
        <v>1711.5246692644141</v>
      </c>
      <c r="E237" s="301">
        <f t="shared" si="144"/>
        <v>1350.4803464288943</v>
      </c>
      <c r="F237" s="301">
        <f t="shared" si="144"/>
        <v>2407.2915022763618</v>
      </c>
      <c r="G237" s="301">
        <f t="shared" si="144"/>
        <v>403.52224453756207</v>
      </c>
      <c r="H237" s="373">
        <f t="shared" si="144"/>
        <v>0</v>
      </c>
      <c r="I237" s="14">
        <f t="shared" si="144"/>
        <v>-127.20461563830304</v>
      </c>
      <c r="J237" s="14">
        <f t="shared" si="144"/>
        <v>-156.10189323299892</v>
      </c>
      <c r="K237" s="14">
        <f t="shared" si="144"/>
        <v>-90.225178327857066</v>
      </c>
      <c r="L237" s="14">
        <f t="shared" si="144"/>
        <v>-37.01461422569264</v>
      </c>
      <c r="M237" s="14">
        <f t="shared" si="144"/>
        <v>16.220979069952591</v>
      </c>
      <c r="N237" s="188">
        <f t="shared" si="144"/>
        <v>0</v>
      </c>
      <c r="O237" s="14">
        <f t="shared" si="144"/>
        <v>20.387960827094503</v>
      </c>
      <c r="P237" s="14">
        <f t="shared" si="144"/>
        <v>63.899193546069</v>
      </c>
      <c r="Q237" s="14">
        <f t="shared" si="144"/>
        <v>121.43248178497015</v>
      </c>
      <c r="R237" s="14">
        <f t="shared" si="144"/>
        <v>221.64402404639168</v>
      </c>
      <c r="S237" s="14">
        <f t="shared" si="144"/>
        <v>312.80453938210849</v>
      </c>
      <c r="T237" s="14">
        <f t="shared" si="144"/>
        <v>405.99945533379469</v>
      </c>
      <c r="U237" s="14">
        <f t="shared" si="144"/>
        <v>501.64077677485875</v>
      </c>
      <c r="V237" s="14">
        <f t="shared" si="144"/>
        <v>374.49308599885171</v>
      </c>
      <c r="W237" s="14">
        <f t="shared" si="144"/>
        <v>67.529049187822238</v>
      </c>
      <c r="X237" s="188">
        <f t="shared" si="144"/>
        <v>7.5547296104559791E-2</v>
      </c>
      <c r="Y237" s="159">
        <f t="shared" si="144"/>
        <v>426.94629607615116</v>
      </c>
      <c r="Z237" s="159">
        <f t="shared" si="144"/>
        <v>1045.9360812999039</v>
      </c>
      <c r="AA237" s="159">
        <f t="shared" si="144"/>
        <v>1458.473195002769</v>
      </c>
      <c r="AB237" s="159">
        <f t="shared" si="144"/>
        <v>1860.4116869838799</v>
      </c>
      <c r="AC237" s="159">
        <f t="shared" si="144"/>
        <v>2263.7902803426041</v>
      </c>
      <c r="AD237" s="159">
        <f t="shared" si="144"/>
        <v>2154.3436419185855</v>
      </c>
      <c r="AE237" s="159">
        <f t="shared" si="144"/>
        <v>1727.3518747205599</v>
      </c>
      <c r="AF237" s="159">
        <f t="shared" si="144"/>
        <v>1202.6328057178362</v>
      </c>
      <c r="AG237" s="159">
        <f t="shared" si="144"/>
        <v>593.23187593278089</v>
      </c>
      <c r="AH237" s="188">
        <f t="shared" si="144"/>
        <v>0.91116643005807418</v>
      </c>
    </row>
    <row r="238" spans="1:34">
      <c r="A238" t="s">
        <v>427</v>
      </c>
      <c r="C238" s="301">
        <f t="shared" ref="C238:AH238" si="145">C217-C198</f>
        <v>0</v>
      </c>
      <c r="D238" s="301">
        <f t="shared" si="145"/>
        <v>900.80245750758604</v>
      </c>
      <c r="E238" s="301">
        <f t="shared" si="145"/>
        <v>710.77912969941872</v>
      </c>
      <c r="F238" s="301">
        <f t="shared" si="145"/>
        <v>1266.9955275138745</v>
      </c>
      <c r="G238" s="301">
        <f t="shared" si="145"/>
        <v>212.38012870398006</v>
      </c>
      <c r="H238" s="373">
        <f t="shared" si="145"/>
        <v>0</v>
      </c>
      <c r="I238" s="14">
        <f t="shared" si="145"/>
        <v>-66.949797704370212</v>
      </c>
      <c r="J238" s="14">
        <f t="shared" si="145"/>
        <v>-82.158891175262852</v>
      </c>
      <c r="K238" s="14">
        <f t="shared" si="145"/>
        <v>-47.486935962029747</v>
      </c>
      <c r="L238" s="14">
        <f t="shared" si="145"/>
        <v>-19.481375908258997</v>
      </c>
      <c r="M238" s="14">
        <f t="shared" si="145"/>
        <v>8.5373574052382537</v>
      </c>
      <c r="N238" s="188">
        <f t="shared" si="145"/>
        <v>0</v>
      </c>
      <c r="O238" s="14">
        <f t="shared" si="145"/>
        <v>10.730505698471006</v>
      </c>
      <c r="P238" s="14">
        <f t="shared" si="145"/>
        <v>33.631154497931675</v>
      </c>
      <c r="Q238" s="14">
        <f t="shared" si="145"/>
        <v>63.91183251840539</v>
      </c>
      <c r="R238" s="14">
        <f t="shared" si="145"/>
        <v>116.65474949810095</v>
      </c>
      <c r="S238" s="14">
        <f t="shared" si="145"/>
        <v>164.63396809584674</v>
      </c>
      <c r="T238" s="14">
        <f t="shared" si="145"/>
        <v>213.68392385989227</v>
      </c>
      <c r="U238" s="14">
        <f t="shared" si="145"/>
        <v>264.02146146045243</v>
      </c>
      <c r="V238" s="14">
        <f t="shared" si="145"/>
        <v>197.10162420992219</v>
      </c>
      <c r="W238" s="14">
        <f t="shared" si="145"/>
        <v>35.54160483569558</v>
      </c>
      <c r="X238" s="188">
        <f t="shared" si="145"/>
        <v>3.9761734791682102E-2</v>
      </c>
      <c r="Y238" s="159">
        <f t="shared" si="145"/>
        <v>224.70857688218484</v>
      </c>
      <c r="Z238" s="159">
        <f t="shared" si="145"/>
        <v>550.49267436836999</v>
      </c>
      <c r="AA238" s="159">
        <f t="shared" si="145"/>
        <v>767.61747105408904</v>
      </c>
      <c r="AB238" s="159">
        <f t="shared" si="145"/>
        <v>979.16404578098991</v>
      </c>
      <c r="AC238" s="159">
        <f t="shared" si="145"/>
        <v>1191.4685686013709</v>
      </c>
      <c r="AD238" s="159">
        <f t="shared" si="145"/>
        <v>1133.8650746939938</v>
      </c>
      <c r="AE238" s="159">
        <f t="shared" si="145"/>
        <v>909.13256564239964</v>
      </c>
      <c r="AF238" s="159">
        <f t="shared" si="145"/>
        <v>632.96463458833568</v>
      </c>
      <c r="AG238" s="159">
        <f t="shared" si="145"/>
        <v>312.22730312251588</v>
      </c>
      <c r="AH238" s="188">
        <f t="shared" si="145"/>
        <v>0.4795612789785082</v>
      </c>
    </row>
    <row r="239" spans="1:34">
      <c r="A239" t="s">
        <v>428</v>
      </c>
      <c r="C239" s="301">
        <f t="shared" ref="C239:AH239" si="146">C218-C199</f>
        <v>0</v>
      </c>
      <c r="D239" s="301">
        <f t="shared" si="146"/>
        <v>810.72221175682807</v>
      </c>
      <c r="E239" s="301">
        <f t="shared" si="146"/>
        <v>639.70121672947653</v>
      </c>
      <c r="F239" s="301">
        <f t="shared" si="146"/>
        <v>1140.2959747624873</v>
      </c>
      <c r="G239" s="301">
        <f t="shared" si="146"/>
        <v>191.14211583358201</v>
      </c>
      <c r="H239" s="373">
        <f t="shared" si="146"/>
        <v>0</v>
      </c>
      <c r="I239" s="14">
        <f t="shared" si="146"/>
        <v>-60.254817933933282</v>
      </c>
      <c r="J239" s="14">
        <f t="shared" si="146"/>
        <v>-73.943002057736976</v>
      </c>
      <c r="K239" s="14">
        <f t="shared" si="146"/>
        <v>-42.738242365826864</v>
      </c>
      <c r="L239" s="14">
        <f t="shared" si="146"/>
        <v>-17.533238317432733</v>
      </c>
      <c r="M239" s="14">
        <f t="shared" si="146"/>
        <v>7.6836216647143374</v>
      </c>
      <c r="N239" s="188">
        <f t="shared" si="146"/>
        <v>0</v>
      </c>
      <c r="O239" s="14">
        <f t="shared" si="146"/>
        <v>9.6574551286239512</v>
      </c>
      <c r="P239" s="14">
        <f t="shared" si="146"/>
        <v>30.268039048138235</v>
      </c>
      <c r="Q239" s="14">
        <f t="shared" si="146"/>
        <v>57.520649266565215</v>
      </c>
      <c r="R239" s="14">
        <f t="shared" si="146"/>
        <v>104.98927454829118</v>
      </c>
      <c r="S239" s="14">
        <f t="shared" si="146"/>
        <v>148.1705712862622</v>
      </c>
      <c r="T239" s="14">
        <f t="shared" si="146"/>
        <v>192.31553147390287</v>
      </c>
      <c r="U239" s="14">
        <f t="shared" si="146"/>
        <v>237.61931531440723</v>
      </c>
      <c r="V239" s="14">
        <f t="shared" si="146"/>
        <v>177.39146178892997</v>
      </c>
      <c r="W239" s="14">
        <f t="shared" si="146"/>
        <v>31.987444352126204</v>
      </c>
      <c r="X239" s="188">
        <f t="shared" si="146"/>
        <v>3.5785561312422942E-2</v>
      </c>
      <c r="Y239" s="159">
        <f t="shared" si="146"/>
        <v>202.23771919396677</v>
      </c>
      <c r="Z239" s="159">
        <f t="shared" si="146"/>
        <v>495.44340693153299</v>
      </c>
      <c r="AA239" s="159">
        <f t="shared" si="146"/>
        <v>690.8557239486795</v>
      </c>
      <c r="AB239" s="159">
        <f t="shared" si="146"/>
        <v>881.24764120289046</v>
      </c>
      <c r="AC239" s="159">
        <f t="shared" si="146"/>
        <v>1072.3217117412337</v>
      </c>
      <c r="AD239" s="159">
        <f t="shared" si="146"/>
        <v>1020.4785672245935</v>
      </c>
      <c r="AE239" s="159">
        <f t="shared" si="146"/>
        <v>818.21930907815931</v>
      </c>
      <c r="AF239" s="159">
        <f t="shared" si="146"/>
        <v>569.6681711295023</v>
      </c>
      <c r="AG239" s="159">
        <f t="shared" si="146"/>
        <v>281.00457281026411</v>
      </c>
      <c r="AH239" s="188">
        <f t="shared" si="146"/>
        <v>0.43160515108047548</v>
      </c>
    </row>
    <row r="240" spans="1:34">
      <c r="A240" t="s">
        <v>400</v>
      </c>
      <c r="C240" s="301">
        <f>C219-C200</f>
        <v>2.2571999999927357</v>
      </c>
      <c r="D240" s="301">
        <f t="shared" ref="D240:AH240" si="147">D219-D200+D249+D252</f>
        <v>-1642.5288386489847</v>
      </c>
      <c r="E240" s="301">
        <f t="shared" si="147"/>
        <v>-1997.0136145724609</v>
      </c>
      <c r="F240" s="301">
        <f t="shared" si="147"/>
        <v>-3315.7875516333734</v>
      </c>
      <c r="G240" s="301">
        <f t="shared" si="147"/>
        <v>-2040.9327293708629</v>
      </c>
      <c r="H240" s="373">
        <f t="shared" si="147"/>
        <v>-395.62425099999382</v>
      </c>
      <c r="I240" s="14">
        <f t="shared" si="147"/>
        <v>-655.81564787161187</v>
      </c>
      <c r="J240" s="14">
        <f t="shared" si="147"/>
        <v>-1071.5400207158818</v>
      </c>
      <c r="K240" s="14">
        <f t="shared" si="147"/>
        <v>-1848.358249251949</v>
      </c>
      <c r="L240" s="14">
        <f t="shared" si="147"/>
        <v>-2793.7084176011049</v>
      </c>
      <c r="M240" s="14">
        <f t="shared" si="147"/>
        <v>-4054.9057955558965</v>
      </c>
      <c r="N240" s="188">
        <f t="shared" si="147"/>
        <v>-5605.006067650007</v>
      </c>
      <c r="O240" s="14">
        <f t="shared" si="147"/>
        <v>-5866.6390992330817</v>
      </c>
      <c r="P240" s="14">
        <f t="shared" si="147"/>
        <v>-6175.2871724885772</v>
      </c>
      <c r="Q240" s="14">
        <f t="shared" si="147"/>
        <v>-6515.2261592659961</v>
      </c>
      <c r="R240" s="14">
        <f t="shared" si="147"/>
        <v>-6963.0293759636479</v>
      </c>
      <c r="S240" s="14">
        <f t="shared" si="147"/>
        <v>-6961.3639440172556</v>
      </c>
      <c r="T240" s="14">
        <f t="shared" si="147"/>
        <v>-7402.1798407287861</v>
      </c>
      <c r="U240" s="14">
        <f t="shared" si="147"/>
        <v>-7871.7646307266114</v>
      </c>
      <c r="V240" s="14">
        <f t="shared" si="147"/>
        <v>-8193.6253724042326</v>
      </c>
      <c r="W240" s="14">
        <f t="shared" si="147"/>
        <v>-8318.5309863695438</v>
      </c>
      <c r="X240" s="188">
        <f t="shared" si="147"/>
        <v>-8606.9132896999799</v>
      </c>
      <c r="Y240" s="159">
        <f t="shared" si="147"/>
        <v>-9245.449927981259</v>
      </c>
      <c r="Z240" s="159">
        <f t="shared" si="147"/>
        <v>-10066.59944963915</v>
      </c>
      <c r="AA240" s="159">
        <f t="shared" si="147"/>
        <v>-10731.581174104525</v>
      </c>
      <c r="AB240" s="159">
        <f t="shared" si="147"/>
        <v>-11393.94355536384</v>
      </c>
      <c r="AC240" s="159">
        <f t="shared" si="147"/>
        <v>-12071.553882590444</v>
      </c>
      <c r="AD240" s="159">
        <f t="shared" si="147"/>
        <v>-12382.75003434658</v>
      </c>
      <c r="AE240" s="159">
        <f t="shared" si="147"/>
        <v>-12407.014336671335</v>
      </c>
      <c r="AF240" s="159">
        <f t="shared" si="147"/>
        <v>-12442.394478475675</v>
      </c>
      <c r="AG240" s="159">
        <f t="shared" si="147"/>
        <v>-12420.972914474936</v>
      </c>
      <c r="AH240" s="188">
        <f t="shared" si="147"/>
        <v>-12419.84540885</v>
      </c>
    </row>
    <row r="241" spans="1:34">
      <c r="A241" t="s">
        <v>429</v>
      </c>
      <c r="C241" s="301">
        <f>C220-C201</f>
        <v>1.1879999999982829</v>
      </c>
      <c r="D241" s="301">
        <f t="shared" ref="D241:AH241" si="148">D220-D201+D250+D253</f>
        <v>-864.48886244683308</v>
      </c>
      <c r="E241" s="301">
        <f t="shared" si="148"/>
        <v>-1051.0597971433999</v>
      </c>
      <c r="F241" s="301">
        <f t="shared" si="148"/>
        <v>-1745.1513429649349</v>
      </c>
      <c r="G241" s="301">
        <f t="shared" si="148"/>
        <v>-1074.1751207215093</v>
      </c>
      <c r="H241" s="373">
        <f t="shared" si="148"/>
        <v>-208.22328999999809</v>
      </c>
      <c r="I241" s="14">
        <f t="shared" si="148"/>
        <v>-345.16613045874692</v>
      </c>
      <c r="J241" s="14">
        <f t="shared" si="148"/>
        <v>-563.96843195572728</v>
      </c>
      <c r="K241" s="14">
        <f t="shared" si="148"/>
        <v>-972.82013118523901</v>
      </c>
      <c r="L241" s="14">
        <f t="shared" si="148"/>
        <v>-1470.3728513690003</v>
      </c>
      <c r="M241" s="14">
        <f t="shared" si="148"/>
        <v>-2134.1609450294163</v>
      </c>
      <c r="N241" s="188">
        <f t="shared" si="148"/>
        <v>-2950.0031935000043</v>
      </c>
      <c r="O241" s="14">
        <f t="shared" si="148"/>
        <v>-3087.7047890700414</v>
      </c>
      <c r="P241" s="14">
        <f t="shared" si="148"/>
        <v>-3250.1511434150416</v>
      </c>
      <c r="Q241" s="14">
        <f t="shared" si="148"/>
        <v>-3429.0663996136827</v>
      </c>
      <c r="R241" s="14">
        <f t="shared" si="148"/>
        <v>-3664.7523031387645</v>
      </c>
      <c r="S241" s="14">
        <f t="shared" si="148"/>
        <v>-3663.875760009083</v>
      </c>
      <c r="T241" s="14">
        <f t="shared" si="148"/>
        <v>-3895.8841266993622</v>
      </c>
      <c r="U241" s="14">
        <f t="shared" si="148"/>
        <v>-4143.0340161718996</v>
      </c>
      <c r="V241" s="14">
        <f t="shared" si="148"/>
        <v>-4312.4344065285441</v>
      </c>
      <c r="W241" s="14">
        <f t="shared" si="148"/>
        <v>-4378.1742033523878</v>
      </c>
      <c r="X241" s="188">
        <f t="shared" si="148"/>
        <v>-4529.9543629999935</v>
      </c>
      <c r="Y241" s="159">
        <f t="shared" si="148"/>
        <v>-4866.0262778848737</v>
      </c>
      <c r="Z241" s="159">
        <f t="shared" si="148"/>
        <v>-5298.2102366521867</v>
      </c>
      <c r="AA241" s="159">
        <f t="shared" si="148"/>
        <v>-5648.2006179497475</v>
      </c>
      <c r="AB241" s="159">
        <f t="shared" si="148"/>
        <v>-5996.8123975599156</v>
      </c>
      <c r="AC241" s="159">
        <f t="shared" si="148"/>
        <v>-6353.4494118897055</v>
      </c>
      <c r="AD241" s="159">
        <f t="shared" si="148"/>
        <v>-6517.2368601824091</v>
      </c>
      <c r="AE241" s="159">
        <f t="shared" si="148"/>
        <v>-6530.0075456164923</v>
      </c>
      <c r="AF241" s="159">
        <f t="shared" si="148"/>
        <v>-6548.6286728819359</v>
      </c>
      <c r="AG241" s="159">
        <f t="shared" si="148"/>
        <v>-6537.3541655131248</v>
      </c>
      <c r="AH241" s="188">
        <f t="shared" si="148"/>
        <v>-6536.760741500002</v>
      </c>
    </row>
    <row r="242" spans="1:34">
      <c r="A242" t="s">
        <v>430</v>
      </c>
      <c r="C242" s="301">
        <f>C221-C202</f>
        <v>1.0691999999944528</v>
      </c>
      <c r="D242" s="301">
        <f t="shared" ref="D242:AH242" si="149">D221-D202+D251+D254</f>
        <v>-778.03997620214795</v>
      </c>
      <c r="E242" s="301">
        <f t="shared" si="149"/>
        <v>-945.95381742906102</v>
      </c>
      <c r="F242" s="301">
        <f t="shared" si="149"/>
        <v>-1570.6362086684385</v>
      </c>
      <c r="G242" s="301">
        <f t="shared" si="149"/>
        <v>-966.75760864935728</v>
      </c>
      <c r="H242" s="373">
        <f t="shared" si="149"/>
        <v>-187.40096099999937</v>
      </c>
      <c r="I242" s="14">
        <f t="shared" si="149"/>
        <v>-310.64951741286859</v>
      </c>
      <c r="J242" s="14">
        <f t="shared" si="149"/>
        <v>-507.57158876015455</v>
      </c>
      <c r="K242" s="14">
        <f t="shared" si="149"/>
        <v>-875.53811806671729</v>
      </c>
      <c r="L242" s="14">
        <f t="shared" si="149"/>
        <v>-1323.3355662320992</v>
      </c>
      <c r="M242" s="14">
        <f t="shared" si="149"/>
        <v>-1920.7448505264729</v>
      </c>
      <c r="N242" s="188">
        <f t="shared" si="149"/>
        <v>-2655.0028741500028</v>
      </c>
      <c r="O242" s="14">
        <f t="shared" si="149"/>
        <v>-2778.9343101630366</v>
      </c>
      <c r="P242" s="14">
        <f t="shared" si="149"/>
        <v>-2925.1360290735338</v>
      </c>
      <c r="Q242" s="14">
        <f t="shared" si="149"/>
        <v>-3086.159759652317</v>
      </c>
      <c r="R242" s="14">
        <f t="shared" si="149"/>
        <v>-3298.2770728248888</v>
      </c>
      <c r="S242" s="14">
        <f t="shared" si="149"/>
        <v>-3297.4881840081725</v>
      </c>
      <c r="T242" s="14">
        <f t="shared" si="149"/>
        <v>-3506.2957140294275</v>
      </c>
      <c r="U242" s="14">
        <f t="shared" si="149"/>
        <v>-3728.7306145547082</v>
      </c>
      <c r="V242" s="14">
        <f t="shared" si="149"/>
        <v>-3881.1909658756904</v>
      </c>
      <c r="W242" s="14">
        <f t="shared" si="149"/>
        <v>-3940.3567830171487</v>
      </c>
      <c r="X242" s="188">
        <f t="shared" si="149"/>
        <v>-4076.9589266999938</v>
      </c>
      <c r="Y242" s="159">
        <f t="shared" si="149"/>
        <v>-4379.4236500963871</v>
      </c>
      <c r="Z242" s="159">
        <f t="shared" si="149"/>
        <v>-4768.3892129869673</v>
      </c>
      <c r="AA242" s="159">
        <f t="shared" si="149"/>
        <v>-5083.3805561547742</v>
      </c>
      <c r="AB242" s="159">
        <f t="shared" si="149"/>
        <v>-5397.1311578039258</v>
      </c>
      <c r="AC242" s="159">
        <f t="shared" si="149"/>
        <v>-5718.1044707007386</v>
      </c>
      <c r="AD242" s="159">
        <f t="shared" si="149"/>
        <v>-5865.513174164169</v>
      </c>
      <c r="AE242" s="159">
        <f t="shared" si="149"/>
        <v>-5877.006791054846</v>
      </c>
      <c r="AF242" s="159">
        <f t="shared" si="149"/>
        <v>-5893.7658055937445</v>
      </c>
      <c r="AG242" s="159">
        <f t="shared" si="149"/>
        <v>-5883.6187489618169</v>
      </c>
      <c r="AH242" s="188">
        <f t="shared" si="149"/>
        <v>-5883.0846673499982</v>
      </c>
    </row>
    <row r="243" spans="1:34" s="1" customFormat="1">
      <c r="A243" s="1" t="s">
        <v>411</v>
      </c>
      <c r="B243" s="13"/>
      <c r="C243" s="311">
        <f>C222-C203</f>
        <v>2.2571972999940044</v>
      </c>
      <c r="D243" s="311">
        <f t="shared" ref="D243:AH243" si="150">D222-D203+D249+D252</f>
        <v>605.87895555907744</v>
      </c>
      <c r="E243" s="311">
        <f t="shared" si="150"/>
        <v>479.03738778234401</v>
      </c>
      <c r="F243" s="311">
        <f t="shared" si="150"/>
        <v>1020.6661366347325</v>
      </c>
      <c r="G243" s="311">
        <f t="shared" si="150"/>
        <v>826.56115981537732</v>
      </c>
      <c r="H243" s="376">
        <f t="shared" si="150"/>
        <v>-395.62425369999255</v>
      </c>
      <c r="I243" s="15">
        <f t="shared" si="150"/>
        <v>-274.83159407909261</v>
      </c>
      <c r="J243" s="15">
        <f t="shared" si="150"/>
        <v>17.347291876954841</v>
      </c>
      <c r="K243" s="15">
        <f t="shared" si="150"/>
        <v>1113.6841448961786</v>
      </c>
      <c r="L243" s="15">
        <f t="shared" si="150"/>
        <v>2584.702396331355</v>
      </c>
      <c r="M243" s="15">
        <f t="shared" si="150"/>
        <v>4644.3379446288382</v>
      </c>
      <c r="N243" s="191">
        <f t="shared" si="150"/>
        <v>7393.4727021488579</v>
      </c>
      <c r="O243" s="15">
        <f t="shared" si="150"/>
        <v>7726.9196495362994</v>
      </c>
      <c r="P243" s="15">
        <f t="shared" si="150"/>
        <v>8111.1149657346396</v>
      </c>
      <c r="Q243" s="15">
        <f t="shared" si="150"/>
        <v>8531.2801218902605</v>
      </c>
      <c r="R243" s="15">
        <f t="shared" si="150"/>
        <v>9067.237578218097</v>
      </c>
      <c r="S243" s="15">
        <f t="shared" si="150"/>
        <v>9200.1382466649666</v>
      </c>
      <c r="T243" s="15">
        <f t="shared" si="150"/>
        <v>9741.5819246465981</v>
      </c>
      <c r="U243" s="15">
        <f t="shared" si="150"/>
        <v>10318.138787952041</v>
      </c>
      <c r="V243" s="15">
        <f t="shared" si="150"/>
        <v>10839.911629003953</v>
      </c>
      <c r="W243" s="15">
        <f t="shared" si="150"/>
        <v>11194.674198878034</v>
      </c>
      <c r="X243" s="191">
        <f t="shared" si="150"/>
        <v>11575.155958259449</v>
      </c>
      <c r="Y243" s="131">
        <f t="shared" si="150"/>
        <v>11985.703078318096</v>
      </c>
      <c r="Z243" s="131">
        <f t="shared" si="150"/>
        <v>12519.960711308631</v>
      </c>
      <c r="AA243" s="131">
        <f t="shared" si="150"/>
        <v>12953.069527978223</v>
      </c>
      <c r="AB243" s="131">
        <f t="shared" si="150"/>
        <v>13301.858649518937</v>
      </c>
      <c r="AC243" s="131">
        <f t="shared" si="150"/>
        <v>13674.013370011191</v>
      </c>
      <c r="AD243" s="131">
        <f t="shared" si="150"/>
        <v>14062.644936036173</v>
      </c>
      <c r="AE243" s="131">
        <f t="shared" si="150"/>
        <v>14476.096978314366</v>
      </c>
      <c r="AF243" s="131">
        <f t="shared" si="150"/>
        <v>14893.282347412613</v>
      </c>
      <c r="AG243" s="131">
        <f t="shared" si="150"/>
        <v>15301.009412140884</v>
      </c>
      <c r="AH243" s="191">
        <f t="shared" si="150"/>
        <v>15717.476931862242</v>
      </c>
    </row>
    <row r="244" spans="1:34">
      <c r="A244" t="s">
        <v>451</v>
      </c>
      <c r="C244" s="301"/>
      <c r="D244" s="301">
        <f>D231+D234</f>
        <v>536.88312494365141</v>
      </c>
      <c r="E244" s="301">
        <f t="shared" ref="E244:N244" si="151">E231+E234</f>
        <v>1125.5706559259106</v>
      </c>
      <c r="F244" s="301">
        <f t="shared" si="151"/>
        <v>1929.1621859917441</v>
      </c>
      <c r="G244" s="301">
        <f t="shared" si="151"/>
        <v>2463.9716446486809</v>
      </c>
      <c r="H244" s="373">
        <f t="shared" si="151"/>
        <v>-2.7000000955013093E-6</v>
      </c>
      <c r="I244" s="14">
        <f t="shared" si="151"/>
        <v>508.18866943082139</v>
      </c>
      <c r="J244" s="14">
        <f t="shared" si="151"/>
        <v>1244.989205825832</v>
      </c>
      <c r="K244" s="14">
        <f t="shared" si="151"/>
        <v>3052.2675724759811</v>
      </c>
      <c r="L244" s="14">
        <f t="shared" si="151"/>
        <v>5415.4254281581525</v>
      </c>
      <c r="M244" s="14">
        <f t="shared" si="151"/>
        <v>8683.022761114782</v>
      </c>
      <c r="N244" s="188">
        <f t="shared" si="151"/>
        <v>12998.478769798865</v>
      </c>
      <c r="O244" s="14">
        <f>O231+O234</f>
        <v>13573.170787942279</v>
      </c>
      <c r="P244" s="14">
        <f t="shared" ref="P244:AH244" si="152">P231+P234</f>
        <v>14222.502944677151</v>
      </c>
      <c r="Q244" s="14">
        <f t="shared" si="152"/>
        <v>14925.07379937129</v>
      </c>
      <c r="R244" s="14">
        <f t="shared" si="152"/>
        <v>15808.622930135349</v>
      </c>
      <c r="S244" s="14">
        <f t="shared" si="152"/>
        <v>15848.697651300117</v>
      </c>
      <c r="T244" s="14">
        <f t="shared" si="152"/>
        <v>16737.762310041588</v>
      </c>
      <c r="U244" s="14">
        <f t="shared" si="152"/>
        <v>17688.262641903792</v>
      </c>
      <c r="V244" s="14">
        <f t="shared" si="152"/>
        <v>18659.043915409336</v>
      </c>
      <c r="W244" s="14">
        <f t="shared" si="152"/>
        <v>19445.676136059763</v>
      </c>
      <c r="X244" s="188">
        <f t="shared" si="152"/>
        <v>20181.99370066333</v>
      </c>
      <c r="Y244" s="159">
        <f t="shared" si="152"/>
        <v>20804.206710223207</v>
      </c>
      <c r="Z244" s="159">
        <f t="shared" si="152"/>
        <v>21540.624079647881</v>
      </c>
      <c r="AA244" s="159">
        <f t="shared" si="152"/>
        <v>22226.177507079985</v>
      </c>
      <c r="AB244" s="159">
        <f t="shared" si="152"/>
        <v>22835.390517898904</v>
      </c>
      <c r="AC244" s="159">
        <f t="shared" si="152"/>
        <v>23481.776972259024</v>
      </c>
      <c r="AD244" s="159">
        <f t="shared" si="152"/>
        <v>24291.051328464164</v>
      </c>
      <c r="AE244" s="159">
        <f t="shared" si="152"/>
        <v>25155.759440265138</v>
      </c>
      <c r="AF244" s="159">
        <f t="shared" si="152"/>
        <v>26133.044020170455</v>
      </c>
      <c r="AG244" s="159">
        <f t="shared" si="152"/>
        <v>27128.750450683045</v>
      </c>
      <c r="AH244" s="188">
        <f t="shared" si="152"/>
        <v>28136.411174282184</v>
      </c>
    </row>
    <row r="245" spans="1:34">
      <c r="A245" t="s">
        <v>452</v>
      </c>
      <c r="D245" s="301">
        <f>D231+D234+D237</f>
        <v>2248.4077942080658</v>
      </c>
      <c r="E245" s="301">
        <f t="shared" ref="E245:N245" si="153">E231+E234+E237</f>
        <v>2476.051002354805</v>
      </c>
      <c r="F245" s="301">
        <f t="shared" si="153"/>
        <v>4336.4536882681059</v>
      </c>
      <c r="G245" s="301">
        <f t="shared" si="153"/>
        <v>2867.493889186243</v>
      </c>
      <c r="H245" s="373">
        <f t="shared" si="153"/>
        <v>-2.7000000955013093E-6</v>
      </c>
      <c r="I245" s="14">
        <f t="shared" si="153"/>
        <v>380.98405379251835</v>
      </c>
      <c r="J245" s="14">
        <f t="shared" si="153"/>
        <v>1088.887312592833</v>
      </c>
      <c r="K245" s="14">
        <f t="shared" si="153"/>
        <v>2962.042394148124</v>
      </c>
      <c r="L245" s="14">
        <f t="shared" si="153"/>
        <v>5378.4108139324599</v>
      </c>
      <c r="M245" s="14">
        <f t="shared" si="153"/>
        <v>8699.2437401847346</v>
      </c>
      <c r="N245" s="188">
        <f t="shared" si="153"/>
        <v>12998.478769798865</v>
      </c>
      <c r="O245" s="14">
        <f>O231+O234+O237</f>
        <v>13593.558748769374</v>
      </c>
      <c r="P245" s="14">
        <f t="shared" ref="P245:AH245" si="154">P231+P234+P237</f>
        <v>14286.40213822322</v>
      </c>
      <c r="Q245" s="14">
        <f t="shared" si="154"/>
        <v>15046.50628115626</v>
      </c>
      <c r="R245" s="14">
        <f t="shared" si="154"/>
        <v>16030.266954181741</v>
      </c>
      <c r="S245" s="14">
        <f t="shared" si="154"/>
        <v>16161.502190682226</v>
      </c>
      <c r="T245" s="14">
        <f t="shared" si="154"/>
        <v>17143.761765375384</v>
      </c>
      <c r="U245" s="14">
        <f t="shared" si="154"/>
        <v>18189.903418678652</v>
      </c>
      <c r="V245" s="14">
        <f t="shared" si="154"/>
        <v>19033.537001408189</v>
      </c>
      <c r="W245" s="14">
        <f t="shared" si="154"/>
        <v>19513.205185247585</v>
      </c>
      <c r="X245" s="188">
        <f t="shared" si="154"/>
        <v>20182.069247959436</v>
      </c>
      <c r="Y245" s="159">
        <f t="shared" si="154"/>
        <v>21231.153006299359</v>
      </c>
      <c r="Z245" s="159">
        <f t="shared" si="154"/>
        <v>22586.560160947785</v>
      </c>
      <c r="AA245" s="159">
        <f t="shared" si="154"/>
        <v>23684.650702082756</v>
      </c>
      <c r="AB245" s="159">
        <f t="shared" si="154"/>
        <v>24695.802204882784</v>
      </c>
      <c r="AC245" s="159">
        <f t="shared" si="154"/>
        <v>25745.567252601628</v>
      </c>
      <c r="AD245" s="159">
        <f t="shared" si="154"/>
        <v>26445.394970382749</v>
      </c>
      <c r="AE245" s="159">
        <f t="shared" si="154"/>
        <v>26883.111314985697</v>
      </c>
      <c r="AF245" s="159">
        <f t="shared" si="154"/>
        <v>27335.676825888291</v>
      </c>
      <c r="AG245" s="159">
        <f t="shared" si="154"/>
        <v>27721.982326615827</v>
      </c>
      <c r="AH245" s="188">
        <f t="shared" si="154"/>
        <v>28137.322340712242</v>
      </c>
    </row>
    <row r="246" spans="1:34" s="1" customFormat="1">
      <c r="A246" s="1" t="s">
        <v>455</v>
      </c>
      <c r="B246" s="13"/>
      <c r="C246" s="298"/>
      <c r="D246" s="311">
        <f>D243</f>
        <v>605.87895555907744</v>
      </c>
      <c r="E246" s="311">
        <f>D246+E243</f>
        <v>1084.9163433414215</v>
      </c>
      <c r="F246" s="311">
        <f>E246+F243</f>
        <v>2105.582479976154</v>
      </c>
      <c r="G246" s="311">
        <f>F246+G243</f>
        <v>2932.1436397915313</v>
      </c>
      <c r="H246" s="376"/>
      <c r="I246" s="15">
        <f t="shared" ref="I246:X246" si="155">H246+I243</f>
        <v>-274.83159407909261</v>
      </c>
      <c r="J246" s="15">
        <f t="shared" si="155"/>
        <v>-257.48430220213777</v>
      </c>
      <c r="K246" s="15">
        <f t="shared" si="155"/>
        <v>856.19984269404085</v>
      </c>
      <c r="L246" s="15">
        <f t="shared" si="155"/>
        <v>3440.9022390253958</v>
      </c>
      <c r="M246" s="15">
        <f t="shared" si="155"/>
        <v>8085.240183654234</v>
      </c>
      <c r="N246" s="191">
        <f t="shared" si="155"/>
        <v>15478.712885803092</v>
      </c>
      <c r="O246" s="15">
        <f t="shared" si="155"/>
        <v>23205.632535339391</v>
      </c>
      <c r="P246" s="15">
        <f t="shared" si="155"/>
        <v>31316.747501074031</v>
      </c>
      <c r="Q246" s="15">
        <f t="shared" si="155"/>
        <v>39848.027622964291</v>
      </c>
      <c r="R246" s="15">
        <f t="shared" si="155"/>
        <v>48915.265201182388</v>
      </c>
      <c r="S246" s="15">
        <f t="shared" si="155"/>
        <v>58115.403447847355</v>
      </c>
      <c r="T246" s="15">
        <f t="shared" si="155"/>
        <v>67856.985372493946</v>
      </c>
      <c r="U246" s="15">
        <f t="shared" si="155"/>
        <v>78175.124160445994</v>
      </c>
      <c r="V246" s="15">
        <f t="shared" si="155"/>
        <v>89015.035789449947</v>
      </c>
      <c r="W246" s="15">
        <f t="shared" si="155"/>
        <v>100209.70998832799</v>
      </c>
      <c r="X246" s="191">
        <f t="shared" si="155"/>
        <v>111784.86594658744</v>
      </c>
      <c r="Y246" s="131">
        <f t="shared" ref="Y246:AH246" si="156">X246+Y243</f>
        <v>123770.56902490553</v>
      </c>
      <c r="Z246" s="131">
        <f t="shared" si="156"/>
        <v>136290.52973621417</v>
      </c>
      <c r="AA246" s="131">
        <f t="shared" si="156"/>
        <v>149243.59926419239</v>
      </c>
      <c r="AB246" s="131">
        <f t="shared" si="156"/>
        <v>162545.45791371132</v>
      </c>
      <c r="AC246" s="131">
        <f t="shared" si="156"/>
        <v>176219.47128372249</v>
      </c>
      <c r="AD246" s="131">
        <f t="shared" si="156"/>
        <v>190282.11621975867</v>
      </c>
      <c r="AE246" s="131">
        <f t="shared" si="156"/>
        <v>204758.21319807303</v>
      </c>
      <c r="AF246" s="131">
        <f t="shared" si="156"/>
        <v>219651.49554548564</v>
      </c>
      <c r="AG246" s="131">
        <f t="shared" si="156"/>
        <v>234952.50495762652</v>
      </c>
      <c r="AH246" s="191">
        <f t="shared" si="156"/>
        <v>250669.98188948876</v>
      </c>
    </row>
    <row r="247" spans="1:34">
      <c r="A247" t="s">
        <v>464</v>
      </c>
      <c r="D247" s="313" t="b">
        <f t="shared" ref="D247:AH247" si="157">IF(D185-D246&lt;1,TRUE,FALSE)</f>
        <v>1</v>
      </c>
      <c r="E247" s="313" t="b">
        <f t="shared" si="157"/>
        <v>1</v>
      </c>
      <c r="F247" s="313" t="b">
        <f t="shared" si="157"/>
        <v>1</v>
      </c>
      <c r="G247" s="313" t="b">
        <f t="shared" si="157"/>
        <v>1</v>
      </c>
      <c r="H247" s="379"/>
      <c r="I247" s="134" t="b">
        <f t="shared" si="157"/>
        <v>1</v>
      </c>
      <c r="J247" s="134" t="b">
        <f t="shared" si="157"/>
        <v>1</v>
      </c>
      <c r="K247" s="134" t="b">
        <f t="shared" si="157"/>
        <v>1</v>
      </c>
      <c r="L247" s="134" t="b">
        <f t="shared" si="157"/>
        <v>1</v>
      </c>
      <c r="M247" s="134" t="b">
        <f t="shared" si="157"/>
        <v>1</v>
      </c>
      <c r="N247" s="195" t="b">
        <f t="shared" si="157"/>
        <v>1</v>
      </c>
      <c r="O247" s="134" t="b">
        <f t="shared" si="157"/>
        <v>1</v>
      </c>
      <c r="P247" s="134" t="b">
        <f t="shared" si="157"/>
        <v>1</v>
      </c>
      <c r="Q247" s="134" t="b">
        <f t="shared" si="157"/>
        <v>1</v>
      </c>
      <c r="R247" s="134" t="b">
        <f t="shared" si="157"/>
        <v>1</v>
      </c>
      <c r="S247" s="134" t="b">
        <f t="shared" si="157"/>
        <v>1</v>
      </c>
      <c r="T247" s="134" t="b">
        <f t="shared" si="157"/>
        <v>1</v>
      </c>
      <c r="U247" s="134" t="b">
        <f t="shared" si="157"/>
        <v>1</v>
      </c>
      <c r="V247" s="134" t="b">
        <f t="shared" si="157"/>
        <v>1</v>
      </c>
      <c r="W247" s="134" t="b">
        <f t="shared" si="157"/>
        <v>1</v>
      </c>
      <c r="X247" s="195" t="b">
        <f t="shared" si="157"/>
        <v>1</v>
      </c>
      <c r="Y247" s="256" t="b">
        <f t="shared" si="157"/>
        <v>1</v>
      </c>
      <c r="Z247" s="256" t="b">
        <f t="shared" si="157"/>
        <v>1</v>
      </c>
      <c r="AA247" s="256" t="b">
        <f t="shared" si="157"/>
        <v>1</v>
      </c>
      <c r="AB247" s="256" t="b">
        <f t="shared" si="157"/>
        <v>1</v>
      </c>
      <c r="AC247" s="256" t="b">
        <f t="shared" si="157"/>
        <v>1</v>
      </c>
      <c r="AD247" s="256" t="b">
        <f t="shared" si="157"/>
        <v>1</v>
      </c>
      <c r="AE247" s="256" t="b">
        <f t="shared" si="157"/>
        <v>1</v>
      </c>
      <c r="AF247" s="256" t="b">
        <f t="shared" si="157"/>
        <v>1</v>
      </c>
      <c r="AG247" s="256" t="b">
        <f t="shared" si="157"/>
        <v>1</v>
      </c>
      <c r="AH247" s="195" t="b">
        <f t="shared" si="157"/>
        <v>1</v>
      </c>
    </row>
    <row r="248" spans="1:34">
      <c r="A248" t="s">
        <v>445</v>
      </c>
    </row>
    <row r="249" spans="1:34" s="1" customFormat="1">
      <c r="A249" s="1" t="s">
        <v>446</v>
      </c>
      <c r="B249" s="13"/>
      <c r="C249" s="298"/>
      <c r="D249" s="311">
        <f>D$29*(EIA_electricity_aeo2014!F$60) * Inputs!$M$60</f>
        <v>0</v>
      </c>
      <c r="E249" s="311">
        <f>E$29*(EIA_electricity_aeo2014!G$60) * Inputs!$M$60</f>
        <v>0</v>
      </c>
      <c r="F249" s="311">
        <f>F$29*(EIA_electricity_aeo2014!H$60) * Inputs!$M$60</f>
        <v>0</v>
      </c>
      <c r="G249" s="311">
        <f>G$29*(EIA_electricity_aeo2014!I$60) * Inputs!$M$60</f>
        <v>0</v>
      </c>
      <c r="H249" s="376">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1">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1">
        <f>X$29*(EIA_electricity_aeo2014!Z$60) * Inputs!$M$60</f>
        <v>0</v>
      </c>
      <c r="Y249" s="131">
        <f>Y$29*(EIA_electricity_aeo2014!AA$60) * Inputs!$M$60</f>
        <v>0</v>
      </c>
      <c r="Z249" s="131">
        <f>Z$29*(EIA_electricity_aeo2014!AB$60) * Inputs!$M$60</f>
        <v>0</v>
      </c>
      <c r="AA249" s="131">
        <f>AA$29*(EIA_electricity_aeo2014!AC$60) * Inputs!$M$60</f>
        <v>0</v>
      </c>
      <c r="AB249" s="131">
        <f>AB$29*(EIA_electricity_aeo2014!AD$60) * Inputs!$M$60</f>
        <v>0</v>
      </c>
      <c r="AC249" s="131">
        <f>AC$29*(EIA_electricity_aeo2014!AE$60) * Inputs!$M$60</f>
        <v>0</v>
      </c>
      <c r="AD249" s="131">
        <f>AD$29*(EIA_electricity_aeo2014!AF$60) * Inputs!$M$60</f>
        <v>0</v>
      </c>
      <c r="AE249" s="131">
        <f>AE$29*(EIA_electricity_aeo2014!AG$60) * Inputs!$M$60</f>
        <v>0</v>
      </c>
      <c r="AF249" s="131">
        <f>AF$29*(EIA_electricity_aeo2014!AH$60) * Inputs!$M$60</f>
        <v>0</v>
      </c>
      <c r="AG249" s="131">
        <f>AG$29*(EIA_electricity_aeo2014!AI$60) * Inputs!$M$60</f>
        <v>0</v>
      </c>
      <c r="AH249" s="191">
        <f>AH$29*(EIA_electricity_aeo2014!AJ$60) * Inputs!$M$60</f>
        <v>0</v>
      </c>
    </row>
    <row r="250" spans="1:34">
      <c r="A250" t="s">
        <v>448</v>
      </c>
      <c r="D250" s="301">
        <f>D$29*(EIA_electricity_aeo2014!F$60) * Inputs!$C$60</f>
        <v>0</v>
      </c>
      <c r="E250" s="301">
        <f>E$29*(EIA_electricity_aeo2014!G$60) * Inputs!$C$60</f>
        <v>0</v>
      </c>
      <c r="F250" s="301">
        <f>F$29*(EIA_electricity_aeo2014!H$60) * Inputs!$C$60</f>
        <v>0</v>
      </c>
      <c r="G250" s="301">
        <f>G$29*(EIA_electricity_aeo2014!I$60) * Inputs!$C$60</f>
        <v>0</v>
      </c>
      <c r="H250" s="373">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8">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1">
        <f>X$29*(EIA_electricity_aeo2014!Z$60) * Inputs!$M$60</f>
        <v>0</v>
      </c>
      <c r="Y250" s="131">
        <f>Y$29*(EIA_electricity_aeo2014!AA$60) * Inputs!$M$60</f>
        <v>0</v>
      </c>
      <c r="Z250" s="131">
        <f>Z$29*(EIA_electricity_aeo2014!AB$60) * Inputs!$M$60</f>
        <v>0</v>
      </c>
      <c r="AA250" s="131">
        <f>AA$29*(EIA_electricity_aeo2014!AC$60) * Inputs!$M$60</f>
        <v>0</v>
      </c>
      <c r="AB250" s="131">
        <f>AB$29*(EIA_electricity_aeo2014!AD$60) * Inputs!$M$60</f>
        <v>0</v>
      </c>
      <c r="AC250" s="131">
        <f>AC$29*(EIA_electricity_aeo2014!AE$60) * Inputs!$M$60</f>
        <v>0</v>
      </c>
      <c r="AD250" s="131">
        <f>AD$29*(EIA_electricity_aeo2014!AF$60) * Inputs!$M$60</f>
        <v>0</v>
      </c>
      <c r="AE250" s="131">
        <f>AE$29*(EIA_electricity_aeo2014!AG$60) * Inputs!$M$60</f>
        <v>0</v>
      </c>
      <c r="AF250" s="131">
        <f>AF$29*(EIA_electricity_aeo2014!AH$60) * Inputs!$M$60</f>
        <v>0</v>
      </c>
      <c r="AG250" s="131">
        <f>AG$29*(EIA_electricity_aeo2014!AI$60) * Inputs!$M$60</f>
        <v>0</v>
      </c>
      <c r="AH250" s="191">
        <f>AH$29*(EIA_electricity_aeo2014!AJ$60) * Inputs!$M$60</f>
        <v>0</v>
      </c>
    </row>
    <row r="251" spans="1:34">
      <c r="A251" t="s">
        <v>449</v>
      </c>
      <c r="D251" s="301">
        <f>D250*Inputs!$H$60</f>
        <v>0</v>
      </c>
      <c r="E251" s="301">
        <f>E250*Inputs!$H$60</f>
        <v>0</v>
      </c>
      <c r="F251" s="301">
        <f>F250*Inputs!$H$60</f>
        <v>0</v>
      </c>
      <c r="G251" s="301">
        <f>G250*Inputs!$H$60</f>
        <v>0</v>
      </c>
      <c r="H251" s="373">
        <f>H250*Inputs!$H$60</f>
        <v>0</v>
      </c>
      <c r="I251" s="14">
        <f>I250*Inputs!$H$60</f>
        <v>0</v>
      </c>
      <c r="J251" s="14">
        <f>J250*Inputs!$H$60</f>
        <v>0</v>
      </c>
      <c r="K251" s="14">
        <f>K250*Inputs!$H$60</f>
        <v>0</v>
      </c>
      <c r="L251" s="14">
        <f>L250*Inputs!$H$60</f>
        <v>0</v>
      </c>
      <c r="M251" s="14">
        <f>M250*Inputs!$H$60</f>
        <v>0</v>
      </c>
      <c r="N251" s="188">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1">
        <f>X$29*(EIA_electricity_aeo2014!Z$60) * Inputs!$M$60</f>
        <v>0</v>
      </c>
      <c r="Y251" s="131">
        <f>Y$29*(EIA_electricity_aeo2014!AA$60) * Inputs!$M$60</f>
        <v>0</v>
      </c>
      <c r="Z251" s="131">
        <f>Z$29*(EIA_electricity_aeo2014!AB$60) * Inputs!$M$60</f>
        <v>0</v>
      </c>
      <c r="AA251" s="131">
        <f>AA$29*(EIA_electricity_aeo2014!AC$60) * Inputs!$M$60</f>
        <v>0</v>
      </c>
      <c r="AB251" s="131">
        <f>AB$29*(EIA_electricity_aeo2014!AD$60) * Inputs!$M$60</f>
        <v>0</v>
      </c>
      <c r="AC251" s="131">
        <f>AC$29*(EIA_electricity_aeo2014!AE$60) * Inputs!$M$60</f>
        <v>0</v>
      </c>
      <c r="AD251" s="131">
        <f>AD$29*(EIA_electricity_aeo2014!AF$60) * Inputs!$M$60</f>
        <v>0</v>
      </c>
      <c r="AE251" s="131">
        <f>AE$29*(EIA_electricity_aeo2014!AG$60) * Inputs!$M$60</f>
        <v>0</v>
      </c>
      <c r="AF251" s="131">
        <f>AF$29*(EIA_electricity_aeo2014!AH$60) * Inputs!$M$60</f>
        <v>0</v>
      </c>
      <c r="AG251" s="131">
        <f>AG$29*(EIA_electricity_aeo2014!AI$60) * Inputs!$M$60</f>
        <v>0</v>
      </c>
      <c r="AH251" s="191">
        <f>AH$29*(EIA_electricity_aeo2014!AJ$60) * Inputs!$M$60</f>
        <v>0</v>
      </c>
    </row>
    <row r="252" spans="1:34" s="1" customFormat="1">
      <c r="A252" s="1" t="s">
        <v>447</v>
      </c>
      <c r="B252" s="13"/>
      <c r="C252" s="298"/>
      <c r="D252" s="311">
        <f>D$29*(1-EIA_electricity_aeo2014!F$60) * Inputs!$M$61</f>
        <v>0</v>
      </c>
      <c r="E252" s="311">
        <f>E$29*(1-EIA_electricity_aeo2014!G$60) * Inputs!$M$61</f>
        <v>0</v>
      </c>
      <c r="F252" s="311">
        <f>F$29*(1-EIA_electricity_aeo2014!H$60) * Inputs!$M$61</f>
        <v>0</v>
      </c>
      <c r="G252" s="311">
        <f>G$29*(1-EIA_electricity_aeo2014!I$60) * Inputs!$M$61</f>
        <v>0</v>
      </c>
      <c r="H252" s="376">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1">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1">
        <f>X$29*(EIA_electricity_aeo2014!Z$60) * Inputs!$M$60</f>
        <v>0</v>
      </c>
      <c r="Y252" s="131">
        <f>Y$29*(EIA_electricity_aeo2014!AA$60) * Inputs!$M$60</f>
        <v>0</v>
      </c>
      <c r="Z252" s="131">
        <f>Z$29*(EIA_electricity_aeo2014!AB$60) * Inputs!$M$60</f>
        <v>0</v>
      </c>
      <c r="AA252" s="131">
        <f>AA$29*(EIA_electricity_aeo2014!AC$60) * Inputs!$M$60</f>
        <v>0</v>
      </c>
      <c r="AB252" s="131">
        <f>AB$29*(EIA_electricity_aeo2014!AD$60) * Inputs!$M$60</f>
        <v>0</v>
      </c>
      <c r="AC252" s="131">
        <f>AC$29*(EIA_electricity_aeo2014!AE$60) * Inputs!$M$60</f>
        <v>0</v>
      </c>
      <c r="AD252" s="131">
        <f>AD$29*(EIA_electricity_aeo2014!AF$60) * Inputs!$M$60</f>
        <v>0</v>
      </c>
      <c r="AE252" s="131">
        <f>AE$29*(EIA_electricity_aeo2014!AG$60) * Inputs!$M$60</f>
        <v>0</v>
      </c>
      <c r="AF252" s="131">
        <f>AF$29*(EIA_electricity_aeo2014!AH$60) * Inputs!$M$60</f>
        <v>0</v>
      </c>
      <c r="AG252" s="131">
        <f>AG$29*(EIA_electricity_aeo2014!AI$60) * Inputs!$M$60</f>
        <v>0</v>
      </c>
      <c r="AH252" s="191">
        <f>AH$29*(EIA_electricity_aeo2014!AJ$60) * Inputs!$M$60</f>
        <v>0</v>
      </c>
    </row>
    <row r="253" spans="1:34">
      <c r="A253" t="s">
        <v>448</v>
      </c>
      <c r="D253" s="301">
        <f>D$29*(1-EIA_electricity_aeo2014!F$60) * Inputs!$C$61</f>
        <v>0</v>
      </c>
      <c r="E253" s="301">
        <f>E$29*(1-EIA_electricity_aeo2014!G$60) * Inputs!$C$61</f>
        <v>0</v>
      </c>
      <c r="F253" s="301">
        <f>F$29*(1-EIA_electricity_aeo2014!H$60) * Inputs!$C$61</f>
        <v>0</v>
      </c>
      <c r="G253" s="301">
        <f>G$29*(1-EIA_electricity_aeo2014!I$60) * Inputs!$C$61</f>
        <v>0</v>
      </c>
      <c r="H253" s="373">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8">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1">
        <f>X$29*(EIA_electricity_aeo2014!Z$60) * Inputs!$M$60</f>
        <v>0</v>
      </c>
      <c r="Y253" s="131">
        <f>Y$29*(EIA_electricity_aeo2014!AA$60) * Inputs!$M$60</f>
        <v>0</v>
      </c>
      <c r="Z253" s="131">
        <f>Z$29*(EIA_electricity_aeo2014!AB$60) * Inputs!$M$60</f>
        <v>0</v>
      </c>
      <c r="AA253" s="131">
        <f>AA$29*(EIA_electricity_aeo2014!AC$60) * Inputs!$M$60</f>
        <v>0</v>
      </c>
      <c r="AB253" s="131">
        <f>AB$29*(EIA_electricity_aeo2014!AD$60) * Inputs!$M$60</f>
        <v>0</v>
      </c>
      <c r="AC253" s="131">
        <f>AC$29*(EIA_electricity_aeo2014!AE$60) * Inputs!$M$60</f>
        <v>0</v>
      </c>
      <c r="AD253" s="131">
        <f>AD$29*(EIA_electricity_aeo2014!AF$60) * Inputs!$M$60</f>
        <v>0</v>
      </c>
      <c r="AE253" s="131">
        <f>AE$29*(EIA_electricity_aeo2014!AG$60) * Inputs!$M$60</f>
        <v>0</v>
      </c>
      <c r="AF253" s="131">
        <f>AF$29*(EIA_electricity_aeo2014!AH$60) * Inputs!$M$60</f>
        <v>0</v>
      </c>
      <c r="AG253" s="131">
        <f>AG$29*(EIA_electricity_aeo2014!AI$60) * Inputs!$M$60</f>
        <v>0</v>
      </c>
      <c r="AH253" s="191">
        <f>AH$29*(EIA_electricity_aeo2014!AJ$60) * Inputs!$M$60</f>
        <v>0</v>
      </c>
    </row>
    <row r="254" spans="1:34">
      <c r="A254" t="s">
        <v>449</v>
      </c>
      <c r="D254" s="301">
        <f>D253*Inputs!$H$61</f>
        <v>0</v>
      </c>
      <c r="E254" s="301">
        <f>E253*Inputs!$H$61</f>
        <v>0</v>
      </c>
      <c r="F254" s="301">
        <f>F253*Inputs!$H$61</f>
        <v>0</v>
      </c>
      <c r="G254" s="301">
        <f>G253*Inputs!$H$61</f>
        <v>0</v>
      </c>
      <c r="H254" s="373">
        <f>H253*Inputs!$H$61</f>
        <v>0</v>
      </c>
      <c r="I254" s="14">
        <f>I253*Inputs!$H$61</f>
        <v>0</v>
      </c>
      <c r="J254" s="14">
        <f>J253*Inputs!$H$61</f>
        <v>0</v>
      </c>
      <c r="K254" s="14">
        <f>K253*Inputs!$H$61</f>
        <v>0</v>
      </c>
      <c r="L254" s="14">
        <f>L253*Inputs!$H$61</f>
        <v>0</v>
      </c>
      <c r="M254" s="14">
        <f>M253*Inputs!$H$61</f>
        <v>0</v>
      </c>
      <c r="N254" s="188">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1">
        <f>X$29*(EIA_electricity_aeo2014!Z$60) * Inputs!$M$60</f>
        <v>0</v>
      </c>
      <c r="Y254" s="131">
        <f>Y$29*(EIA_electricity_aeo2014!AA$60) * Inputs!$M$60</f>
        <v>0</v>
      </c>
      <c r="Z254" s="131">
        <f>Z$29*(EIA_electricity_aeo2014!AB$60) * Inputs!$M$60</f>
        <v>0</v>
      </c>
      <c r="AA254" s="131">
        <f>AA$29*(EIA_electricity_aeo2014!AC$60) * Inputs!$M$60</f>
        <v>0</v>
      </c>
      <c r="AB254" s="131">
        <f>AB$29*(EIA_electricity_aeo2014!AD$60) * Inputs!$M$60</f>
        <v>0</v>
      </c>
      <c r="AC254" s="131">
        <f>AC$29*(EIA_electricity_aeo2014!AE$60) * Inputs!$M$60</f>
        <v>0</v>
      </c>
      <c r="AD254" s="131">
        <f>AD$29*(EIA_electricity_aeo2014!AF$60) * Inputs!$M$60</f>
        <v>0</v>
      </c>
      <c r="AE254" s="131">
        <f>AE$29*(EIA_electricity_aeo2014!AG$60) * Inputs!$M$60</f>
        <v>0</v>
      </c>
      <c r="AF254" s="131">
        <f>AF$29*(EIA_electricity_aeo2014!AH$60) * Inputs!$M$60</f>
        <v>0</v>
      </c>
      <c r="AG254" s="131">
        <f>AG$29*(EIA_electricity_aeo2014!AI$60) * Inputs!$M$60</f>
        <v>0</v>
      </c>
      <c r="AH254" s="191">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W3" activePane="bottomRight" state="frozen"/>
      <selection pane="topRight" activeCell="C1" sqref="C1"/>
      <selection pane="bottomLeft" activeCell="A3" sqref="A3"/>
      <selection pane="bottomRight" activeCell="AG13" sqref="AG13:AH13"/>
    </sheetView>
  </sheetViews>
  <sheetFormatPr baseColWidth="10" defaultColWidth="8.83203125" defaultRowHeight="14" x14ac:dyDescent="0"/>
  <cols>
    <col min="1" max="1" width="25.6640625" bestFit="1" customWidth="1"/>
    <col min="2" max="2" width="5.6640625" style="2" bestFit="1" customWidth="1"/>
    <col min="3" max="3" width="13.33203125" style="297" bestFit="1" customWidth="1"/>
    <col min="4" max="4" width="12.33203125" style="297" customWidth="1"/>
    <col min="5" max="5" width="14.1640625" style="297" customWidth="1"/>
    <col min="6" max="6" width="11.33203125" style="297" bestFit="1" customWidth="1"/>
    <col min="7" max="7" width="14.33203125" style="29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7" bestFit="1" customWidth="1"/>
    <col min="15" max="22" width="11.5" style="2" bestFit="1" customWidth="1"/>
    <col min="23" max="23" width="11.33203125" style="2" bestFit="1" customWidth="1"/>
    <col min="24" max="24" width="11.33203125" style="193"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297" t="s">
        <v>0</v>
      </c>
      <c r="D1" s="297" t="s">
        <v>0</v>
      </c>
      <c r="E1" s="364" t="s">
        <v>0</v>
      </c>
    </row>
    <row r="2" spans="1:34" s="1" customFormat="1">
      <c r="B2" s="2" t="s">
        <v>133</v>
      </c>
      <c r="C2" s="298">
        <v>2009</v>
      </c>
      <c r="D2" s="298">
        <v>2010</v>
      </c>
      <c r="E2" s="298">
        <v>2011</v>
      </c>
      <c r="F2" s="298">
        <v>2012</v>
      </c>
      <c r="G2" s="298">
        <v>2013</v>
      </c>
      <c r="H2" s="13">
        <v>2014</v>
      </c>
      <c r="I2" s="13">
        <v>2015</v>
      </c>
      <c r="J2" s="13">
        <v>2016</v>
      </c>
      <c r="K2" s="13">
        <v>2017</v>
      </c>
      <c r="L2" s="13">
        <v>2018</v>
      </c>
      <c r="M2" s="13">
        <v>2019</v>
      </c>
      <c r="N2" s="177">
        <v>2020</v>
      </c>
      <c r="O2" s="13">
        <v>2021</v>
      </c>
      <c r="P2" s="13">
        <v>2022</v>
      </c>
      <c r="Q2" s="13">
        <v>2023</v>
      </c>
      <c r="R2" s="13">
        <v>2024</v>
      </c>
      <c r="S2" s="13">
        <v>2025</v>
      </c>
      <c r="T2" s="13">
        <v>2026</v>
      </c>
      <c r="U2" s="13">
        <v>2027</v>
      </c>
      <c r="V2" s="13">
        <v>2028</v>
      </c>
      <c r="W2" s="13">
        <v>2029</v>
      </c>
      <c r="X2" s="177">
        <v>2030</v>
      </c>
      <c r="Y2" s="13">
        <v>2031</v>
      </c>
      <c r="Z2" s="13">
        <v>2032</v>
      </c>
      <c r="AA2" s="13">
        <v>2033</v>
      </c>
      <c r="AB2" s="13">
        <v>2034</v>
      </c>
      <c r="AC2" s="13">
        <v>2035</v>
      </c>
      <c r="AD2" s="13">
        <v>2036</v>
      </c>
      <c r="AE2" s="13">
        <v>2037</v>
      </c>
      <c r="AF2" s="13">
        <v>2038</v>
      </c>
      <c r="AG2" s="13">
        <v>2039</v>
      </c>
      <c r="AH2" s="13">
        <v>2040</v>
      </c>
    </row>
    <row r="3" spans="1:34" s="1" customFormat="1">
      <c r="A3" s="1" t="s">
        <v>64</v>
      </c>
      <c r="B3" s="13"/>
      <c r="C3" s="298"/>
      <c r="D3" s="298"/>
      <c r="E3" s="298"/>
      <c r="F3" s="298"/>
      <c r="G3" s="298"/>
      <c r="H3" s="13"/>
      <c r="I3" s="13"/>
      <c r="J3" s="13"/>
      <c r="K3" s="13"/>
      <c r="L3" s="13"/>
      <c r="M3" s="13"/>
      <c r="N3" s="177"/>
      <c r="O3" s="13"/>
      <c r="P3" s="13"/>
      <c r="Q3" s="13"/>
      <c r="R3" s="13"/>
      <c r="S3" s="13"/>
      <c r="T3" s="13"/>
      <c r="U3" s="13"/>
      <c r="V3" s="13"/>
      <c r="W3" s="13"/>
      <c r="X3" s="177"/>
      <c r="Y3" s="13"/>
      <c r="Z3" s="13"/>
      <c r="AA3" s="13"/>
      <c r="AB3" s="13"/>
      <c r="AC3" s="13"/>
      <c r="AD3" s="13"/>
      <c r="AE3" s="13"/>
      <c r="AF3" s="13"/>
      <c r="AG3" s="13"/>
      <c r="AH3" s="13"/>
    </row>
    <row r="4" spans="1:34" s="1" customFormat="1">
      <c r="A4" s="1" t="s">
        <v>117</v>
      </c>
      <c r="B4" s="13"/>
      <c r="C4" s="299">
        <f>EIA_electricity_aeo2014!E58 * 1000</f>
        <v>217946</v>
      </c>
      <c r="D4" s="299">
        <f>EIA_electricity_aeo2014!F58 * 1000</f>
        <v>229087</v>
      </c>
      <c r="E4" s="299">
        <f>EIA_electricity_aeo2014!G58 * 1000</f>
        <v>205013.799</v>
      </c>
      <c r="F4" s="299">
        <f>EIA_electricity_aeo2014!H58 * 1000</f>
        <v>205627.068</v>
      </c>
      <c r="G4" s="299">
        <f>EIA_electricity_aeo2014!I58 * 1000</f>
        <v>198380.29499999998</v>
      </c>
      <c r="H4" s="21">
        <f>EIA_electricity_aeo2014!J58 * 1000</f>
        <v>197603.035</v>
      </c>
      <c r="I4" s="21">
        <f>EIA_electricity_aeo2014!K58 * 1000</f>
        <v>200212.163</v>
      </c>
      <c r="J4" s="21">
        <f>EIA_electricity_aeo2014!L58 * 1000</f>
        <v>201592.85399999999</v>
      </c>
      <c r="K4" s="21">
        <f>EIA_electricity_aeo2014!M58 * 1000</f>
        <v>203952.83199999999</v>
      </c>
      <c r="L4" s="21">
        <f>EIA_electricity_aeo2014!N58 * 1000</f>
        <v>205923.98299999998</v>
      </c>
      <c r="M4" s="21">
        <f>EIA_electricity_aeo2014!O58 * 1000</f>
        <v>207902.18799999999</v>
      </c>
      <c r="N4" s="359">
        <f>EIA_electricity_aeo2014!P58 * 1000</f>
        <v>207731.31299999999</v>
      </c>
      <c r="O4" s="21">
        <f>EIA_electricity_aeo2014!Q58 * 1000</f>
        <v>209471.27500000002</v>
      </c>
      <c r="P4" s="21">
        <f>EIA_electricity_aeo2014!R58 * 1000</f>
        <v>211955.05599999998</v>
      </c>
      <c r="Q4" s="21">
        <f>EIA_electricity_aeo2014!S58 * 1000</f>
        <v>214907.67199999999</v>
      </c>
      <c r="R4" s="21">
        <f>EIA_electricity_aeo2014!T58 * 1000</f>
        <v>219245.20600000003</v>
      </c>
      <c r="S4" s="21">
        <f>EIA_electricity_aeo2014!U58 * 1000</f>
        <v>223341.33800000002</v>
      </c>
      <c r="T4" s="21">
        <f>EIA_electricity_aeo2014!V58 * 1000</f>
        <v>227547.39300000004</v>
      </c>
      <c r="U4" s="21">
        <f>EIA_electricity_aeo2014!W58 * 1000</f>
        <v>231878.45800000001</v>
      </c>
      <c r="V4" s="21">
        <f>EIA_electricity_aeo2014!X58 * 1000</f>
        <v>236241.78599999999</v>
      </c>
      <c r="W4" s="21">
        <f>EIA_electricity_aeo2014!Y58 * 1000</f>
        <v>238975.402</v>
      </c>
      <c r="X4" s="359">
        <f>EIA_electricity_aeo2014!Z58 * 1000</f>
        <v>241236.11700000003</v>
      </c>
      <c r="Y4" s="21">
        <f>EIA_electricity_aeo2014!AA58 * 1000</f>
        <v>243618.54800000001</v>
      </c>
      <c r="Z4" s="21">
        <f>EIA_electricity_aeo2014!AB58 * 1000</f>
        <v>246161.08200000002</v>
      </c>
      <c r="AA4" s="21">
        <f>EIA_electricity_aeo2014!AC58 * 1000</f>
        <v>248817.18200000003</v>
      </c>
      <c r="AB4" s="21">
        <f>EIA_electricity_aeo2014!AD58 * 1000</f>
        <v>251529.867</v>
      </c>
      <c r="AC4" s="21">
        <f>EIA_electricity_aeo2014!AE58 * 1000</f>
        <v>254304.67599999998</v>
      </c>
      <c r="AD4" s="21">
        <f>EIA_electricity_aeo2014!AF58 * 1000</f>
        <v>257232.97700000001</v>
      </c>
      <c r="AE4" s="21">
        <f>EIA_electricity_aeo2014!AG58 * 1000</f>
        <v>260722.65599999996</v>
      </c>
      <c r="AF4" s="21">
        <f>EIA_electricity_aeo2014!AH58 * 1000</f>
        <v>263919.73</v>
      </c>
      <c r="AG4" s="21">
        <f>EIA_electricity_aeo2014!AI58 * 1000</f>
        <v>267041.07399999996</v>
      </c>
      <c r="AH4" s="21">
        <f>EIA_electricity_aeo2014!AJ58 * 1000</f>
        <v>270029.19499999995</v>
      </c>
    </row>
    <row r="5" spans="1:34">
      <c r="A5" s="9" t="s">
        <v>63</v>
      </c>
      <c r="B5" s="34">
        <v>0</v>
      </c>
      <c r="C5" s="300">
        <v>0</v>
      </c>
      <c r="D5" s="300"/>
      <c r="E5" s="300"/>
      <c r="F5" s="300"/>
      <c r="G5" s="300"/>
      <c r="H5" s="3"/>
      <c r="I5" s="3"/>
      <c r="J5" s="3"/>
      <c r="K5" s="3"/>
      <c r="L5" s="3"/>
      <c r="M5" s="3"/>
      <c r="N5" s="359"/>
      <c r="O5" s="3"/>
      <c r="P5" s="3"/>
      <c r="Q5" s="3"/>
      <c r="R5" s="3"/>
      <c r="S5" s="3"/>
      <c r="T5" s="3"/>
      <c r="U5" s="3"/>
      <c r="V5" s="3"/>
      <c r="W5" s="3"/>
      <c r="X5" s="185"/>
    </row>
    <row r="6" spans="1:34">
      <c r="A6" s="9" t="s">
        <v>62</v>
      </c>
      <c r="B6" s="34">
        <v>0</v>
      </c>
      <c r="C6" s="300">
        <v>0</v>
      </c>
      <c r="D6" s="300"/>
      <c r="E6" s="365" t="s">
        <v>0</v>
      </c>
      <c r="F6" s="300"/>
      <c r="G6" s="300"/>
      <c r="H6" s="3"/>
      <c r="I6" s="3"/>
      <c r="J6" s="3"/>
      <c r="K6" s="3"/>
      <c r="L6" s="3"/>
      <c r="M6" s="3"/>
      <c r="N6" s="359"/>
      <c r="O6" s="3"/>
      <c r="P6" s="3"/>
      <c r="Q6" s="3"/>
      <c r="R6" s="3"/>
      <c r="S6" s="3"/>
      <c r="T6" s="3"/>
      <c r="U6" s="3"/>
      <c r="V6" s="3"/>
      <c r="W6" s="3"/>
      <c r="X6" s="185"/>
    </row>
    <row r="7" spans="1:34">
      <c r="A7" s="9" t="s">
        <v>51</v>
      </c>
      <c r="B7" s="34">
        <v>0</v>
      </c>
      <c r="C7" s="300">
        <f>EIA_RE_aeo2014!E73*1000-C15</f>
        <v>207.9999</v>
      </c>
      <c r="D7" s="300">
        <f>EIA_RE_aeo2014!F73*1000-D15</f>
        <v>176.9999</v>
      </c>
      <c r="E7" s="300">
        <f>EIA_RE_aeo2014!G73*1000-E15</f>
        <v>4.9999000000000002</v>
      </c>
      <c r="F7" s="300">
        <f>EIA_RE_aeo2014!H73*1000-F15</f>
        <v>5.9999000000000002</v>
      </c>
      <c r="G7" s="300">
        <f>EIA_RE_aeo2014!I73*1000-G15</f>
        <v>36.911899999999996</v>
      </c>
      <c r="H7" s="175">
        <f>EIA_RE_aeo2014!J73*1000-H15</f>
        <v>37.744899999999994</v>
      </c>
      <c r="I7" s="175">
        <f>EIA_RE_aeo2014!K73*1000-I15</f>
        <v>38.418900000000001</v>
      </c>
      <c r="J7" s="175">
        <f>EIA_RE_aeo2014!L73*1000-J15</f>
        <v>39.2849</v>
      </c>
      <c r="K7" s="175">
        <f>EIA_RE_aeo2014!M73*1000-K15</f>
        <v>39.799900000000001</v>
      </c>
      <c r="L7" s="175">
        <f>EIA_RE_aeo2014!N73*1000-L15</f>
        <v>39.799900000000001</v>
      </c>
      <c r="M7" s="175">
        <f>EIA_RE_aeo2014!O73*1000-M15</f>
        <v>39.799900000000001</v>
      </c>
      <c r="N7" s="185">
        <f>EIA_RE_aeo2014!P73*1000-N15</f>
        <v>39.799900000000001</v>
      </c>
      <c r="O7" s="175">
        <f>EIA_RE_aeo2014!Q73*1000-O15</f>
        <v>39.799900000000001</v>
      </c>
      <c r="P7" s="175">
        <f>EIA_RE_aeo2014!R73*1000-P15</f>
        <v>39.799900000000001</v>
      </c>
      <c r="Q7" s="175">
        <f>EIA_RE_aeo2014!S73*1000-Q15</f>
        <v>39.799900000000001</v>
      </c>
      <c r="R7" s="175">
        <f>EIA_RE_aeo2014!T73*1000-R15</f>
        <v>39.799900000000001</v>
      </c>
      <c r="S7" s="83">
        <f>EIA_RE_aeo2014!U73*1000-S15</f>
        <v>39.799900000000001</v>
      </c>
      <c r="T7" s="83">
        <f>EIA_RE_aeo2014!V73*1000-T15</f>
        <v>39.799900000000001</v>
      </c>
      <c r="U7" s="83">
        <f>EIA_RE_aeo2014!W73*1000-U15</f>
        <v>39.799900000000001</v>
      </c>
      <c r="V7" s="83">
        <f>EIA_RE_aeo2014!X73*1000-V15</f>
        <v>39.799900000000001</v>
      </c>
      <c r="W7" s="83">
        <f>EIA_RE_aeo2014!Y73*1000-W15</f>
        <v>39.799900000000001</v>
      </c>
      <c r="X7" s="185">
        <f>EIA_RE_aeo2014!Z73*1000-X15</f>
        <v>39.799900000000001</v>
      </c>
      <c r="Y7" s="175">
        <f>EIA_RE_aeo2014!AA73*1000-Y15</f>
        <v>39.799900000000001</v>
      </c>
      <c r="Z7" s="175">
        <f>EIA_RE_aeo2014!AB73*1000-Z15</f>
        <v>39.799900000000001</v>
      </c>
      <c r="AA7" s="175">
        <f>EIA_RE_aeo2014!AC73*1000-AA15</f>
        <v>39.799900000000001</v>
      </c>
      <c r="AB7" s="175">
        <f>EIA_RE_aeo2014!AD73*1000-AB15</f>
        <v>39.799900000000001</v>
      </c>
      <c r="AC7" s="175">
        <f>EIA_RE_aeo2014!AE73*1000-AC15</f>
        <v>39.799900000000001</v>
      </c>
      <c r="AD7" s="175">
        <f>EIA_RE_aeo2014!AF73*1000-AD15</f>
        <v>39.799900000000001</v>
      </c>
      <c r="AE7" s="175">
        <f>EIA_RE_aeo2014!AG73*1000-AE15</f>
        <v>39.799900000000001</v>
      </c>
      <c r="AF7" s="175">
        <f>EIA_RE_aeo2014!AH73*1000-AF15</f>
        <v>39.799900000000001</v>
      </c>
      <c r="AG7" s="175">
        <f>EIA_RE_aeo2014!AI73*1000-AG15</f>
        <v>39.799900000000001</v>
      </c>
      <c r="AH7" s="175">
        <f>EIA_RE_aeo2014!AJ73*1000-AH15</f>
        <v>39.799900000000001</v>
      </c>
    </row>
    <row r="8" spans="1:34">
      <c r="A8" s="9" t="s">
        <v>61</v>
      </c>
      <c r="B8" s="34">
        <v>0</v>
      </c>
      <c r="C8" s="300">
        <f>EIA_electricity_aeo2014!E52*1000</f>
        <v>29118</v>
      </c>
      <c r="D8" s="300">
        <f>EIA_electricity_aeo2014!F52*1000</f>
        <v>23936</v>
      </c>
      <c r="E8" s="300">
        <f>EIA_electricity_aeo2014!G52*1000</f>
        <v>22014.999</v>
      </c>
      <c r="F8" s="300">
        <f>EIA_electricity_aeo2014!H52*1000</f>
        <v>17870.001</v>
      </c>
      <c r="G8" s="300">
        <f>EIA_electricity_aeo2014!I52*1000</f>
        <v>24177.771000000001</v>
      </c>
      <c r="H8" s="3">
        <f>EIA_electricity_aeo2014!J52*1000</f>
        <v>24127.531000000003</v>
      </c>
      <c r="I8" s="3">
        <f>EIA_electricity_aeo2014!K52*1000</f>
        <v>24885.342000000001</v>
      </c>
      <c r="J8" s="3">
        <f>EIA_electricity_aeo2014!L52*1000</f>
        <v>25122.591</v>
      </c>
      <c r="K8" s="3">
        <f>EIA_electricity_aeo2014!M52*1000</f>
        <v>25122.591</v>
      </c>
      <c r="L8" s="3">
        <f>EIA_electricity_aeo2014!N52*1000</f>
        <v>25122.591</v>
      </c>
      <c r="M8" s="3">
        <f>EIA_electricity_aeo2014!O52*1000</f>
        <v>25122.589</v>
      </c>
      <c r="N8" s="359">
        <f>EIA_electricity_aeo2014!P52*1000</f>
        <v>25122.589</v>
      </c>
      <c r="O8" s="3">
        <f>EIA_electricity_aeo2014!Q52*1000</f>
        <v>25122.591</v>
      </c>
      <c r="P8" s="3">
        <f>EIA_electricity_aeo2014!R52*1000</f>
        <v>25122.591</v>
      </c>
      <c r="Q8" s="3">
        <f>EIA_electricity_aeo2014!S52*1000</f>
        <v>25122.591</v>
      </c>
      <c r="R8" s="3">
        <f>EIA_electricity_aeo2014!T52*1000</f>
        <v>25122.591</v>
      </c>
      <c r="S8" s="3">
        <f>EIA_electricity_aeo2014!U52*1000</f>
        <v>25122.591</v>
      </c>
      <c r="T8" s="3">
        <f>EIA_electricity_aeo2014!V52*1000</f>
        <v>25122.591</v>
      </c>
      <c r="U8" s="3">
        <f>EIA_electricity_aeo2014!W52*1000</f>
        <v>25122.591</v>
      </c>
      <c r="V8" s="3">
        <f>EIA_electricity_aeo2014!X52*1000</f>
        <v>25958.34</v>
      </c>
      <c r="W8" s="3">
        <f>EIA_electricity_aeo2014!Y52*1000</f>
        <v>27276.466</v>
      </c>
      <c r="X8" s="185">
        <f>EIA_electricity_aeo2014!Z52*1000</f>
        <v>27636.415000000001</v>
      </c>
      <c r="Y8" s="175">
        <f>EIA_electricity_aeo2014!AA52*1000</f>
        <v>28515.780999999999</v>
      </c>
      <c r="Z8" s="175">
        <f>EIA_electricity_aeo2014!AB52*1000</f>
        <v>28737.411</v>
      </c>
      <c r="AA8" s="175">
        <f>EIA_electricity_aeo2014!AC52*1000</f>
        <v>29797.446999999996</v>
      </c>
      <c r="AB8" s="175">
        <f>EIA_electricity_aeo2014!AD52*1000</f>
        <v>30954.080999999998</v>
      </c>
      <c r="AC8" s="175">
        <f>EIA_electricity_aeo2014!AE52*1000</f>
        <v>32164.482</v>
      </c>
      <c r="AD8" s="175">
        <f>EIA_electricity_aeo2014!AF52*1000</f>
        <v>35379.128000000004</v>
      </c>
      <c r="AE8" s="175">
        <f>EIA_electricity_aeo2014!AG52*1000</f>
        <v>39940.773000000001</v>
      </c>
      <c r="AF8" s="175">
        <f>EIA_electricity_aeo2014!AH52*1000</f>
        <v>44878.334000000003</v>
      </c>
      <c r="AG8" s="175">
        <f>EIA_electricity_aeo2014!AI52*1000</f>
        <v>50177.398999999998</v>
      </c>
      <c r="AH8" s="175">
        <f>EIA_electricity_aeo2014!AJ52*1000</f>
        <v>55441.527999999998</v>
      </c>
    </row>
    <row r="9" spans="1:34">
      <c r="A9" s="9"/>
      <c r="B9" s="34"/>
      <c r="C9" s="300"/>
      <c r="D9" s="300"/>
      <c r="E9" s="300"/>
      <c r="F9" s="300"/>
      <c r="G9" s="300"/>
      <c r="H9" s="118"/>
      <c r="I9" s="118"/>
      <c r="J9" s="118"/>
      <c r="K9" s="118"/>
      <c r="L9" s="118"/>
      <c r="M9" s="118"/>
      <c r="N9" s="359"/>
      <c r="O9" s="118"/>
      <c r="P9" s="118"/>
      <c r="Q9" s="118"/>
      <c r="R9" s="118"/>
      <c r="S9" s="118"/>
      <c r="T9" s="118"/>
      <c r="U9" s="118"/>
      <c r="V9" s="118"/>
      <c r="W9" s="118"/>
      <c r="X9" s="185"/>
    </row>
    <row r="10" spans="1:34" s="20" customFormat="1">
      <c r="A10" s="9" t="s">
        <v>131</v>
      </c>
      <c r="B10" s="35">
        <v>1</v>
      </c>
      <c r="C10" s="300">
        <f>EIA_RE_aeo2014!E76*1000</f>
        <v>2484</v>
      </c>
      <c r="D10" s="300">
        <f>EIA_RE_aeo2014!F76*1000</f>
        <v>2561</v>
      </c>
      <c r="E10" s="300">
        <f>EIA_RE_aeo2014!G76*1000</f>
        <v>1605.508</v>
      </c>
      <c r="F10" s="300">
        <f>EIA_RE_aeo2014!H76*1000</f>
        <v>1524.1039999999998</v>
      </c>
      <c r="G10" s="300">
        <f>EIA_RE_aeo2014!I76*1000</f>
        <v>2050.1509999999998</v>
      </c>
      <c r="H10" s="83">
        <f>EIA_RE_aeo2014!J76*1000</f>
        <v>2542.2310000000002</v>
      </c>
      <c r="I10" s="175">
        <f>EIA_RE_aeo2014!K76*1000</f>
        <v>2690.7070000000003</v>
      </c>
      <c r="J10" s="175">
        <f>EIA_RE_aeo2014!L76*1000</f>
        <v>3476.0419999999999</v>
      </c>
      <c r="K10" s="175">
        <f>EIA_RE_aeo2014!M76*1000</f>
        <v>3328.2159999999999</v>
      </c>
      <c r="L10" s="175">
        <f>EIA_RE_aeo2014!N76*1000</f>
        <v>3387.6080000000002</v>
      </c>
      <c r="M10" s="175">
        <f>EIA_RE_aeo2014!O76*1000</f>
        <v>3411.0520000000001</v>
      </c>
      <c r="N10" s="185">
        <f>EIA_RE_aeo2014!P76*1000</f>
        <v>3454.6960000000004</v>
      </c>
      <c r="O10" s="175">
        <f>EIA_RE_aeo2014!Q76*1000</f>
        <v>3494.3789999999999</v>
      </c>
      <c r="P10" s="175">
        <f>EIA_RE_aeo2014!R76*1000</f>
        <v>3551.739</v>
      </c>
      <c r="Q10" s="175">
        <f>EIA_RE_aeo2014!S76*1000</f>
        <v>3637.71</v>
      </c>
      <c r="R10" s="175">
        <f>EIA_RE_aeo2014!T76*1000</f>
        <v>3652.0350000000003</v>
      </c>
      <c r="S10" s="83">
        <f>EIA_RE_aeo2014!U76*1000</f>
        <v>5814.0919999999996</v>
      </c>
      <c r="T10" s="83">
        <f>EIA_RE_aeo2014!V76*1000</f>
        <v>5966.0680000000002</v>
      </c>
      <c r="U10" s="83">
        <f>EIA_RE_aeo2014!W76*1000</f>
        <v>6083.6610000000001</v>
      </c>
      <c r="V10" s="83">
        <f>EIA_RE_aeo2014!X76*1000</f>
        <v>6118.8539999999994</v>
      </c>
      <c r="W10" s="83">
        <f>EIA_RE_aeo2014!Y76*1000</f>
        <v>6151.2240000000002</v>
      </c>
      <c r="X10" s="185">
        <f>EIA_RE_aeo2014!Z76*1000</f>
        <v>6283.7709999999997</v>
      </c>
      <c r="Y10" s="175">
        <f>EIA_RE_aeo2014!AA76*1000</f>
        <v>6365.5309999999999</v>
      </c>
      <c r="Z10" s="175">
        <f>EIA_RE_aeo2014!AB76*1000</f>
        <v>6409.5590000000002</v>
      </c>
      <c r="AA10" s="175">
        <f>EIA_RE_aeo2014!AC76*1000</f>
        <v>6444.5050000000001</v>
      </c>
      <c r="AB10" s="175">
        <f>EIA_RE_aeo2014!AD76*1000</f>
        <v>6474.22</v>
      </c>
      <c r="AC10" s="175">
        <f>EIA_RE_aeo2014!AE76*1000</f>
        <v>6505.4059999999999</v>
      </c>
      <c r="AD10" s="175">
        <f>EIA_RE_aeo2014!AF76*1000</f>
        <v>6532.4470000000001</v>
      </c>
      <c r="AE10" s="175">
        <f>EIA_RE_aeo2014!AG76*1000</f>
        <v>6560.8240000000005</v>
      </c>
      <c r="AF10" s="175">
        <f>EIA_RE_aeo2014!AH76*1000</f>
        <v>6590.509</v>
      </c>
      <c r="AG10" s="175">
        <f>EIA_RE_aeo2014!AI76*1000</f>
        <v>6620.4970000000003</v>
      </c>
      <c r="AH10" s="175">
        <f>EIA_RE_aeo2014!AJ76*1000</f>
        <v>6647.9439999999995</v>
      </c>
    </row>
    <row r="11" spans="1:34" s="20" customFormat="1">
      <c r="A11" s="9" t="s">
        <v>52</v>
      </c>
      <c r="B11" s="35">
        <v>1</v>
      </c>
      <c r="C11" s="300">
        <f>EIA_RE_aeo2014!E74*1000</f>
        <v>0.1</v>
      </c>
      <c r="D11" s="300">
        <f>EIA_RE_aeo2014!F74*1000</f>
        <v>0.1</v>
      </c>
      <c r="E11" s="300">
        <f>EIA_RE_aeo2014!G74*1000</f>
        <v>0.1</v>
      </c>
      <c r="F11" s="300">
        <f>EIA_RE_aeo2014!H74*1000</f>
        <v>0.1</v>
      </c>
      <c r="G11" s="300">
        <f>EIA_RE_aeo2014!I74*1000</f>
        <v>0.1</v>
      </c>
      <c r="H11" s="83">
        <f>EIA_RE_aeo2014!J74*1000</f>
        <v>0.1</v>
      </c>
      <c r="I11" s="83">
        <f>EIA_RE_aeo2014!K74*1000</f>
        <v>0.1</v>
      </c>
      <c r="J11" s="83">
        <f>EIA_RE_aeo2014!L74*1000</f>
        <v>0.1</v>
      </c>
      <c r="K11" s="83">
        <f>EIA_RE_aeo2014!M74*1000</f>
        <v>0.1</v>
      </c>
      <c r="L11" s="83">
        <f>EIA_RE_aeo2014!N74*1000</f>
        <v>0.1</v>
      </c>
      <c r="M11" s="83">
        <f>EIA_RE_aeo2014!O74*1000</f>
        <v>0.1</v>
      </c>
      <c r="N11" s="359">
        <f>EIA_RE_aeo2014!P74*1000</f>
        <v>0.1</v>
      </c>
      <c r="O11" s="83">
        <f>EIA_RE_aeo2014!Q74*1000</f>
        <v>0.1</v>
      </c>
      <c r="P11" s="83">
        <f>EIA_RE_aeo2014!R74*1000</f>
        <v>0.1</v>
      </c>
      <c r="Q11" s="83">
        <f>EIA_RE_aeo2014!S74*1000</f>
        <v>0.1</v>
      </c>
      <c r="R11" s="83">
        <f>EIA_RE_aeo2014!T74*1000</f>
        <v>0.1</v>
      </c>
      <c r="S11" s="83">
        <f>EIA_RE_aeo2014!U74*1000</f>
        <v>0.1</v>
      </c>
      <c r="T11" s="83">
        <f>EIA_RE_aeo2014!V74*1000</f>
        <v>0.1</v>
      </c>
      <c r="U11" s="83">
        <f>EIA_RE_aeo2014!W74*1000</f>
        <v>0.1</v>
      </c>
      <c r="V11" s="83">
        <f>EIA_RE_aeo2014!X74*1000</f>
        <v>0.1</v>
      </c>
      <c r="W11" s="83">
        <f>EIA_RE_aeo2014!Y74*1000</f>
        <v>0.1</v>
      </c>
      <c r="X11" s="185">
        <f>EIA_RE_aeo2014!Z74*1000</f>
        <v>0.1</v>
      </c>
      <c r="Y11" s="175">
        <f>EIA_RE_aeo2014!AA74*1000</f>
        <v>0.1</v>
      </c>
      <c r="Z11" s="175">
        <f>EIA_RE_aeo2014!AB74*1000</f>
        <v>0.1</v>
      </c>
      <c r="AA11" s="175">
        <f>EIA_RE_aeo2014!AC74*1000</f>
        <v>0.1</v>
      </c>
      <c r="AB11" s="175">
        <f>EIA_RE_aeo2014!AD74*1000</f>
        <v>0.1</v>
      </c>
      <c r="AC11" s="175">
        <f>EIA_RE_aeo2014!AE74*1000</f>
        <v>0.1</v>
      </c>
      <c r="AD11" s="175">
        <f>EIA_RE_aeo2014!AF74*1000</f>
        <v>0.1</v>
      </c>
      <c r="AE11" s="175">
        <f>EIA_RE_aeo2014!AG74*1000</f>
        <v>0.1</v>
      </c>
      <c r="AF11" s="175">
        <f>EIA_RE_aeo2014!AH74*1000</f>
        <v>0.1</v>
      </c>
      <c r="AG11" s="175">
        <f>EIA_RE_aeo2014!AI74*1000</f>
        <v>0.1</v>
      </c>
      <c r="AH11" s="175">
        <f>EIA_RE_aeo2014!AJ74*1000</f>
        <v>0.1</v>
      </c>
    </row>
    <row r="12" spans="1:34" s="20" customFormat="1">
      <c r="A12" s="9" t="s">
        <v>53</v>
      </c>
      <c r="B12" s="35">
        <v>1</v>
      </c>
      <c r="C12" s="300">
        <f>EIA_RE_aeo2014!E75*1000</f>
        <v>1846</v>
      </c>
      <c r="D12" s="300">
        <f>EIA_RE_aeo2014!F75*1000</f>
        <v>1846</v>
      </c>
      <c r="E12" s="300">
        <f>EIA_RE_aeo2014!G75*1000</f>
        <v>2372.6219999999998</v>
      </c>
      <c r="F12" s="300">
        <f>EIA_RE_aeo2014!H75*1000</f>
        <v>2363.6330000000003</v>
      </c>
      <c r="G12" s="300">
        <f>EIA_RE_aeo2014!I75*1000</f>
        <v>2749.3829999999998</v>
      </c>
      <c r="H12" s="83">
        <f>EIA_RE_aeo2014!J75*1000</f>
        <v>2749.3829999999998</v>
      </c>
      <c r="I12" s="175">
        <f>EIA_RE_aeo2014!K75*1000</f>
        <v>2749.3829999999998</v>
      </c>
      <c r="J12" s="175">
        <f>EIA_RE_aeo2014!L75*1000</f>
        <v>2338.6439999999998</v>
      </c>
      <c r="K12" s="175">
        <f>EIA_RE_aeo2014!M75*1000</f>
        <v>2339.0620000000004</v>
      </c>
      <c r="L12" s="175">
        <f>EIA_RE_aeo2014!N75*1000</f>
        <v>2338.9380000000001</v>
      </c>
      <c r="M12" s="175">
        <f>EIA_RE_aeo2014!O75*1000</f>
        <v>2339.2130000000002</v>
      </c>
      <c r="N12" s="185">
        <f>EIA_RE_aeo2014!P75*1000</f>
        <v>2337.4030000000002</v>
      </c>
      <c r="O12" s="175">
        <f>EIA_RE_aeo2014!Q75*1000</f>
        <v>2336.8669999999997</v>
      </c>
      <c r="P12" s="175">
        <f>EIA_RE_aeo2014!R75*1000</f>
        <v>2336.634</v>
      </c>
      <c r="Q12" s="175">
        <f>EIA_RE_aeo2014!S75*1000</f>
        <v>2336.5140000000001</v>
      </c>
      <c r="R12" s="175">
        <f>EIA_RE_aeo2014!T75*1000</f>
        <v>2336.4340000000002</v>
      </c>
      <c r="S12" s="83">
        <f>EIA_RE_aeo2014!U75*1000</f>
        <v>2336.1350000000002</v>
      </c>
      <c r="T12" s="83">
        <f>EIA_RE_aeo2014!V75*1000</f>
        <v>2335.8319999999999</v>
      </c>
      <c r="U12" s="83">
        <f>EIA_RE_aeo2014!W75*1000</f>
        <v>2335.5810000000001</v>
      </c>
      <c r="V12" s="83">
        <f>EIA_RE_aeo2014!X75*1000</f>
        <v>2335.2669999999998</v>
      </c>
      <c r="W12" s="83">
        <f>EIA_RE_aeo2014!Y75*1000</f>
        <v>2334.33</v>
      </c>
      <c r="X12" s="185">
        <f>EIA_RE_aeo2014!Z75*1000</f>
        <v>2332.9390000000003</v>
      </c>
      <c r="Y12" s="175">
        <f>EIA_RE_aeo2014!AA75*1000</f>
        <v>2331.52</v>
      </c>
      <c r="Z12" s="175">
        <f>EIA_RE_aeo2014!AB75*1000</f>
        <v>2330.13</v>
      </c>
      <c r="AA12" s="175">
        <f>EIA_RE_aeo2014!AC75*1000</f>
        <v>2328.83</v>
      </c>
      <c r="AB12" s="175">
        <f>EIA_RE_aeo2014!AD75*1000</f>
        <v>2327.6869999999999</v>
      </c>
      <c r="AC12" s="175">
        <f>EIA_RE_aeo2014!AE75*1000</f>
        <v>2326.5159999999996</v>
      </c>
      <c r="AD12" s="175">
        <f>EIA_RE_aeo2014!AF75*1000</f>
        <v>2325.5770000000002</v>
      </c>
      <c r="AE12" s="175">
        <f>EIA_RE_aeo2014!AG75*1000</f>
        <v>2749.3829999999998</v>
      </c>
      <c r="AF12" s="175">
        <f>EIA_RE_aeo2014!AH75*1000</f>
        <v>2749.3829999999998</v>
      </c>
      <c r="AG12" s="175">
        <f>EIA_RE_aeo2014!AI75*1000</f>
        <v>2749.3829999999998</v>
      </c>
      <c r="AH12" s="175">
        <f>EIA_RE_aeo2014!AJ75*1000</f>
        <v>2749.3829999999998</v>
      </c>
    </row>
    <row r="13" spans="1:34">
      <c r="A13" s="9" t="s">
        <v>353</v>
      </c>
      <c r="B13" s="34">
        <v>1</v>
      </c>
      <c r="C13" s="300">
        <f>(EIA_RE_aeo2014!E34+EIA_RE_aeo2014!E54)*1000</f>
        <v>0</v>
      </c>
      <c r="D13" s="300">
        <f>(EIA_RE_aeo2014!F34+EIA_RE_aeo2014!F54)*1000</f>
        <v>0</v>
      </c>
      <c r="E13" s="300">
        <f>(EIA_RE_aeo2014!G34+EIA_RE_aeo2014!G54)*1000</f>
        <v>166.309</v>
      </c>
      <c r="F13" s="300">
        <f>(EIA_RE_aeo2014!H34+EIA_RE_aeo2014!H54)*1000</f>
        <v>280.57500000000005</v>
      </c>
      <c r="G13" s="300">
        <f>(EIA_RE_aeo2014!I34+EIA_RE_aeo2014!I54)*1000</f>
        <v>404.88600000000002</v>
      </c>
      <c r="H13" s="83">
        <f>(EIA_RE_aeo2014!J34+EIA_RE_aeo2014!J54)*1000</f>
        <v>574.38100000000009</v>
      </c>
      <c r="I13" s="83">
        <f>(EIA_RE_aeo2014!K34+EIA_RE_aeo2014!K54)*1000</f>
        <v>826.29499999999996</v>
      </c>
      <c r="J13" s="83">
        <f>(EIA_RE_aeo2014!L34+EIA_RE_aeo2014!L54)*1000</f>
        <v>1047.191</v>
      </c>
      <c r="K13" s="83">
        <f>(EIA_RE_aeo2014!M34+EIA_RE_aeo2014!M54)*1000</f>
        <v>1053.271</v>
      </c>
      <c r="L13" s="83">
        <f>(EIA_RE_aeo2014!N34+EIA_RE_aeo2014!N54)*1000</f>
        <v>1060.287</v>
      </c>
      <c r="M13" s="83">
        <f>(EIA_RE_aeo2014!O34+EIA_RE_aeo2014!O54)*1000</f>
        <v>1072.4860000000001</v>
      </c>
      <c r="N13" s="359">
        <f>(EIA_RE_aeo2014!P34+EIA_RE_aeo2014!P54)*1000</f>
        <v>1095.066</v>
      </c>
      <c r="O13" s="83">
        <f>(EIA_RE_aeo2014!Q34+EIA_RE_aeo2014!Q54)*1000</f>
        <v>1122.047</v>
      </c>
      <c r="P13" s="83">
        <f>(EIA_RE_aeo2014!R34+EIA_RE_aeo2014!R54)*1000</f>
        <v>1151.7729999999999</v>
      </c>
      <c r="Q13" s="83">
        <f>(EIA_RE_aeo2014!S34+EIA_RE_aeo2014!S54)*1000</f>
        <v>1183.8020000000001</v>
      </c>
      <c r="R13" s="83">
        <f>(EIA_RE_aeo2014!T34+EIA_RE_aeo2014!T54)*1000</f>
        <v>1217.742</v>
      </c>
      <c r="S13" s="83">
        <f>(EIA_RE_aeo2014!U34+EIA_RE_aeo2014!U54)*1000</f>
        <v>1253.7139999999999</v>
      </c>
      <c r="T13" s="83">
        <f>(EIA_RE_aeo2014!V34+EIA_RE_aeo2014!V54)*1000</f>
        <v>1291.376</v>
      </c>
      <c r="U13" s="83">
        <f>(EIA_RE_aeo2014!W34+EIA_RE_aeo2014!W54)*1000</f>
        <v>1332.7919999999999</v>
      </c>
      <c r="V13" s="83">
        <f>(EIA_RE_aeo2014!X34+EIA_RE_aeo2014!X54)*1000</f>
        <v>1413.6609999999998</v>
      </c>
      <c r="W13" s="83">
        <f>(EIA_RE_aeo2014!Y34+EIA_RE_aeo2014!Y54)*1000</f>
        <v>1535.1780000000001</v>
      </c>
      <c r="X13" s="185">
        <f>(EIA_RE_aeo2014!Z34+EIA_RE_aeo2014!Z54)*1000</f>
        <v>1654.5480000000002</v>
      </c>
      <c r="Y13" s="175">
        <f>(EIA_RE_aeo2014!AA34+EIA_RE_aeo2014!AA54)*1000</f>
        <v>1780.817</v>
      </c>
      <c r="Z13" s="175">
        <f>(EIA_RE_aeo2014!AB34+EIA_RE_aeo2014!AB54)*1000</f>
        <v>1869.5809999999999</v>
      </c>
      <c r="AA13" s="175">
        <f>(EIA_RE_aeo2014!AC34+EIA_RE_aeo2014!AC54)*1000</f>
        <v>2020.9060000000002</v>
      </c>
      <c r="AB13" s="175">
        <f>(EIA_RE_aeo2014!AD34+EIA_RE_aeo2014!AD54)*1000</f>
        <v>2247.3629999999998</v>
      </c>
      <c r="AC13" s="175">
        <f>(EIA_RE_aeo2014!AE34+EIA_RE_aeo2014!AE54)*1000</f>
        <v>2472.8409999999999</v>
      </c>
      <c r="AD13" s="175">
        <f>(EIA_RE_aeo2014!AF34+EIA_RE_aeo2014!AF54)*1000</f>
        <v>2623.3609999999999</v>
      </c>
      <c r="AE13" s="175">
        <f>(EIA_RE_aeo2014!AG34+EIA_RE_aeo2014!AG54)*1000</f>
        <v>2723.8910000000001</v>
      </c>
      <c r="AF13" s="175">
        <f>(EIA_RE_aeo2014!AH34+EIA_RE_aeo2014!AH54)*1000</f>
        <v>2828.4050000000002</v>
      </c>
      <c r="AG13" s="175">
        <f>(EIA_RE_aeo2014!AI34+EIA_RE_aeo2014!AI54)*1000</f>
        <v>2937.3420000000001</v>
      </c>
      <c r="AH13" s="175">
        <f>(EIA_RE_aeo2014!AJ34+EIA_RE_aeo2014!AJ54)*1000</f>
        <v>3050.7919999999999</v>
      </c>
    </row>
    <row r="14" spans="1:34">
      <c r="A14" s="9" t="s">
        <v>354</v>
      </c>
      <c r="B14" s="34">
        <v>1</v>
      </c>
      <c r="C14" s="300">
        <f>EIA_RE_aeo2014!E33*1000</f>
        <v>0</v>
      </c>
      <c r="D14" s="300">
        <f>EIA_RE_aeo2014!F33*1000</f>
        <v>0</v>
      </c>
      <c r="E14" s="300">
        <f>EIA_RE_aeo2014!G33*1000</f>
        <v>29</v>
      </c>
      <c r="F14" s="300">
        <f>EIA_RE_aeo2014!H33*1000</f>
        <v>88</v>
      </c>
      <c r="G14" s="300">
        <f>EIA_RE_aeo2014!I33*1000</f>
        <v>0.1</v>
      </c>
      <c r="H14" s="83">
        <f>EIA_RE_aeo2014!J33*1000</f>
        <v>0.1</v>
      </c>
      <c r="I14" s="83">
        <f>EIA_RE_aeo2014!K33*1000</f>
        <v>0.1</v>
      </c>
      <c r="J14" s="83">
        <f>EIA_RE_aeo2014!L33*1000</f>
        <v>0.1</v>
      </c>
      <c r="K14" s="83">
        <f>EIA_RE_aeo2014!M33*1000</f>
        <v>0.1</v>
      </c>
      <c r="L14" s="83">
        <f>EIA_RE_aeo2014!N33*1000</f>
        <v>0.1</v>
      </c>
      <c r="M14" s="83">
        <f>EIA_RE_aeo2014!O33*1000</f>
        <v>0.1</v>
      </c>
      <c r="N14" s="359">
        <f>EIA_RE_aeo2014!P33*1000</f>
        <v>0.1</v>
      </c>
      <c r="O14" s="83">
        <f>EIA_RE_aeo2014!Q33*1000</f>
        <v>0.1</v>
      </c>
      <c r="P14" s="83">
        <f>EIA_RE_aeo2014!R33*1000</f>
        <v>0.1</v>
      </c>
      <c r="Q14" s="83">
        <f>EIA_RE_aeo2014!S33*1000</f>
        <v>0.1</v>
      </c>
      <c r="R14" s="83">
        <f>EIA_RE_aeo2014!T33*1000</f>
        <v>0.1</v>
      </c>
      <c r="S14" s="83">
        <f>EIA_RE_aeo2014!U33*1000</f>
        <v>0.1</v>
      </c>
      <c r="T14" s="83">
        <f>EIA_RE_aeo2014!V33*1000</f>
        <v>0.1</v>
      </c>
      <c r="U14" s="83">
        <f>EIA_RE_aeo2014!W33*1000</f>
        <v>0.1</v>
      </c>
      <c r="V14" s="83">
        <f>EIA_RE_aeo2014!X33*1000</f>
        <v>0.1</v>
      </c>
      <c r="W14" s="83">
        <f>EIA_RE_aeo2014!Y33*1000</f>
        <v>0.1</v>
      </c>
      <c r="X14" s="185">
        <f>EIA_RE_aeo2014!Z33*1000</f>
        <v>0.1</v>
      </c>
      <c r="Y14" s="175">
        <f>EIA_RE_aeo2014!AA33*1000</f>
        <v>0.1</v>
      </c>
      <c r="Z14" s="175">
        <f>EIA_RE_aeo2014!AB33*1000</f>
        <v>0.1</v>
      </c>
      <c r="AA14" s="175">
        <f>EIA_RE_aeo2014!AC33*1000</f>
        <v>0.1</v>
      </c>
      <c r="AB14" s="175">
        <f>EIA_RE_aeo2014!AD33*1000</f>
        <v>0.1</v>
      </c>
      <c r="AC14" s="175">
        <f>EIA_RE_aeo2014!AE33*1000</f>
        <v>0.1</v>
      </c>
      <c r="AD14" s="175">
        <f>EIA_RE_aeo2014!AF33*1000</f>
        <v>0.1</v>
      </c>
      <c r="AE14" s="175">
        <f>EIA_RE_aeo2014!AG33*1000</f>
        <v>0.1</v>
      </c>
      <c r="AF14" s="175">
        <f>EIA_RE_aeo2014!AH33*1000</f>
        <v>0.1</v>
      </c>
      <c r="AG14" s="175">
        <f>EIA_RE_aeo2014!AI33*1000</f>
        <v>0.1</v>
      </c>
      <c r="AH14" s="175">
        <f>EIA_RE_aeo2014!AJ33*1000</f>
        <v>0.1</v>
      </c>
    </row>
    <row r="15" spans="1:34" s="413" customFormat="1">
      <c r="A15" s="411" t="s">
        <v>723</v>
      </c>
      <c r="B15" s="412">
        <v>1</v>
      </c>
      <c r="C15" s="423">
        <v>1E-4</v>
      </c>
      <c r="D15" s="423">
        <v>1E-4</v>
      </c>
      <c r="E15" s="423">
        <v>1E-4</v>
      </c>
      <c r="F15" s="423">
        <v>1E-4</v>
      </c>
      <c r="G15" s="423">
        <v>1E-4</v>
      </c>
      <c r="H15" s="423">
        <v>1E-4</v>
      </c>
      <c r="I15" s="423">
        <v>1E-4</v>
      </c>
      <c r="J15" s="423">
        <v>1E-4</v>
      </c>
      <c r="K15" s="423">
        <v>1E-4</v>
      </c>
      <c r="L15" s="423">
        <v>1E-4</v>
      </c>
      <c r="M15" s="423">
        <v>1E-4</v>
      </c>
      <c r="N15" s="423">
        <v>1E-4</v>
      </c>
      <c r="O15" s="423">
        <v>1E-4</v>
      </c>
      <c r="P15" s="423">
        <v>1E-4</v>
      </c>
      <c r="Q15" s="423">
        <v>1E-4</v>
      </c>
      <c r="R15" s="423">
        <v>1E-4</v>
      </c>
      <c r="S15" s="423">
        <v>1E-4</v>
      </c>
      <c r="T15" s="423">
        <v>1E-4</v>
      </c>
      <c r="U15" s="423">
        <v>1E-4</v>
      </c>
      <c r="V15" s="423">
        <v>1E-4</v>
      </c>
      <c r="W15" s="423">
        <v>1E-4</v>
      </c>
      <c r="X15" s="423">
        <v>1E-4</v>
      </c>
      <c r="Y15" s="423">
        <v>1E-4</v>
      </c>
      <c r="Z15" s="423">
        <v>1E-4</v>
      </c>
      <c r="AA15" s="423">
        <v>1E-4</v>
      </c>
      <c r="AB15" s="423">
        <v>1E-4</v>
      </c>
      <c r="AC15" s="423">
        <v>1E-4</v>
      </c>
      <c r="AD15" s="423">
        <v>1E-4</v>
      </c>
      <c r="AE15" s="423">
        <v>1E-4</v>
      </c>
      <c r="AF15" s="423">
        <v>1E-4</v>
      </c>
      <c r="AG15" s="423">
        <v>1E-4</v>
      </c>
      <c r="AH15" s="423">
        <v>1E-4</v>
      </c>
    </row>
    <row r="16" spans="1:34">
      <c r="A16" s="9" t="s">
        <v>55</v>
      </c>
      <c r="B16" s="34">
        <v>1</v>
      </c>
      <c r="C16" s="300">
        <f>EIA_RE_aeo2014!E78*1000</f>
        <v>0.1</v>
      </c>
      <c r="D16" s="300">
        <f>EIA_RE_aeo2014!F78*1000</f>
        <v>0.1</v>
      </c>
      <c r="E16" s="300">
        <f>EIA_RE_aeo2014!G78*1000</f>
        <v>5.0000000000000001E-3</v>
      </c>
      <c r="F16" s="300">
        <f>EIA_RE_aeo2014!H78*1000</f>
        <v>5.0000000000000001E-3</v>
      </c>
      <c r="G16" s="300">
        <f>EIA_RE_aeo2014!I78*1000</f>
        <v>5.0000000000000001E-3</v>
      </c>
      <c r="H16" s="3">
        <f>EIA_RE_aeo2014!J78*1000</f>
        <v>5.0000000000000001E-3</v>
      </c>
      <c r="I16" s="3">
        <f>EIA_RE_aeo2014!K78*1000</f>
        <v>5.0000000000000001E-3</v>
      </c>
      <c r="J16" s="3">
        <f>EIA_RE_aeo2014!L78*1000</f>
        <v>5.0000000000000001E-3</v>
      </c>
      <c r="K16" s="3">
        <f>EIA_RE_aeo2014!M78*1000</f>
        <v>5.0000000000000001E-3</v>
      </c>
      <c r="L16" s="3">
        <f>EIA_RE_aeo2014!N78*1000</f>
        <v>5.0000000000000001E-3</v>
      </c>
      <c r="M16" s="3">
        <f>EIA_RE_aeo2014!O78*1000</f>
        <v>5.0000000000000001E-3</v>
      </c>
      <c r="N16" s="359">
        <f>EIA_RE_aeo2014!P78*1000</f>
        <v>5.0000000000000001E-3</v>
      </c>
      <c r="O16" s="3">
        <f>EIA_RE_aeo2014!Q78*1000</f>
        <v>5.0000000000000001E-3</v>
      </c>
      <c r="P16" s="3">
        <f>EIA_RE_aeo2014!R78*1000</f>
        <v>5.0000000000000001E-3</v>
      </c>
      <c r="Q16" s="3">
        <f>EIA_RE_aeo2014!S78*1000</f>
        <v>5.0000000000000001E-3</v>
      </c>
      <c r="R16" s="3">
        <f>EIA_RE_aeo2014!T78*1000</f>
        <v>5.0000000000000001E-3</v>
      </c>
      <c r="S16" s="3">
        <f>EIA_RE_aeo2014!U78*1000</f>
        <v>5.0000000000000001E-3</v>
      </c>
      <c r="T16" s="3">
        <f>EIA_RE_aeo2014!V78*1000</f>
        <v>5.0000000000000001E-3</v>
      </c>
      <c r="U16" s="3">
        <f>EIA_RE_aeo2014!W78*1000</f>
        <v>5.0000000000000001E-3</v>
      </c>
      <c r="V16" s="3">
        <f>EIA_RE_aeo2014!X78*1000</f>
        <v>6.0000000000000001E-3</v>
      </c>
      <c r="W16" s="3">
        <f>EIA_RE_aeo2014!Y78*1000</f>
        <v>6.0000000000000001E-3</v>
      </c>
      <c r="X16" s="185">
        <f>EIA_RE_aeo2014!Z78*1000</f>
        <v>6.0000000000000001E-3</v>
      </c>
      <c r="Y16" s="175">
        <f>EIA_RE_aeo2014!AA78*1000</f>
        <v>7.0000000000000001E-3</v>
      </c>
      <c r="Z16" s="175">
        <f>EIA_RE_aeo2014!AB78*1000</f>
        <v>8.0000000000000002E-3</v>
      </c>
      <c r="AA16" s="175">
        <f>EIA_RE_aeo2014!AC78*1000</f>
        <v>0.01</v>
      </c>
      <c r="AB16" s="175">
        <f>EIA_RE_aeo2014!AD78*1000</f>
        <v>1.6E-2</v>
      </c>
      <c r="AC16" s="175">
        <f>EIA_RE_aeo2014!AE78*1000</f>
        <v>2.8000000000000001E-2</v>
      </c>
      <c r="AD16" s="175">
        <f>EIA_RE_aeo2014!AF78*1000</f>
        <v>4.5000000000000005E-2</v>
      </c>
      <c r="AE16" s="175">
        <f>EIA_RE_aeo2014!AG78*1000</f>
        <v>7.2000000000000008E-2</v>
      </c>
      <c r="AF16" s="175">
        <f>EIA_RE_aeo2014!AH78*1000</f>
        <v>0.11900000000000001</v>
      </c>
      <c r="AG16" s="175">
        <f>EIA_RE_aeo2014!AI78*1000</f>
        <v>0.20300000000000001</v>
      </c>
      <c r="AH16" s="175">
        <f>EIA_RE_aeo2014!AJ78*1000</f>
        <v>0.35599999999999998</v>
      </c>
    </row>
    <row r="17" spans="1:34">
      <c r="A17" s="11" t="s">
        <v>333</v>
      </c>
      <c r="B17" s="36"/>
      <c r="C17" s="300">
        <f t="shared" ref="C17:AH17" si="0">SUM(C7:C16)</f>
        <v>33656.199999999997</v>
      </c>
      <c r="D17" s="300">
        <f t="shared" si="0"/>
        <v>28520.199999999997</v>
      </c>
      <c r="E17" s="300">
        <f t="shared" si="0"/>
        <v>26193.543000000001</v>
      </c>
      <c r="F17" s="300">
        <f t="shared" si="0"/>
        <v>22132.418000000001</v>
      </c>
      <c r="G17" s="300">
        <f t="shared" si="0"/>
        <v>29419.307999999997</v>
      </c>
      <c r="H17" s="3">
        <f t="shared" si="0"/>
        <v>30031.476000000002</v>
      </c>
      <c r="I17" s="3">
        <f t="shared" si="0"/>
        <v>31190.351000000002</v>
      </c>
      <c r="J17" s="3">
        <f t="shared" si="0"/>
        <v>32023.957999999999</v>
      </c>
      <c r="K17" s="3">
        <f t="shared" si="0"/>
        <v>31883.145000000004</v>
      </c>
      <c r="L17" s="3">
        <f t="shared" si="0"/>
        <v>31949.429</v>
      </c>
      <c r="M17" s="3">
        <f t="shared" si="0"/>
        <v>31985.345000000001</v>
      </c>
      <c r="N17" s="359">
        <f t="shared" si="0"/>
        <v>32049.758999999998</v>
      </c>
      <c r="O17" s="3">
        <f t="shared" si="0"/>
        <v>32115.888999999999</v>
      </c>
      <c r="P17" s="3">
        <f t="shared" si="0"/>
        <v>32202.742000000006</v>
      </c>
      <c r="Q17" s="3">
        <f t="shared" si="0"/>
        <v>32320.621999999999</v>
      </c>
      <c r="R17" s="3">
        <f t="shared" si="0"/>
        <v>32368.807000000001</v>
      </c>
      <c r="S17" s="3">
        <f t="shared" si="0"/>
        <v>34566.536999999997</v>
      </c>
      <c r="T17" s="3">
        <f t="shared" si="0"/>
        <v>34755.871999999988</v>
      </c>
      <c r="U17" s="3">
        <f t="shared" si="0"/>
        <v>34914.629999999997</v>
      </c>
      <c r="V17" s="3">
        <f t="shared" si="0"/>
        <v>35866.127999999997</v>
      </c>
      <c r="W17" s="3">
        <f t="shared" si="0"/>
        <v>37337.203999999998</v>
      </c>
      <c r="X17" s="185">
        <f t="shared" si="0"/>
        <v>37947.678999999996</v>
      </c>
      <c r="Y17" s="175">
        <f t="shared" si="0"/>
        <v>39033.655999999995</v>
      </c>
      <c r="Z17" s="175">
        <f t="shared" si="0"/>
        <v>39386.688999999991</v>
      </c>
      <c r="AA17" s="175">
        <f t="shared" si="0"/>
        <v>40631.697999999997</v>
      </c>
      <c r="AB17" s="175">
        <f t="shared" si="0"/>
        <v>42043.366999999991</v>
      </c>
      <c r="AC17" s="175">
        <f t="shared" si="0"/>
        <v>43509.272999999994</v>
      </c>
      <c r="AD17" s="175">
        <f t="shared" si="0"/>
        <v>46900.55799999999</v>
      </c>
      <c r="AE17" s="175">
        <f t="shared" si="0"/>
        <v>52014.942999999999</v>
      </c>
      <c r="AF17" s="175">
        <f t="shared" si="0"/>
        <v>57086.749999999993</v>
      </c>
      <c r="AG17" s="175">
        <f t="shared" si="0"/>
        <v>62524.823999999993</v>
      </c>
      <c r="AH17" s="175">
        <f t="shared" si="0"/>
        <v>67930.002999999997</v>
      </c>
    </row>
    <row r="18" spans="1:34">
      <c r="A18" s="10" t="s">
        <v>132</v>
      </c>
      <c r="B18" s="37"/>
      <c r="C18" s="301">
        <f t="shared" ref="C18:AH18" si="1">SUMPRODUCT($B7:$B16,C7:C16)</f>
        <v>4330.2001000000009</v>
      </c>
      <c r="D18" s="301">
        <f t="shared" si="1"/>
        <v>4407.2001000000009</v>
      </c>
      <c r="E18" s="301">
        <f t="shared" si="1"/>
        <v>4173.5441000000001</v>
      </c>
      <c r="F18" s="301">
        <f t="shared" si="1"/>
        <v>4256.4171000000006</v>
      </c>
      <c r="G18" s="301">
        <f t="shared" si="1"/>
        <v>5204.6251000000011</v>
      </c>
      <c r="H18" s="14">
        <f t="shared" si="1"/>
        <v>5866.2001000000009</v>
      </c>
      <c r="I18" s="14">
        <f t="shared" si="1"/>
        <v>6266.5901000000013</v>
      </c>
      <c r="J18" s="14">
        <f t="shared" si="1"/>
        <v>6862.0821000000005</v>
      </c>
      <c r="K18" s="14">
        <f t="shared" si="1"/>
        <v>6720.754100000001</v>
      </c>
      <c r="L18" s="14">
        <f t="shared" si="1"/>
        <v>6787.0381000000016</v>
      </c>
      <c r="M18" s="14">
        <f t="shared" si="1"/>
        <v>6822.9561000000003</v>
      </c>
      <c r="N18" s="191">
        <f t="shared" si="1"/>
        <v>6887.370100000001</v>
      </c>
      <c r="O18" s="14">
        <f t="shared" si="1"/>
        <v>6953.4981000000007</v>
      </c>
      <c r="P18" s="14">
        <f t="shared" si="1"/>
        <v>7040.3511000000008</v>
      </c>
      <c r="Q18" s="14">
        <f t="shared" si="1"/>
        <v>7158.2311000000009</v>
      </c>
      <c r="R18" s="14">
        <f t="shared" si="1"/>
        <v>7206.4161000000013</v>
      </c>
      <c r="S18" s="14">
        <f t="shared" si="1"/>
        <v>9404.1460999999999</v>
      </c>
      <c r="T18" s="14">
        <f t="shared" si="1"/>
        <v>9593.4810999999991</v>
      </c>
      <c r="U18" s="14">
        <f t="shared" si="1"/>
        <v>9752.2390999999989</v>
      </c>
      <c r="V18" s="14">
        <f t="shared" si="1"/>
        <v>9867.9880999999987</v>
      </c>
      <c r="W18" s="14">
        <f t="shared" si="1"/>
        <v>10020.938099999999</v>
      </c>
      <c r="X18" s="188">
        <f t="shared" si="1"/>
        <v>10271.464100000001</v>
      </c>
      <c r="Y18" s="14">
        <f t="shared" si="1"/>
        <v>10478.0751</v>
      </c>
      <c r="Z18" s="14">
        <f t="shared" si="1"/>
        <v>10609.4781</v>
      </c>
      <c r="AA18" s="14">
        <f t="shared" si="1"/>
        <v>10794.451100000002</v>
      </c>
      <c r="AB18" s="14">
        <f t="shared" si="1"/>
        <v>11049.4861</v>
      </c>
      <c r="AC18" s="14">
        <f t="shared" si="1"/>
        <v>11304.991100000001</v>
      </c>
      <c r="AD18" s="14">
        <f t="shared" si="1"/>
        <v>11481.6301</v>
      </c>
      <c r="AE18" s="14">
        <f t="shared" si="1"/>
        <v>12034.3701</v>
      </c>
      <c r="AF18" s="14">
        <f t="shared" si="1"/>
        <v>12168.616100000001</v>
      </c>
      <c r="AG18" s="14">
        <f t="shared" si="1"/>
        <v>12307.625099999999</v>
      </c>
      <c r="AH18" s="14">
        <f t="shared" si="1"/>
        <v>12448.675099999999</v>
      </c>
    </row>
    <row r="19" spans="1:34">
      <c r="A19" s="10" t="s">
        <v>118</v>
      </c>
      <c r="B19" s="37"/>
      <c r="C19" s="302">
        <f t="shared" ref="C19:AH19" si="2">C18/C4</f>
        <v>1.9868224697860943E-2</v>
      </c>
      <c r="D19" s="302">
        <f t="shared" si="2"/>
        <v>1.9238106483563017E-2</v>
      </c>
      <c r="E19" s="302">
        <f t="shared" si="2"/>
        <v>2.0357381407287614E-2</v>
      </c>
      <c r="F19" s="302">
        <f t="shared" si="2"/>
        <v>2.0699692610507876E-2</v>
      </c>
      <c r="G19" s="302">
        <f t="shared" si="2"/>
        <v>2.6235595122993449E-2</v>
      </c>
      <c r="H19" s="23">
        <f t="shared" si="2"/>
        <v>2.9686791500950382E-2</v>
      </c>
      <c r="I19" s="23">
        <f t="shared" si="2"/>
        <v>3.1299747258611864E-2</v>
      </c>
      <c r="J19" s="23">
        <f t="shared" si="2"/>
        <v>3.4039312226811377E-2</v>
      </c>
      <c r="K19" s="23">
        <f t="shared" si="2"/>
        <v>3.2952492172307765E-2</v>
      </c>
      <c r="L19" s="23">
        <f t="shared" si="2"/>
        <v>3.2958949225452783E-2</v>
      </c>
      <c r="M19" s="23">
        <f t="shared" si="2"/>
        <v>3.2818106272166796E-2</v>
      </c>
      <c r="N19" s="184">
        <f t="shared" si="2"/>
        <v>3.3155184938343893E-2</v>
      </c>
      <c r="O19" s="23">
        <f t="shared" si="2"/>
        <v>3.3195473221805709E-2</v>
      </c>
      <c r="P19" s="23">
        <f t="shared" si="2"/>
        <v>3.321624514585772E-2</v>
      </c>
      <c r="Q19" s="23">
        <f t="shared" si="2"/>
        <v>3.3308401851749624E-2</v>
      </c>
      <c r="R19" s="23">
        <f t="shared" si="2"/>
        <v>3.2869207183485689E-2</v>
      </c>
      <c r="S19" s="23">
        <f t="shared" si="2"/>
        <v>4.2106607689437227E-2</v>
      </c>
      <c r="T19" s="23">
        <f t="shared" si="2"/>
        <v>4.2160364808046809E-2</v>
      </c>
      <c r="U19" s="23">
        <f t="shared" si="2"/>
        <v>4.2057546803248101E-2</v>
      </c>
      <c r="V19" s="23">
        <f t="shared" si="2"/>
        <v>4.1770714093737844E-2</v>
      </c>
      <c r="W19" s="23">
        <f t="shared" si="2"/>
        <v>4.1932927054977816E-2</v>
      </c>
      <c r="X19" s="186">
        <f t="shared" si="2"/>
        <v>4.2578467220146805E-2</v>
      </c>
      <c r="Y19" s="173">
        <f t="shared" si="2"/>
        <v>4.3010169734695243E-2</v>
      </c>
      <c r="Z19" s="173">
        <f t="shared" si="2"/>
        <v>4.3099737837518928E-2</v>
      </c>
      <c r="AA19" s="173">
        <f t="shared" si="2"/>
        <v>4.3383061463978807E-2</v>
      </c>
      <c r="AB19" s="173">
        <f t="shared" si="2"/>
        <v>4.3929121546428522E-2</v>
      </c>
      <c r="AC19" s="173">
        <f t="shared" si="2"/>
        <v>4.4454515260269938E-2</v>
      </c>
      <c r="AD19" s="173">
        <f t="shared" si="2"/>
        <v>4.4635140618070911E-2</v>
      </c>
      <c r="AE19" s="173">
        <f t="shared" si="2"/>
        <v>4.6157745876906076E-2</v>
      </c>
      <c r="AF19" s="173">
        <f t="shared" si="2"/>
        <v>4.6107261855716515E-2</v>
      </c>
      <c r="AG19" s="173">
        <f t="shared" si="2"/>
        <v>4.6088884064329372E-2</v>
      </c>
      <c r="AH19" s="173">
        <f t="shared" si="2"/>
        <v>4.6101219166320151E-2</v>
      </c>
    </row>
    <row r="20" spans="1:34">
      <c r="A20" s="10" t="s">
        <v>148</v>
      </c>
      <c r="B20" s="37"/>
      <c r="C20" s="301">
        <f>EIA_electricity_aeo2014!E49*1000</f>
        <v>54003</v>
      </c>
      <c r="D20" s="301">
        <f>EIA_electricity_aeo2014!F49*1000</f>
        <v>59897</v>
      </c>
      <c r="E20" s="301">
        <f>EIA_electricity_aeo2014!G49*1000</f>
        <v>46509.087</v>
      </c>
      <c r="F20" s="301">
        <f>EIA_electricity_aeo2014!H49*1000</f>
        <v>40811.829000000005</v>
      </c>
      <c r="G20" s="301">
        <f>EIA_electricity_aeo2014!I49*1000</f>
        <v>48693.286999999997</v>
      </c>
      <c r="H20" s="14">
        <f>EIA_electricity_aeo2014!J49*1000</f>
        <v>48994.476000000002</v>
      </c>
      <c r="I20" s="14">
        <f>EIA_electricity_aeo2014!K49*1000</f>
        <v>49619.877</v>
      </c>
      <c r="J20" s="14">
        <f>EIA_electricity_aeo2014!L49*1000</f>
        <v>39647.472000000002</v>
      </c>
      <c r="K20" s="14">
        <f>EIA_electricity_aeo2014!M49*1000</f>
        <v>40312.550000000003</v>
      </c>
      <c r="L20" s="14">
        <f>EIA_electricity_aeo2014!N49*1000</f>
        <v>40624.942999999999</v>
      </c>
      <c r="M20" s="14">
        <f>EIA_electricity_aeo2014!O49*1000</f>
        <v>40995.612999999998</v>
      </c>
      <c r="N20" s="191">
        <f>EIA_electricity_aeo2014!P49*1000</f>
        <v>41242.972999999998</v>
      </c>
      <c r="O20" s="14">
        <f>EIA_electricity_aeo2014!Q49*1000</f>
        <v>41504.340999999993</v>
      </c>
      <c r="P20" s="14">
        <f>EIA_electricity_aeo2014!R49*1000</f>
        <v>41731.307999999997</v>
      </c>
      <c r="Q20" s="14">
        <f>EIA_electricity_aeo2014!S49*1000</f>
        <v>41945.255000000005</v>
      </c>
      <c r="R20" s="14">
        <f>EIA_electricity_aeo2014!T49*1000</f>
        <v>42204.928999999996</v>
      </c>
      <c r="S20" s="14">
        <f>EIA_electricity_aeo2014!U49*1000</f>
        <v>40140.030000000006</v>
      </c>
      <c r="T20" s="14">
        <f>EIA_electricity_aeo2014!V49*1000</f>
        <v>40025.555</v>
      </c>
      <c r="U20" s="14">
        <f>EIA_electricity_aeo2014!W49*1000</f>
        <v>40007.984000000004</v>
      </c>
      <c r="V20" s="14">
        <f>EIA_electricity_aeo2014!X49*1000</f>
        <v>40001.883999999998</v>
      </c>
      <c r="W20" s="14">
        <f>EIA_electricity_aeo2014!Y49*1000</f>
        <v>39973.495000000003</v>
      </c>
      <c r="X20" s="188">
        <f>EIA_electricity_aeo2014!Z49*1000</f>
        <v>39935.206999999995</v>
      </c>
      <c r="Y20" s="14">
        <f>EIA_electricity_aeo2014!AA49*1000</f>
        <v>40076.466</v>
      </c>
      <c r="Z20" s="14">
        <f>EIA_electricity_aeo2014!AB49*1000</f>
        <v>40145.21</v>
      </c>
      <c r="AA20" s="14">
        <f>EIA_electricity_aeo2014!AC49*1000</f>
        <v>40112.129000000001</v>
      </c>
      <c r="AB20" s="14">
        <f>EIA_electricity_aeo2014!AD49*1000</f>
        <v>40092.419000000002</v>
      </c>
      <c r="AC20" s="14">
        <f>EIA_electricity_aeo2014!AE49*1000</f>
        <v>40065.899000000005</v>
      </c>
      <c r="AD20" s="14">
        <f>EIA_electricity_aeo2014!AF49*1000</f>
        <v>40048.938999999998</v>
      </c>
      <c r="AE20" s="14">
        <f>EIA_electricity_aeo2014!AG49*1000</f>
        <v>40033.360000000001</v>
      </c>
      <c r="AF20" s="14">
        <f>EIA_electricity_aeo2014!AH49*1000</f>
        <v>40019.787000000004</v>
      </c>
      <c r="AG20" s="14">
        <f>EIA_electricity_aeo2014!AI49*1000</f>
        <v>40005.394</v>
      </c>
      <c r="AH20" s="14">
        <f>EIA_electricity_aeo2014!AJ49*1000</f>
        <v>39991.157999999996</v>
      </c>
    </row>
    <row r="21" spans="1:34">
      <c r="A21" s="10" t="s">
        <v>228</v>
      </c>
      <c r="B21" s="37"/>
      <c r="C21" s="301">
        <f>EIA_electricity_aeo2014!E51*1000</f>
        <v>118322</v>
      </c>
      <c r="D21" s="301">
        <f>EIA_electricity_aeo2014!F51*1000</f>
        <v>128633.99999999999</v>
      </c>
      <c r="E21" s="301">
        <f>EIA_electricity_aeo2014!G51*1000</f>
        <v>130660.35500000001</v>
      </c>
      <c r="F21" s="301">
        <f>EIA_electricity_aeo2014!H51*1000</f>
        <v>143076.56900000002</v>
      </c>
      <c r="G21" s="301">
        <f>EIA_electricity_aeo2014!I51*1000</f>
        <v>121703.026</v>
      </c>
      <c r="H21" s="14">
        <f>EIA_electricity_aeo2014!J51*1000</f>
        <v>120180.977</v>
      </c>
      <c r="I21" s="14">
        <f>EIA_electricity_aeo2014!K51*1000</f>
        <v>121245.567</v>
      </c>
      <c r="J21" s="14">
        <f>EIA_electricity_aeo2014!L51*1000</f>
        <v>132014.32800000001</v>
      </c>
      <c r="K21" s="14">
        <f>EIA_electricity_aeo2014!M51*1000</f>
        <v>133813.70499999999</v>
      </c>
      <c r="L21" s="14">
        <f>EIA_electricity_aeo2014!N51*1000</f>
        <v>135427.353</v>
      </c>
      <c r="M21" s="14">
        <f>EIA_electricity_aeo2014!O51*1000</f>
        <v>137034.47</v>
      </c>
      <c r="N21" s="191">
        <f>EIA_electricity_aeo2014!P51*1000</f>
        <v>136606.87300000002</v>
      </c>
      <c r="O21" s="14">
        <f>EIA_electricity_aeo2014!Q51*1000</f>
        <v>138079.315</v>
      </c>
      <c r="P21" s="14">
        <f>EIA_electricity_aeo2014!R51*1000</f>
        <v>140306.73200000002</v>
      </c>
      <c r="Q21" s="14">
        <f>EIA_electricity_aeo2014!S51*1000</f>
        <v>142914.59699999998</v>
      </c>
      <c r="R21" s="14">
        <f>EIA_electricity_aeo2014!T51*1000</f>
        <v>146950.74500000002</v>
      </c>
      <c r="S21" s="14">
        <f>EIA_electricity_aeo2014!U51*1000</f>
        <v>150991.80599999998</v>
      </c>
      <c r="T21" s="14">
        <f>EIA_electricity_aeo2014!V51*1000</f>
        <v>155224.274</v>
      </c>
      <c r="U21" s="14">
        <f>EIA_electricity_aeo2014!W51*1000</f>
        <v>159496.33800000002</v>
      </c>
      <c r="V21" s="14">
        <f>EIA_electricity_aeo2014!X51*1000</f>
        <v>162993.66800000001</v>
      </c>
      <c r="W21" s="14">
        <f>EIA_electricity_aeo2014!Y51*1000</f>
        <v>164371.06299999999</v>
      </c>
      <c r="X21" s="188">
        <f>EIA_electricity_aeo2014!Z51*1000</f>
        <v>166138.85500000001</v>
      </c>
      <c r="Y21" s="14">
        <f>EIA_electricity_aeo2014!AA51*1000</f>
        <v>167376.16</v>
      </c>
      <c r="Z21" s="14">
        <f>EIA_electricity_aeo2014!AB51*1000</f>
        <v>169580.27599999998</v>
      </c>
      <c r="AA21" s="14">
        <f>EIA_electricity_aeo2014!AC51*1000</f>
        <v>171111.465</v>
      </c>
      <c r="AB21" s="14">
        <f>EIA_electricity_aeo2014!AD51*1000</f>
        <v>172552.36799999999</v>
      </c>
      <c r="AC21" s="14">
        <f>EIA_electricity_aeo2014!AE51*1000</f>
        <v>174005.84399999998</v>
      </c>
      <c r="AD21" s="14">
        <f>EIA_electricity_aeo2014!AF51*1000</f>
        <v>173680.878</v>
      </c>
      <c r="AE21" s="14">
        <f>EIA_electricity_aeo2014!AG51*1000</f>
        <v>172202.19399999999</v>
      </c>
      <c r="AF21" s="14">
        <f>EIA_electricity_aeo2014!AH51*1000</f>
        <v>170478.63799999998</v>
      </c>
      <c r="AG21" s="14">
        <f>EIA_electricity_aeo2014!AI51*1000</f>
        <v>168316.97099999999</v>
      </c>
      <c r="AH21" s="14">
        <f>EIA_electricity_aeo2014!AJ51*1000</f>
        <v>166056.198</v>
      </c>
    </row>
    <row r="22" spans="1:34">
      <c r="A22" s="10" t="s">
        <v>357</v>
      </c>
      <c r="B22" s="37"/>
      <c r="C22" s="300">
        <f>SUM(C17,C20:C21)</f>
        <v>205981.2</v>
      </c>
      <c r="D22" s="300">
        <f t="shared" ref="D22:AH22" si="3">SUM(D17,D20:D21)</f>
        <v>217051.19999999998</v>
      </c>
      <c r="E22" s="300">
        <f t="shared" si="3"/>
        <v>203362.98500000002</v>
      </c>
      <c r="F22" s="300">
        <f t="shared" si="3"/>
        <v>206020.81600000002</v>
      </c>
      <c r="G22" s="300">
        <f t="shared" si="3"/>
        <v>199815.62099999998</v>
      </c>
      <c r="H22" s="79">
        <f t="shared" si="3"/>
        <v>199206.929</v>
      </c>
      <c r="I22" s="79">
        <f t="shared" si="3"/>
        <v>202055.79499999998</v>
      </c>
      <c r="J22" s="79">
        <f t="shared" si="3"/>
        <v>203685.758</v>
      </c>
      <c r="K22" s="79">
        <f t="shared" si="3"/>
        <v>206009.4</v>
      </c>
      <c r="L22" s="79">
        <f t="shared" si="3"/>
        <v>208001.72500000001</v>
      </c>
      <c r="M22" s="79">
        <f t="shared" si="3"/>
        <v>210015.42800000001</v>
      </c>
      <c r="N22" s="359">
        <f t="shared" si="3"/>
        <v>209899.60500000001</v>
      </c>
      <c r="O22" s="79">
        <f t="shared" si="3"/>
        <v>211699.54499999998</v>
      </c>
      <c r="P22" s="79">
        <f t="shared" si="3"/>
        <v>214240.78200000001</v>
      </c>
      <c r="Q22" s="79">
        <f t="shared" si="3"/>
        <v>217180.47399999999</v>
      </c>
      <c r="R22" s="79">
        <f t="shared" si="3"/>
        <v>221524.48100000003</v>
      </c>
      <c r="S22" s="79">
        <f t="shared" si="3"/>
        <v>225698.37299999999</v>
      </c>
      <c r="T22" s="79">
        <f t="shared" si="3"/>
        <v>230005.701</v>
      </c>
      <c r="U22" s="79">
        <f t="shared" si="3"/>
        <v>234418.95200000002</v>
      </c>
      <c r="V22" s="79">
        <f t="shared" si="3"/>
        <v>238861.68</v>
      </c>
      <c r="W22" s="79">
        <f t="shared" si="3"/>
        <v>241681.76199999999</v>
      </c>
      <c r="X22" s="185">
        <f t="shared" si="3"/>
        <v>244021.74100000001</v>
      </c>
      <c r="Y22" s="175">
        <f t="shared" si="3"/>
        <v>246486.28200000001</v>
      </c>
      <c r="Z22" s="175">
        <f t="shared" si="3"/>
        <v>249112.17499999999</v>
      </c>
      <c r="AA22" s="175">
        <f t="shared" si="3"/>
        <v>251855.29199999999</v>
      </c>
      <c r="AB22" s="175">
        <f t="shared" si="3"/>
        <v>254688.15399999998</v>
      </c>
      <c r="AC22" s="175">
        <f t="shared" si="3"/>
        <v>257581.01599999997</v>
      </c>
      <c r="AD22" s="175">
        <f t="shared" si="3"/>
        <v>260630.375</v>
      </c>
      <c r="AE22" s="175">
        <f t="shared" si="3"/>
        <v>264250.49699999997</v>
      </c>
      <c r="AF22" s="175">
        <f t="shared" si="3"/>
        <v>267585.17499999999</v>
      </c>
      <c r="AG22" s="175">
        <f t="shared" si="3"/>
        <v>270847.18900000001</v>
      </c>
      <c r="AH22" s="175">
        <f t="shared" si="3"/>
        <v>273977.359</v>
      </c>
    </row>
    <row r="23" spans="1:34">
      <c r="A23" s="10" t="s">
        <v>334</v>
      </c>
      <c r="B23" s="37"/>
      <c r="C23" s="300">
        <f>EIA_electricity_aeo2014!E50*1000+EIA_electricity_aeo2014!E55*1000</f>
        <v>11954</v>
      </c>
      <c r="D23" s="300">
        <f>EIA_electricity_aeo2014!F50*1000+EIA_electricity_aeo2014!F55*1000</f>
        <v>11956</v>
      </c>
      <c r="E23" s="300">
        <f>EIA_electricity_aeo2014!G50*1000+EIA_electricity_aeo2014!G55*1000</f>
        <v>3232.8969999999999</v>
      </c>
      <c r="F23" s="300">
        <f>EIA_electricity_aeo2014!H50*1000+EIA_electricity_aeo2014!H55*1000</f>
        <v>1320.3109999999999</v>
      </c>
      <c r="G23" s="300">
        <f>EIA_electricity_aeo2014!I50*1000+EIA_electricity_aeo2014!I55*1000</f>
        <v>290.11099999999999</v>
      </c>
      <c r="H23" s="300">
        <f>EIA_electricity_aeo2014!J50*1000+EIA_electricity_aeo2014!J55*1000</f>
        <v>288.04500000000002</v>
      </c>
      <c r="I23" s="300">
        <f>EIA_electricity_aeo2014!K50*1000+EIA_electricity_aeo2014!K55*1000</f>
        <v>294.90699999999998</v>
      </c>
      <c r="J23" s="300">
        <f>EIA_electricity_aeo2014!L50*1000+EIA_electricity_aeo2014!L55*1000</f>
        <v>302.91399999999999</v>
      </c>
      <c r="K23" s="300">
        <f>EIA_electricity_aeo2014!M50*1000+EIA_electricity_aeo2014!M55*1000</f>
        <v>371.13599999999997</v>
      </c>
      <c r="L23" s="300">
        <f>EIA_electricity_aeo2014!N50*1000+EIA_electricity_aeo2014!N55*1000</f>
        <v>372.26800000000003</v>
      </c>
      <c r="M23" s="300">
        <f>EIA_electricity_aeo2014!O50*1000+EIA_electricity_aeo2014!O55*1000</f>
        <v>372.35500000000002</v>
      </c>
      <c r="N23" s="300">
        <f>EIA_electricity_aeo2014!P50*1000+EIA_electricity_aeo2014!P55*1000</f>
        <v>370.59199999999998</v>
      </c>
      <c r="O23" s="300">
        <f>EIA_electricity_aeo2014!Q50*1000+EIA_electricity_aeo2014!Q55*1000</f>
        <v>372.89800000000002</v>
      </c>
      <c r="P23" s="300">
        <f>EIA_electricity_aeo2014!R50*1000+EIA_electricity_aeo2014!R55*1000</f>
        <v>376.08100000000002</v>
      </c>
      <c r="Q23" s="300">
        <f>EIA_electricity_aeo2014!S50*1000+EIA_electricity_aeo2014!S55*1000</f>
        <v>450.43399999999997</v>
      </c>
      <c r="R23" s="300">
        <f>EIA_electricity_aeo2014!T50*1000+EIA_electricity_aeo2014!T55*1000</f>
        <v>501.42399999999998</v>
      </c>
      <c r="S23" s="300">
        <f>EIA_electricity_aeo2014!U50*1000+EIA_electricity_aeo2014!U55*1000</f>
        <v>483.39400000000001</v>
      </c>
      <c r="T23" s="300">
        <f>EIA_electricity_aeo2014!V50*1000+EIA_electricity_aeo2014!V55*1000</f>
        <v>450.50600000000003</v>
      </c>
      <c r="U23" s="300">
        <f>EIA_electricity_aeo2014!W50*1000+EIA_electricity_aeo2014!W55*1000</f>
        <v>434.92999999999995</v>
      </c>
      <c r="V23" s="300">
        <f>EIA_electricity_aeo2014!X50*1000+EIA_electricity_aeo2014!X55*1000</f>
        <v>422.84399999999999</v>
      </c>
      <c r="W23" s="300">
        <f>EIA_electricity_aeo2014!Y50*1000+EIA_electricity_aeo2014!Y55*1000</f>
        <v>406.87400000000002</v>
      </c>
      <c r="X23" s="300">
        <f>EIA_electricity_aeo2014!Z50*1000+EIA_electricity_aeo2014!Z55*1000</f>
        <v>403.02</v>
      </c>
      <c r="Y23" s="300">
        <f>EIA_electricity_aeo2014!AA50*1000+EIA_electricity_aeo2014!AA55*1000</f>
        <v>401.27800000000002</v>
      </c>
      <c r="Z23" s="300">
        <f>EIA_electricity_aeo2014!AB50*1000+EIA_electricity_aeo2014!AB55*1000</f>
        <v>394.54200000000003</v>
      </c>
      <c r="AA23" s="300">
        <f>EIA_electricity_aeo2014!AC50*1000+EIA_electricity_aeo2014!AC55*1000</f>
        <v>392.99700000000001</v>
      </c>
      <c r="AB23" s="300">
        <f>EIA_electricity_aeo2014!AD50*1000+EIA_electricity_aeo2014!AD55*1000</f>
        <v>391.452</v>
      </c>
      <c r="AC23" s="300">
        <f>EIA_electricity_aeo2014!AE50*1000+EIA_electricity_aeo2014!AE55*1000</f>
        <v>392.29499999999996</v>
      </c>
      <c r="AD23" s="300">
        <f>EIA_electricity_aeo2014!AF50*1000+EIA_electricity_aeo2014!AF55*1000</f>
        <v>394.90499999999997</v>
      </c>
      <c r="AE23" s="300">
        <f>EIA_electricity_aeo2014!AG50*1000+EIA_electricity_aeo2014!AG55*1000</f>
        <v>394.69499999999999</v>
      </c>
      <c r="AF23" s="300">
        <f>EIA_electricity_aeo2014!AH50*1000+EIA_electricity_aeo2014!AH55*1000</f>
        <v>392.57900000000001</v>
      </c>
      <c r="AG23" s="300">
        <f>EIA_electricity_aeo2014!AI50*1000+EIA_electricity_aeo2014!AI55*1000</f>
        <v>391.67999999999995</v>
      </c>
      <c r="AH23" s="300">
        <f>EIA_electricity_aeo2014!AJ50*1000+EIA_electricity_aeo2014!AJ55*1000</f>
        <v>391.30999999999995</v>
      </c>
    </row>
    <row r="24" spans="1:34">
      <c r="A24" s="10" t="s">
        <v>351</v>
      </c>
      <c r="B24" s="37"/>
      <c r="C24" s="300">
        <f>SUM(C22:C23)</f>
        <v>217935.2</v>
      </c>
      <c r="D24" s="300">
        <f t="shared" ref="D24:AH24" si="4">SUM(D22:D23)</f>
        <v>229007.19999999998</v>
      </c>
      <c r="E24" s="300">
        <f t="shared" si="4"/>
        <v>206595.88200000001</v>
      </c>
      <c r="F24" s="300">
        <f t="shared" si="4"/>
        <v>207341.12700000001</v>
      </c>
      <c r="G24" s="300">
        <f t="shared" si="4"/>
        <v>200105.73199999999</v>
      </c>
      <c r="H24" s="83">
        <f t="shared" si="4"/>
        <v>199494.97400000002</v>
      </c>
      <c r="I24" s="83">
        <f t="shared" si="4"/>
        <v>202350.70199999999</v>
      </c>
      <c r="J24" s="83">
        <f t="shared" si="4"/>
        <v>203988.67199999999</v>
      </c>
      <c r="K24" s="83">
        <f t="shared" si="4"/>
        <v>206380.53599999999</v>
      </c>
      <c r="L24" s="83">
        <f t="shared" si="4"/>
        <v>208373.99300000002</v>
      </c>
      <c r="M24" s="83">
        <f t="shared" si="4"/>
        <v>210387.78300000002</v>
      </c>
      <c r="N24" s="359">
        <f t="shared" si="4"/>
        <v>210270.19700000001</v>
      </c>
      <c r="O24" s="83">
        <f t="shared" si="4"/>
        <v>212072.44299999997</v>
      </c>
      <c r="P24" s="83">
        <f t="shared" si="4"/>
        <v>214616.86300000001</v>
      </c>
      <c r="Q24" s="83">
        <f t="shared" si="4"/>
        <v>217630.908</v>
      </c>
      <c r="R24" s="83">
        <f t="shared" si="4"/>
        <v>222025.90500000003</v>
      </c>
      <c r="S24" s="83">
        <f t="shared" si="4"/>
        <v>226181.76699999999</v>
      </c>
      <c r="T24" s="83">
        <f t="shared" si="4"/>
        <v>230456.20699999999</v>
      </c>
      <c r="U24" s="83">
        <f t="shared" si="4"/>
        <v>234853.88200000001</v>
      </c>
      <c r="V24" s="83">
        <f t="shared" si="4"/>
        <v>239284.524</v>
      </c>
      <c r="W24" s="83">
        <f t="shared" si="4"/>
        <v>242088.636</v>
      </c>
      <c r="X24" s="185">
        <f t="shared" si="4"/>
        <v>244424.761</v>
      </c>
      <c r="Y24" s="175">
        <f t="shared" si="4"/>
        <v>246887.56</v>
      </c>
      <c r="Z24" s="175">
        <f t="shared" si="4"/>
        <v>249506.71699999998</v>
      </c>
      <c r="AA24" s="175">
        <f t="shared" si="4"/>
        <v>252248.28899999999</v>
      </c>
      <c r="AB24" s="175">
        <f t="shared" si="4"/>
        <v>255079.60599999997</v>
      </c>
      <c r="AC24" s="175">
        <f t="shared" si="4"/>
        <v>257973.31099999999</v>
      </c>
      <c r="AD24" s="175">
        <f t="shared" si="4"/>
        <v>261025.28</v>
      </c>
      <c r="AE24" s="175">
        <f t="shared" si="4"/>
        <v>264645.19199999998</v>
      </c>
      <c r="AF24" s="175">
        <f t="shared" si="4"/>
        <v>267977.75400000002</v>
      </c>
      <c r="AG24" s="175">
        <f t="shared" si="4"/>
        <v>271238.86900000001</v>
      </c>
      <c r="AH24" s="175">
        <f t="shared" si="4"/>
        <v>274368.66899999999</v>
      </c>
    </row>
    <row r="25" spans="1:34">
      <c r="A25" s="10" t="s">
        <v>352</v>
      </c>
      <c r="B25" s="37"/>
      <c r="C25" s="302">
        <f t="shared" ref="C25:AH25" si="5">C24/C4-1</f>
        <v>-4.9553559138493242E-5</v>
      </c>
      <c r="D25" s="302">
        <f t="shared" si="5"/>
        <v>-3.483392772178906E-4</v>
      </c>
      <c r="E25" s="302">
        <f t="shared" si="5"/>
        <v>7.7169586033571935E-3</v>
      </c>
      <c r="F25" s="302">
        <f t="shared" si="5"/>
        <v>8.3357654061380071E-3</v>
      </c>
      <c r="G25" s="302">
        <f t="shared" si="5"/>
        <v>8.6976229166308983E-3</v>
      </c>
      <c r="H25" s="82">
        <f t="shared" si="5"/>
        <v>9.5744430241164746E-3</v>
      </c>
      <c r="I25" s="82">
        <f t="shared" si="5"/>
        <v>1.0681364048796604E-2</v>
      </c>
      <c r="J25" s="82">
        <f t="shared" si="5"/>
        <v>1.1884439118065249E-2</v>
      </c>
      <c r="K25" s="82">
        <f t="shared" si="5"/>
        <v>1.1903262024819616E-2</v>
      </c>
      <c r="L25" s="82">
        <f t="shared" si="5"/>
        <v>1.1897642830655863E-2</v>
      </c>
      <c r="M25" s="82">
        <f t="shared" si="5"/>
        <v>1.1955598081536456E-2</v>
      </c>
      <c r="N25" s="200">
        <f t="shared" si="5"/>
        <v>1.2221960971286139E-2</v>
      </c>
      <c r="O25" s="82">
        <f t="shared" si="5"/>
        <v>1.241777900096297E-2</v>
      </c>
      <c r="P25" s="82">
        <f t="shared" si="5"/>
        <v>1.2558355767649187E-2</v>
      </c>
      <c r="Q25" s="82">
        <f t="shared" si="5"/>
        <v>1.2671655574957752E-2</v>
      </c>
      <c r="R25" s="82">
        <f t="shared" si="5"/>
        <v>1.2683054971792673E-2</v>
      </c>
      <c r="S25" s="82">
        <f t="shared" si="5"/>
        <v>1.2717882974266015E-2</v>
      </c>
      <c r="T25" s="82">
        <f t="shared" si="5"/>
        <v>1.2783332569316519E-2</v>
      </c>
      <c r="U25" s="82">
        <f t="shared" si="5"/>
        <v>1.2831825886991277E-2</v>
      </c>
      <c r="V25" s="82">
        <f t="shared" si="5"/>
        <v>1.2879762092553815E-2</v>
      </c>
      <c r="W25" s="82">
        <f t="shared" si="5"/>
        <v>1.3027424471075966E-2</v>
      </c>
      <c r="X25" s="186">
        <f t="shared" si="5"/>
        <v>1.3217937843030159E-2</v>
      </c>
      <c r="Y25" s="173">
        <f t="shared" si="5"/>
        <v>1.3418567784912572E-2</v>
      </c>
      <c r="Z25" s="173">
        <f t="shared" si="5"/>
        <v>1.3591242664427128E-2</v>
      </c>
      <c r="AA25" s="173">
        <f t="shared" si="5"/>
        <v>1.3789670682790467E-2</v>
      </c>
      <c r="AB25" s="173">
        <f t="shared" si="5"/>
        <v>1.411259442998869E-2</v>
      </c>
      <c r="AC25" s="173">
        <f t="shared" si="5"/>
        <v>1.4426140555905409E-2</v>
      </c>
      <c r="AD25" s="173">
        <f t="shared" si="5"/>
        <v>1.4742678190907021E-2</v>
      </c>
      <c r="AE25" s="173">
        <f t="shared" si="5"/>
        <v>1.5044860543304672E-2</v>
      </c>
      <c r="AF25" s="173">
        <f t="shared" si="5"/>
        <v>1.5375978143051361E-2</v>
      </c>
      <c r="AG25" s="173">
        <f t="shared" si="5"/>
        <v>1.571966041448758E-2</v>
      </c>
      <c r="AH25" s="173">
        <f t="shared" si="5"/>
        <v>1.607038824079754E-2</v>
      </c>
    </row>
    <row r="26" spans="1:34">
      <c r="A26" s="10"/>
      <c r="B26" s="37"/>
      <c r="C26" s="302"/>
      <c r="D26" s="302"/>
      <c r="E26" s="302"/>
      <c r="F26" s="302"/>
      <c r="G26" s="302"/>
      <c r="H26" s="82"/>
      <c r="I26" s="82"/>
      <c r="J26" s="82"/>
      <c r="K26" s="82"/>
      <c r="L26" s="82"/>
      <c r="M26" s="82"/>
      <c r="N26" s="184" t="s">
        <v>0</v>
      </c>
      <c r="O26" s="91" t="s">
        <v>0</v>
      </c>
      <c r="P26" s="82"/>
      <c r="Q26" s="82"/>
      <c r="R26" s="82"/>
      <c r="S26" s="82"/>
      <c r="T26" s="82"/>
      <c r="U26" s="82"/>
      <c r="V26" s="82"/>
      <c r="W26" s="82"/>
      <c r="X26" s="186" t="s">
        <v>0</v>
      </c>
    </row>
    <row r="27" spans="1:34">
      <c r="A27" s="10"/>
      <c r="B27" s="37"/>
      <c r="C27" s="302"/>
      <c r="D27" s="302"/>
      <c r="E27" s="302"/>
      <c r="F27" s="302"/>
      <c r="G27" s="302"/>
      <c r="H27" s="165"/>
      <c r="I27" s="165"/>
      <c r="J27" s="165"/>
      <c r="K27" s="165"/>
      <c r="L27" s="165"/>
      <c r="M27" s="165"/>
      <c r="N27" s="184"/>
      <c r="O27" s="165"/>
      <c r="P27" s="165"/>
      <c r="Q27" s="165"/>
      <c r="R27" s="165"/>
      <c r="S27" s="165"/>
      <c r="T27" s="165"/>
      <c r="U27" s="165"/>
      <c r="V27" s="165"/>
      <c r="W27" s="165"/>
      <c r="X27" s="186"/>
    </row>
    <row r="28" spans="1:34">
      <c r="A28" s="9" t="s">
        <v>131</v>
      </c>
      <c r="B28" s="37"/>
      <c r="C28" s="302">
        <f t="shared" ref="C28:K28" si="6">C10/C$18</f>
        <v>0.57364554584902427</v>
      </c>
      <c r="D28" s="302">
        <f t="shared" si="6"/>
        <v>0.58109455933257936</v>
      </c>
      <c r="E28" s="302">
        <f t="shared" si="6"/>
        <v>0.3846869618557523</v>
      </c>
      <c r="F28" s="302">
        <f t="shared" si="6"/>
        <v>0.35807205078656401</v>
      </c>
      <c r="G28" s="302">
        <f t="shared" si="6"/>
        <v>0.39390944796388877</v>
      </c>
      <c r="H28" s="165">
        <f t="shared" si="6"/>
        <v>0.43336929471601215</v>
      </c>
      <c r="I28" s="165">
        <f t="shared" si="6"/>
        <v>0.42937338441842554</v>
      </c>
      <c r="J28" s="165">
        <f t="shared" si="6"/>
        <v>0.50655791483462431</v>
      </c>
      <c r="K28" s="165">
        <f t="shared" si="6"/>
        <v>0.49521466646131262</v>
      </c>
      <c r="L28" s="165">
        <f t="shared" ref="L28:L34" si="7">L10/L$18</f>
        <v>0.49912906780352378</v>
      </c>
      <c r="M28" s="165">
        <f t="shared" ref="M28:AH28" si="8">M10/M$18</f>
        <v>0.49993755639142978</v>
      </c>
      <c r="N28" s="186">
        <f t="shared" si="8"/>
        <v>0.50159871617760166</v>
      </c>
      <c r="O28" s="165">
        <f t="shared" si="8"/>
        <v>0.50253540732253876</v>
      </c>
      <c r="P28" s="165">
        <f t="shared" si="8"/>
        <v>0.50448322101436105</v>
      </c>
      <c r="Q28" s="165">
        <f t="shared" si="8"/>
        <v>0.50818560468102236</v>
      </c>
      <c r="R28" s="165">
        <f t="shared" si="8"/>
        <v>0.50677548303101727</v>
      </c>
      <c r="S28" s="165">
        <f t="shared" si="8"/>
        <v>0.61824773224227125</v>
      </c>
      <c r="T28" s="165">
        <f t="shared" si="8"/>
        <v>0.62188771081229322</v>
      </c>
      <c r="U28" s="165">
        <f t="shared" si="8"/>
        <v>0.62382196925421984</v>
      </c>
      <c r="V28" s="165">
        <f t="shared" si="8"/>
        <v>0.62007107608895473</v>
      </c>
      <c r="W28" s="165">
        <f t="shared" si="8"/>
        <v>0.61383714165443259</v>
      </c>
      <c r="X28" s="186">
        <f t="shared" si="8"/>
        <v>0.61176974760589375</v>
      </c>
      <c r="Y28" s="173">
        <f t="shared" si="8"/>
        <v>0.60750957969369779</v>
      </c>
      <c r="Z28" s="173">
        <f t="shared" si="8"/>
        <v>0.60413518361473406</v>
      </c>
      <c r="AA28" s="173">
        <f t="shared" si="8"/>
        <v>0.59702016714865647</v>
      </c>
      <c r="AB28" s="173">
        <f t="shared" si="8"/>
        <v>0.58592951214265065</v>
      </c>
      <c r="AC28" s="173">
        <f t="shared" si="8"/>
        <v>0.57544547735203433</v>
      </c>
      <c r="AD28" s="173">
        <f t="shared" si="8"/>
        <v>0.56894769672121726</v>
      </c>
      <c r="AE28" s="173">
        <f t="shared" si="8"/>
        <v>0.54517385999288825</v>
      </c>
      <c r="AF28" s="173">
        <f t="shared" si="8"/>
        <v>0.54159889225201208</v>
      </c>
      <c r="AG28" s="173">
        <f t="shared" si="8"/>
        <v>0.53791831862021866</v>
      </c>
      <c r="AH28" s="173">
        <f t="shared" si="8"/>
        <v>0.53402823566340807</v>
      </c>
    </row>
    <row r="29" spans="1:34">
      <c r="A29" s="9" t="s">
        <v>52</v>
      </c>
      <c r="B29" s="37"/>
      <c r="C29" s="302">
        <f t="shared" ref="C29:K29" si="9">C11/C$18</f>
        <v>2.3093621008414828E-5</v>
      </c>
      <c r="D29" s="302">
        <f t="shared" si="9"/>
        <v>2.2690142886863699E-5</v>
      </c>
      <c r="E29" s="302">
        <f t="shared" si="9"/>
        <v>2.3960451262513316E-5</v>
      </c>
      <c r="F29" s="302">
        <f t="shared" si="9"/>
        <v>2.3493938129324776E-5</v>
      </c>
      <c r="G29" s="302">
        <f t="shared" si="9"/>
        <v>1.9213679771094364E-5</v>
      </c>
      <c r="H29" s="165">
        <f t="shared" si="9"/>
        <v>1.7046810251153893E-5</v>
      </c>
      <c r="I29" s="165">
        <f t="shared" si="9"/>
        <v>1.5957641780336004E-5</v>
      </c>
      <c r="J29" s="165">
        <f t="shared" si="9"/>
        <v>1.4572836428173892E-5</v>
      </c>
      <c r="K29" s="165">
        <f t="shared" si="9"/>
        <v>1.4879282668592203E-5</v>
      </c>
      <c r="L29" s="165">
        <f t="shared" si="7"/>
        <v>1.4733967678772862E-5</v>
      </c>
      <c r="M29" s="165">
        <f t="shared" ref="M29:AH29" si="10">M11/M$18</f>
        <v>1.4656403842316968E-5</v>
      </c>
      <c r="N29" s="186">
        <f t="shared" si="10"/>
        <v>1.4519330099597812E-5</v>
      </c>
      <c r="O29" s="165">
        <f t="shared" si="10"/>
        <v>1.4381250783688283E-5</v>
      </c>
      <c r="P29" s="165">
        <f t="shared" si="10"/>
        <v>1.4203837078522972E-5</v>
      </c>
      <c r="Q29" s="165">
        <f t="shared" si="10"/>
        <v>1.3969931761493422E-5</v>
      </c>
      <c r="R29" s="165">
        <f t="shared" si="10"/>
        <v>1.3876523172177081E-5</v>
      </c>
      <c r="S29" s="165">
        <f t="shared" si="10"/>
        <v>1.0633607659498188E-5</v>
      </c>
      <c r="T29" s="165">
        <f t="shared" si="10"/>
        <v>1.0423744932379135E-5</v>
      </c>
      <c r="U29" s="165">
        <f t="shared" si="10"/>
        <v>1.0254055399441552E-5</v>
      </c>
      <c r="V29" s="165">
        <f t="shared" si="10"/>
        <v>1.0133777927843267E-5</v>
      </c>
      <c r="W29" s="165">
        <f t="shared" si="10"/>
        <v>9.9791056488014838E-6</v>
      </c>
      <c r="X29" s="186">
        <f t="shared" si="10"/>
        <v>9.7357104134745504E-6</v>
      </c>
      <c r="Y29" s="173">
        <f t="shared" si="10"/>
        <v>9.5437376660909796E-6</v>
      </c>
      <c r="Z29" s="173">
        <f t="shared" si="10"/>
        <v>9.4255343248222558E-6</v>
      </c>
      <c r="AA29" s="173">
        <f t="shared" si="10"/>
        <v>9.2640189921282789E-6</v>
      </c>
      <c r="AB29" s="173">
        <f t="shared" si="10"/>
        <v>9.0501946511340476E-6</v>
      </c>
      <c r="AC29" s="173">
        <f t="shared" si="10"/>
        <v>8.8456504844130304E-6</v>
      </c>
      <c r="AD29" s="173">
        <f t="shared" si="10"/>
        <v>8.7095646810638855E-6</v>
      </c>
      <c r="AE29" s="173">
        <f t="shared" si="10"/>
        <v>8.3095333755773388E-6</v>
      </c>
      <c r="AF29" s="173">
        <f t="shared" si="10"/>
        <v>8.2178613556557172E-6</v>
      </c>
      <c r="AG29" s="173">
        <f t="shared" si="10"/>
        <v>8.1250443678204012E-6</v>
      </c>
      <c r="AH29" s="173">
        <f t="shared" si="10"/>
        <v>8.0329833654346089E-6</v>
      </c>
    </row>
    <row r="30" spans="1:34">
      <c r="A30" s="9" t="s">
        <v>53</v>
      </c>
      <c r="B30" s="37"/>
      <c r="C30" s="302">
        <f t="shared" ref="C30:K30" si="11">C12/C$18</f>
        <v>0.42630824381533766</v>
      </c>
      <c r="D30" s="302">
        <f t="shared" si="11"/>
        <v>0.41886003769150387</v>
      </c>
      <c r="E30" s="302">
        <f t="shared" si="11"/>
        <v>0.56849093795366867</v>
      </c>
      <c r="F30" s="302">
        <f t="shared" si="11"/>
        <v>0.55531047462430316</v>
      </c>
      <c r="G30" s="302">
        <f t="shared" si="11"/>
        <v>0.52825764530090735</v>
      </c>
      <c r="H30" s="165">
        <f t="shared" si="11"/>
        <v>0.46868210308748237</v>
      </c>
      <c r="I30" s="165">
        <f t="shared" si="11"/>
        <v>0.43873669030945539</v>
      </c>
      <c r="J30" s="165">
        <f t="shared" si="11"/>
        <v>0.34080676475730298</v>
      </c>
      <c r="K30" s="165">
        <f t="shared" si="11"/>
        <v>0.34803564677362619</v>
      </c>
      <c r="L30" s="165">
        <f t="shared" si="7"/>
        <v>0.34461836894653641</v>
      </c>
      <c r="M30" s="165">
        <f t="shared" ref="M30:AH30" si="12">M12/M$18</f>
        <v>0.34284450401197802</v>
      </c>
      <c r="N30" s="186">
        <f t="shared" si="12"/>
        <v>0.33937525732790225</v>
      </c>
      <c r="O30" s="165">
        <f t="shared" si="12"/>
        <v>0.33607070375125286</v>
      </c>
      <c r="P30" s="165">
        <f t="shared" si="12"/>
        <v>0.33189168648137446</v>
      </c>
      <c r="Q30" s="165">
        <f t="shared" si="12"/>
        <v>0.32640941139774038</v>
      </c>
      <c r="R30" s="165">
        <f t="shared" si="12"/>
        <v>0.32421580541262385</v>
      </c>
      <c r="S30" s="165">
        <f t="shared" si="12"/>
        <v>0.24841543029621799</v>
      </c>
      <c r="T30" s="165">
        <f t="shared" si="12"/>
        <v>0.2434811697288902</v>
      </c>
      <c r="U30" s="165">
        <f t="shared" si="12"/>
        <v>0.23949176963883098</v>
      </c>
      <c r="V30" s="165">
        <f t="shared" si="12"/>
        <v>0.23665077180220759</v>
      </c>
      <c r="W30" s="165">
        <f t="shared" si="12"/>
        <v>0.23294525689166767</v>
      </c>
      <c r="X30" s="186">
        <f t="shared" si="12"/>
        <v>0.22712818516300903</v>
      </c>
      <c r="Y30" s="173">
        <f t="shared" si="12"/>
        <v>0.22251415243244438</v>
      </c>
      <c r="Z30" s="173">
        <f t="shared" si="12"/>
        <v>0.2196272029629808</v>
      </c>
      <c r="AA30" s="173">
        <f t="shared" si="12"/>
        <v>0.21574325349438098</v>
      </c>
      <c r="AB30" s="173">
        <f t="shared" si="12"/>
        <v>0.21066020436914254</v>
      </c>
      <c r="AC30" s="173">
        <f t="shared" si="12"/>
        <v>0.20579547382394661</v>
      </c>
      <c r="AD30" s="173">
        <f t="shared" si="12"/>
        <v>0.20254763302294507</v>
      </c>
      <c r="AE30" s="173">
        <f t="shared" si="12"/>
        <v>0.22846089800744951</v>
      </c>
      <c r="AF30" s="173">
        <f t="shared" si="12"/>
        <v>0.22594048307596781</v>
      </c>
      <c r="AG30" s="173">
        <f t="shared" si="12"/>
        <v>0.22338858859131158</v>
      </c>
      <c r="AH30" s="173">
        <f t="shared" si="12"/>
        <v>0.220857479042087</v>
      </c>
    </row>
    <row r="31" spans="1:34">
      <c r="A31" s="9" t="s">
        <v>353</v>
      </c>
      <c r="B31" s="37"/>
      <c r="C31" s="302">
        <f t="shared" ref="C31:K31" si="13">C13/C$18</f>
        <v>0</v>
      </c>
      <c r="D31" s="302">
        <f t="shared" si="13"/>
        <v>0</v>
      </c>
      <c r="E31" s="302">
        <f t="shared" si="13"/>
        <v>3.9848386890173268E-2</v>
      </c>
      <c r="F31" s="302">
        <f t="shared" si="13"/>
        <v>6.5918116906353005E-2</v>
      </c>
      <c r="G31" s="302">
        <f t="shared" si="13"/>
        <v>7.7793499477993133E-2</v>
      </c>
      <c r="H31" s="165">
        <f t="shared" si="13"/>
        <v>9.7913639188680249E-2</v>
      </c>
      <c r="I31" s="165">
        <f t="shared" si="13"/>
        <v>0.13185719614882738</v>
      </c>
      <c r="J31" s="165">
        <f t="shared" si="13"/>
        <v>0.15260543152055844</v>
      </c>
      <c r="K31" s="165">
        <f t="shared" si="13"/>
        <v>0.15671916935630778</v>
      </c>
      <c r="L31" s="165">
        <f t="shared" si="7"/>
        <v>0.15622234388223041</v>
      </c>
      <c r="M31" s="165">
        <f t="shared" ref="M31:AH31" si="14">M13/M$18</f>
        <v>0.15718787931231157</v>
      </c>
      <c r="N31" s="186">
        <f t="shared" si="14"/>
        <v>0.15899624734846177</v>
      </c>
      <c r="O31" s="165">
        <f t="shared" si="14"/>
        <v>0.16136439298085087</v>
      </c>
      <c r="P31" s="165">
        <f t="shared" si="14"/>
        <v>0.16359596043441638</v>
      </c>
      <c r="Q31" s="165">
        <f t="shared" si="14"/>
        <v>0.16537633159119436</v>
      </c>
      <c r="R31" s="165">
        <f t="shared" si="14"/>
        <v>0.16898025080733262</v>
      </c>
      <c r="S31" s="165">
        <f t="shared" si="14"/>
        <v>0.1333150279322011</v>
      </c>
      <c r="T31" s="165">
        <f t="shared" si="14"/>
        <v>0.13460974035796039</v>
      </c>
      <c r="U31" s="165">
        <f t="shared" si="14"/>
        <v>0.13666523003932501</v>
      </c>
      <c r="V31" s="165">
        <f t="shared" si="14"/>
        <v>0.14325726639252839</v>
      </c>
      <c r="W31" s="165">
        <f t="shared" si="14"/>
        <v>0.15319703451715766</v>
      </c>
      <c r="X31" s="186">
        <f t="shared" si="14"/>
        <v>0.16108200193193492</v>
      </c>
      <c r="Y31" s="173">
        <f t="shared" si="14"/>
        <v>0.16995650279315139</v>
      </c>
      <c r="Z31" s="173">
        <f t="shared" si="14"/>
        <v>0.17621799888535514</v>
      </c>
      <c r="AA31" s="173">
        <f t="shared" si="14"/>
        <v>0.1872171156530599</v>
      </c>
      <c r="AB31" s="173">
        <f t="shared" si="14"/>
        <v>0.20339072601756564</v>
      </c>
      <c r="AC31" s="173">
        <f t="shared" si="14"/>
        <v>0.218738871895264</v>
      </c>
      <c r="AD31" s="173">
        <f t="shared" si="14"/>
        <v>0.22848332311280431</v>
      </c>
      <c r="AE31" s="173">
        <f t="shared" si="14"/>
        <v>0.22634263175934735</v>
      </c>
      <c r="AF31" s="173">
        <f t="shared" si="14"/>
        <v>0.23243440147643413</v>
      </c>
      <c r="AG31" s="173">
        <f t="shared" si="14"/>
        <v>0.23866034073462314</v>
      </c>
      <c r="AH31" s="173">
        <f t="shared" si="14"/>
        <v>0.2450696138740098</v>
      </c>
    </row>
    <row r="32" spans="1:34">
      <c r="A32" s="9" t="s">
        <v>354</v>
      </c>
      <c r="B32" s="37"/>
      <c r="C32" s="302">
        <f t="shared" ref="C32:K32" si="15">C14/C$18</f>
        <v>0</v>
      </c>
      <c r="D32" s="302">
        <f t="shared" si="15"/>
        <v>0</v>
      </c>
      <c r="E32" s="302">
        <f t="shared" si="15"/>
        <v>6.9485308661288618E-3</v>
      </c>
      <c r="F32" s="302">
        <f t="shared" si="15"/>
        <v>2.0674665553805802E-2</v>
      </c>
      <c r="G32" s="302">
        <f t="shared" si="15"/>
        <v>1.9213679771094364E-5</v>
      </c>
      <c r="H32" s="165">
        <f t="shared" si="15"/>
        <v>1.7046810251153893E-5</v>
      </c>
      <c r="I32" s="165">
        <f t="shared" si="15"/>
        <v>1.5957641780336004E-5</v>
      </c>
      <c r="J32" s="165">
        <f t="shared" si="15"/>
        <v>1.4572836428173892E-5</v>
      </c>
      <c r="K32" s="165">
        <f t="shared" si="15"/>
        <v>1.4879282668592203E-5</v>
      </c>
      <c r="L32" s="165">
        <f t="shared" si="7"/>
        <v>1.4733967678772862E-5</v>
      </c>
      <c r="M32" s="165">
        <f t="shared" ref="M32:AH32" si="16">M14/M$18</f>
        <v>1.4656403842316968E-5</v>
      </c>
      <c r="N32" s="186">
        <f t="shared" si="16"/>
        <v>1.4519330099597812E-5</v>
      </c>
      <c r="O32" s="165">
        <f t="shared" si="16"/>
        <v>1.4381250783688283E-5</v>
      </c>
      <c r="P32" s="165">
        <f t="shared" si="16"/>
        <v>1.4203837078522972E-5</v>
      </c>
      <c r="Q32" s="165">
        <f t="shared" si="16"/>
        <v>1.3969931761493422E-5</v>
      </c>
      <c r="R32" s="165">
        <f t="shared" si="16"/>
        <v>1.3876523172177081E-5</v>
      </c>
      <c r="S32" s="165">
        <f t="shared" si="16"/>
        <v>1.0633607659498188E-5</v>
      </c>
      <c r="T32" s="165">
        <f t="shared" si="16"/>
        <v>1.0423744932379135E-5</v>
      </c>
      <c r="U32" s="165">
        <f t="shared" si="16"/>
        <v>1.0254055399441552E-5</v>
      </c>
      <c r="V32" s="165">
        <f t="shared" si="16"/>
        <v>1.0133777927843267E-5</v>
      </c>
      <c r="W32" s="165">
        <f t="shared" si="16"/>
        <v>9.9791056488014838E-6</v>
      </c>
      <c r="X32" s="186">
        <f t="shared" si="16"/>
        <v>9.7357104134745504E-6</v>
      </c>
      <c r="Y32" s="173">
        <f t="shared" si="16"/>
        <v>9.5437376660909796E-6</v>
      </c>
      <c r="Z32" s="173">
        <f t="shared" si="16"/>
        <v>9.4255343248222558E-6</v>
      </c>
      <c r="AA32" s="173">
        <f t="shared" si="16"/>
        <v>9.2640189921282789E-6</v>
      </c>
      <c r="AB32" s="173">
        <f t="shared" si="16"/>
        <v>9.0501946511340476E-6</v>
      </c>
      <c r="AC32" s="173">
        <f t="shared" si="16"/>
        <v>8.8456504844130304E-6</v>
      </c>
      <c r="AD32" s="173">
        <f t="shared" si="16"/>
        <v>8.7095646810638855E-6</v>
      </c>
      <c r="AE32" s="173">
        <f t="shared" si="16"/>
        <v>8.3095333755773388E-6</v>
      </c>
      <c r="AF32" s="173">
        <f t="shared" si="16"/>
        <v>8.2178613556557172E-6</v>
      </c>
      <c r="AG32" s="173">
        <f t="shared" si="16"/>
        <v>8.1250443678204012E-6</v>
      </c>
      <c r="AH32" s="173">
        <f t="shared" si="16"/>
        <v>8.0329833654346089E-6</v>
      </c>
    </row>
    <row r="33" spans="1:36">
      <c r="A33" s="9" t="s">
        <v>350</v>
      </c>
      <c r="B33" s="37"/>
      <c r="C33" s="302">
        <f t="shared" ref="C33:K33" si="17">C15/C$18</f>
        <v>2.3093621008414825E-8</v>
      </c>
      <c r="D33" s="302">
        <f t="shared" si="17"/>
        <v>2.2690142886863698E-8</v>
      </c>
      <c r="E33" s="302">
        <f t="shared" si="17"/>
        <v>2.3960451262513317E-8</v>
      </c>
      <c r="F33" s="302">
        <f t="shared" si="17"/>
        <v>2.3493938129324777E-8</v>
      </c>
      <c r="G33" s="302">
        <f t="shared" si="17"/>
        <v>1.9213679771094365E-8</v>
      </c>
      <c r="H33" s="165">
        <f t="shared" si="17"/>
        <v>1.7046810251153894E-8</v>
      </c>
      <c r="I33" s="165">
        <f t="shared" si="17"/>
        <v>1.5957641780336006E-8</v>
      </c>
      <c r="J33" s="165">
        <f t="shared" si="17"/>
        <v>1.4572836428173891E-8</v>
      </c>
      <c r="K33" s="165">
        <f t="shared" si="17"/>
        <v>1.4879282668592203E-8</v>
      </c>
      <c r="L33" s="165">
        <f t="shared" si="7"/>
        <v>1.4733967678772862E-8</v>
      </c>
      <c r="M33" s="165">
        <f t="shared" ref="M33:AH33" si="18">M15/M$18</f>
        <v>1.4656403842316969E-8</v>
      </c>
      <c r="N33" s="186">
        <f t="shared" si="18"/>
        <v>1.4519330099597812E-8</v>
      </c>
      <c r="O33" s="165">
        <f t="shared" si="18"/>
        <v>1.4381250783688285E-8</v>
      </c>
      <c r="P33" s="165">
        <f t="shared" si="18"/>
        <v>1.4203837078522972E-8</v>
      </c>
      <c r="Q33" s="165">
        <f t="shared" si="18"/>
        <v>1.3969931761493421E-8</v>
      </c>
      <c r="R33" s="165">
        <f t="shared" si="18"/>
        <v>1.3876523172177081E-8</v>
      </c>
      <c r="S33" s="165">
        <f t="shared" si="18"/>
        <v>1.0633607659498187E-8</v>
      </c>
      <c r="T33" s="165">
        <f t="shared" si="18"/>
        <v>1.0423744932379136E-8</v>
      </c>
      <c r="U33" s="165">
        <f t="shared" si="18"/>
        <v>1.0254055399441552E-8</v>
      </c>
      <c r="V33" s="165">
        <f t="shared" si="18"/>
        <v>1.0133777927843267E-8</v>
      </c>
      <c r="W33" s="165">
        <f t="shared" si="18"/>
        <v>9.9791056488014841E-9</v>
      </c>
      <c r="X33" s="186">
        <f t="shared" si="18"/>
        <v>9.7357104134745495E-9</v>
      </c>
      <c r="Y33" s="173">
        <f t="shared" si="18"/>
        <v>9.5437376660909799E-9</v>
      </c>
      <c r="Z33" s="173">
        <f t="shared" si="18"/>
        <v>9.4255343248222558E-9</v>
      </c>
      <c r="AA33" s="173">
        <f t="shared" si="18"/>
        <v>9.2640189921282785E-9</v>
      </c>
      <c r="AB33" s="173">
        <f t="shared" si="18"/>
        <v>9.0501946511340464E-9</v>
      </c>
      <c r="AC33" s="173">
        <f t="shared" si="18"/>
        <v>8.8456504844130301E-9</v>
      </c>
      <c r="AD33" s="173">
        <f t="shared" si="18"/>
        <v>8.7095646810638854E-9</v>
      </c>
      <c r="AE33" s="173">
        <f t="shared" si="18"/>
        <v>8.30953337557734E-9</v>
      </c>
      <c r="AF33" s="173">
        <f t="shared" si="18"/>
        <v>8.2178613556557176E-9</v>
      </c>
      <c r="AG33" s="173">
        <f t="shared" si="18"/>
        <v>8.125044367820402E-9</v>
      </c>
      <c r="AH33" s="173">
        <f t="shared" si="18"/>
        <v>8.0329833654346082E-9</v>
      </c>
    </row>
    <row r="34" spans="1:36">
      <c r="A34" s="9" t="s">
        <v>55</v>
      </c>
      <c r="B34" s="37"/>
      <c r="C34" s="302">
        <f t="shared" ref="C34:K34" si="19">C16/C$18</f>
        <v>2.3093621008414828E-5</v>
      </c>
      <c r="D34" s="302">
        <f t="shared" si="19"/>
        <v>2.2690142886863699E-5</v>
      </c>
      <c r="E34" s="302">
        <f t="shared" si="19"/>
        <v>1.1980225631256658E-6</v>
      </c>
      <c r="F34" s="302">
        <f t="shared" si="19"/>
        <v>1.1746969064662389E-6</v>
      </c>
      <c r="G34" s="302">
        <f t="shared" si="19"/>
        <v>9.6068398855471818E-7</v>
      </c>
      <c r="H34" s="165">
        <f t="shared" si="19"/>
        <v>8.5234051255769462E-7</v>
      </c>
      <c r="I34" s="165">
        <f t="shared" si="19"/>
        <v>7.9788208901680021E-7</v>
      </c>
      <c r="J34" s="165">
        <f t="shared" si="19"/>
        <v>7.2864182140869454E-7</v>
      </c>
      <c r="K34" s="165">
        <f t="shared" si="19"/>
        <v>7.4396413342961014E-7</v>
      </c>
      <c r="L34" s="165">
        <f t="shared" si="7"/>
        <v>7.3669838393864309E-7</v>
      </c>
      <c r="M34" s="165">
        <f t="shared" ref="M34:AH34" si="20">M16/M$18</f>
        <v>7.3282019211584846E-7</v>
      </c>
      <c r="N34" s="186">
        <f t="shared" si="20"/>
        <v>7.2596650497989055E-7</v>
      </c>
      <c r="O34" s="165">
        <f t="shared" si="20"/>
        <v>7.1906253918441419E-7</v>
      </c>
      <c r="P34" s="165">
        <f t="shared" si="20"/>
        <v>7.1019185392614856E-7</v>
      </c>
      <c r="Q34" s="165">
        <f t="shared" si="20"/>
        <v>6.9849658807467101E-7</v>
      </c>
      <c r="R34" s="165">
        <f t="shared" si="20"/>
        <v>6.9382615860885401E-7</v>
      </c>
      <c r="S34" s="165">
        <f t="shared" si="20"/>
        <v>5.3168038297490932E-7</v>
      </c>
      <c r="T34" s="165">
        <f t="shared" si="20"/>
        <v>5.2118724661895671E-7</v>
      </c>
      <c r="U34" s="165">
        <f t="shared" si="20"/>
        <v>5.1270276997207753E-7</v>
      </c>
      <c r="V34" s="165">
        <f t="shared" si="20"/>
        <v>6.0802667567059602E-7</v>
      </c>
      <c r="W34" s="165">
        <f t="shared" si="20"/>
        <v>5.9874633892808907E-7</v>
      </c>
      <c r="X34" s="186">
        <f t="shared" si="20"/>
        <v>5.8414262480847302E-7</v>
      </c>
      <c r="Y34" s="173">
        <f t="shared" si="20"/>
        <v>6.6806163662636855E-7</v>
      </c>
      <c r="Z34" s="173">
        <f t="shared" si="20"/>
        <v>7.5404274598578038E-7</v>
      </c>
      <c r="AA34" s="173">
        <f t="shared" si="20"/>
        <v>9.2640189921282777E-7</v>
      </c>
      <c r="AB34" s="173">
        <f t="shared" si="20"/>
        <v>1.4480311441814474E-6</v>
      </c>
      <c r="AC34" s="173">
        <f t="shared" si="20"/>
        <v>2.4767821356356485E-6</v>
      </c>
      <c r="AD34" s="173">
        <f t="shared" si="20"/>
        <v>3.9193041064787483E-6</v>
      </c>
      <c r="AE34" s="173">
        <f t="shared" si="20"/>
        <v>5.9828640304156849E-6</v>
      </c>
      <c r="AF34" s="173">
        <f t="shared" si="20"/>
        <v>9.7792550132303039E-6</v>
      </c>
      <c r="AG34" s="173">
        <f t="shared" si="20"/>
        <v>1.6493840066675415E-5</v>
      </c>
      <c r="AH34" s="173">
        <f t="shared" si="20"/>
        <v>2.8597420780947206E-5</v>
      </c>
    </row>
    <row r="35" spans="1:36">
      <c r="A35" s="10"/>
      <c r="B35" s="37"/>
      <c r="C35" s="302"/>
      <c r="D35" s="302"/>
      <c r="E35" s="302"/>
      <c r="F35" s="302"/>
      <c r="G35" s="302"/>
      <c r="H35" s="165"/>
      <c r="I35" s="165"/>
      <c r="J35" s="165"/>
      <c r="K35" s="165"/>
      <c r="L35" s="165"/>
      <c r="M35" s="165"/>
      <c r="N35" s="184"/>
      <c r="O35" s="165"/>
      <c r="P35" s="165"/>
      <c r="Q35" s="165"/>
      <c r="R35" s="165"/>
      <c r="S35" s="165"/>
      <c r="T35" s="165"/>
      <c r="U35" s="165"/>
      <c r="V35" s="165"/>
      <c r="W35" s="165"/>
      <c r="X35" s="186"/>
    </row>
    <row r="36" spans="1:36">
      <c r="A36" s="10"/>
      <c r="B36" s="37"/>
      <c r="C36" s="302"/>
      <c r="D36" s="302"/>
      <c r="E36" s="302"/>
      <c r="F36" s="302"/>
      <c r="G36" s="302"/>
      <c r="H36" s="165"/>
      <c r="I36" s="165"/>
      <c r="J36" s="165"/>
      <c r="K36" s="165"/>
      <c r="L36" s="165"/>
      <c r="M36" s="165"/>
      <c r="N36" s="184"/>
      <c r="O36" s="165"/>
      <c r="P36" s="165"/>
      <c r="Q36" s="165"/>
      <c r="R36" s="165"/>
      <c r="S36" s="165"/>
      <c r="T36" s="165"/>
      <c r="U36" s="165"/>
      <c r="V36" s="165"/>
      <c r="W36" s="165"/>
      <c r="X36" s="186"/>
    </row>
    <row r="37" spans="1:36">
      <c r="A37" s="10"/>
      <c r="B37" s="37"/>
      <c r="C37" s="302"/>
      <c r="D37" s="302"/>
      <c r="E37" s="302"/>
      <c r="F37" s="302"/>
      <c r="G37" s="302"/>
      <c r="H37" s="165"/>
      <c r="I37" s="165"/>
      <c r="J37" s="165"/>
      <c r="K37" s="165"/>
      <c r="L37" s="165"/>
      <c r="M37" s="165"/>
      <c r="N37" s="184"/>
      <c r="O37" s="165"/>
      <c r="P37" s="165"/>
      <c r="Q37" s="165"/>
      <c r="R37" s="165"/>
      <c r="S37" s="165"/>
      <c r="T37" s="165"/>
      <c r="U37" s="165"/>
      <c r="V37" s="165"/>
      <c r="W37" s="165"/>
      <c r="X37" s="186"/>
    </row>
    <row r="38" spans="1:36">
      <c r="A38" s="10"/>
      <c r="B38" s="37"/>
      <c r="C38" s="302"/>
      <c r="D38" s="302"/>
      <c r="E38" s="302"/>
      <c r="F38" s="302"/>
      <c r="G38" s="302"/>
      <c r="H38" s="165"/>
      <c r="I38" s="165"/>
      <c r="J38" s="165"/>
      <c r="K38" s="165"/>
      <c r="L38" s="165"/>
      <c r="M38" s="165"/>
      <c r="N38" s="184"/>
      <c r="O38" s="165"/>
      <c r="P38" s="165"/>
      <c r="Q38" s="165"/>
      <c r="R38" s="165"/>
      <c r="S38" s="165"/>
      <c r="T38" s="165"/>
      <c r="U38" s="165"/>
      <c r="V38" s="165"/>
      <c r="W38" s="165"/>
      <c r="X38" s="186"/>
    </row>
    <row r="39" spans="1:36">
      <c r="A39" s="1" t="s">
        <v>145</v>
      </c>
      <c r="B39" s="13"/>
      <c r="D39" s="303"/>
      <c r="E39" s="303"/>
      <c r="F39" s="303"/>
      <c r="G39" s="303"/>
      <c r="H39" s="16"/>
      <c r="I39" s="16"/>
      <c r="J39" s="16"/>
      <c r="K39" s="16"/>
      <c r="L39" s="16"/>
      <c r="M39" s="16"/>
      <c r="N39" s="360" t="s">
        <v>0</v>
      </c>
    </row>
    <row r="40" spans="1:36" ht="15">
      <c r="A40" s="8" t="s">
        <v>63</v>
      </c>
      <c r="B40" s="34">
        <v>0</v>
      </c>
      <c r="C40" s="301">
        <f>C5*Inputs!$C$44</f>
        <v>0</v>
      </c>
      <c r="D40" s="301">
        <f>D5*Inputs!$C$44</f>
        <v>0</v>
      </c>
      <c r="E40" s="301">
        <f>E5*Inputs!$C$44</f>
        <v>0</v>
      </c>
      <c r="F40" s="301">
        <f>F5*Inputs!$C$44</f>
        <v>0</v>
      </c>
      <c r="G40" s="301">
        <f>G5*Inputs!$C$44</f>
        <v>0</v>
      </c>
      <c r="H40" s="14">
        <f>H5*Inputs!$C$44</f>
        <v>0</v>
      </c>
      <c r="I40" s="14">
        <f>I5*Inputs!$C$44</f>
        <v>0</v>
      </c>
      <c r="J40" s="14">
        <f>J5*Inputs!$C$44</f>
        <v>0</v>
      </c>
      <c r="K40" s="14">
        <f>K5*Inputs!$C$44</f>
        <v>0</v>
      </c>
      <c r="L40" s="14">
        <f>L5*Inputs!$C$44</f>
        <v>0</v>
      </c>
      <c r="M40" s="14">
        <f>M5*Inputs!$C$44</f>
        <v>0</v>
      </c>
      <c r="N40" s="191">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8">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62</v>
      </c>
      <c r="B41" s="34">
        <v>0</v>
      </c>
      <c r="C41" s="301">
        <f>C6*Inputs!$C$47</f>
        <v>0</v>
      </c>
      <c r="D41" s="301">
        <f>D6*Inputs!$C$47</f>
        <v>0</v>
      </c>
      <c r="E41" s="301" t="s">
        <v>383</v>
      </c>
      <c r="F41" s="301">
        <f>F6*Inputs!$C$47</f>
        <v>0</v>
      </c>
      <c r="G41" s="301">
        <f>G6*Inputs!$C$47</f>
        <v>0</v>
      </c>
      <c r="H41" s="14">
        <f>H6*Inputs!$C$47</f>
        <v>0</v>
      </c>
      <c r="I41" s="14">
        <f>I6*Inputs!$C$47</f>
        <v>0</v>
      </c>
      <c r="J41" s="14">
        <f>J6*Inputs!$C$47</f>
        <v>0</v>
      </c>
      <c r="K41" s="14">
        <f>K6*Inputs!$C$47</f>
        <v>0</v>
      </c>
      <c r="L41" s="14">
        <f>L6*Inputs!$C$47</f>
        <v>0</v>
      </c>
      <c r="M41" s="14">
        <f>M6*Inputs!$C$47</f>
        <v>0</v>
      </c>
      <c r="N41" s="191">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8">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51</v>
      </c>
      <c r="B42" s="34">
        <v>0</v>
      </c>
      <c r="C42" s="301">
        <f>C7*Inputs!$C$48</f>
        <v>31.199984999999998</v>
      </c>
      <c r="D42" s="301">
        <f>D7*Inputs!$C$48</f>
        <v>26.549985</v>
      </c>
      <c r="E42" s="301">
        <f>E7*Inputs!$C$48</f>
        <v>0.74998500000000001</v>
      </c>
      <c r="F42" s="301">
        <f>F7*Inputs!$C$48</f>
        <v>0.89998500000000003</v>
      </c>
      <c r="G42" s="301">
        <f>G7*Inputs!$C$48</f>
        <v>5.5367849999999992</v>
      </c>
      <c r="H42" s="14">
        <f>H7*Inputs!$C$48</f>
        <v>5.6617349999999993</v>
      </c>
      <c r="I42" s="14">
        <f>I7*Inputs!$C$48</f>
        <v>5.7628349999999999</v>
      </c>
      <c r="J42" s="14">
        <f>J7*Inputs!$C$48</f>
        <v>5.8927350000000001</v>
      </c>
      <c r="K42" s="14">
        <f>K7*Inputs!$C$48</f>
        <v>5.9699850000000003</v>
      </c>
      <c r="L42" s="14">
        <f>L7*Inputs!$C$48</f>
        <v>5.9699850000000003</v>
      </c>
      <c r="M42" s="14">
        <f>M7*Inputs!$C$48</f>
        <v>5.9699850000000003</v>
      </c>
      <c r="N42" s="191">
        <f>N7*Inputs!$C$48</f>
        <v>5.9699850000000003</v>
      </c>
      <c r="O42" s="14">
        <f>O7*Inputs!$C$48</f>
        <v>5.9699850000000003</v>
      </c>
      <c r="P42" s="14">
        <f>P7*Inputs!$C$48</f>
        <v>5.9699850000000003</v>
      </c>
      <c r="Q42" s="14">
        <f>Q7*Inputs!$C$48</f>
        <v>5.9699850000000003</v>
      </c>
      <c r="R42" s="14">
        <f>R7*Inputs!$C$48</f>
        <v>5.9699850000000003</v>
      </c>
      <c r="S42" s="14">
        <f>S7*Inputs!$C$48</f>
        <v>5.9699850000000003</v>
      </c>
      <c r="T42" s="14">
        <f>T7*Inputs!$C$48</f>
        <v>5.9699850000000003</v>
      </c>
      <c r="U42" s="14">
        <f>U7*Inputs!$C$48</f>
        <v>5.9699850000000003</v>
      </c>
      <c r="V42" s="14">
        <f>V7*Inputs!$C$48</f>
        <v>5.9699850000000003</v>
      </c>
      <c r="W42" s="14">
        <f>W7*Inputs!$C$48</f>
        <v>5.9699850000000003</v>
      </c>
      <c r="X42" s="188">
        <f>X7*Inputs!$C$48</f>
        <v>5.9699850000000003</v>
      </c>
      <c r="Y42" s="14">
        <f>Y7*Inputs!$C$48</f>
        <v>5.9699850000000003</v>
      </c>
      <c r="Z42" s="14">
        <f>Z7*Inputs!$C$48</f>
        <v>5.9699850000000003</v>
      </c>
      <c r="AA42" s="14">
        <f>AA7*Inputs!$C$48</f>
        <v>5.9699850000000003</v>
      </c>
      <c r="AB42" s="14">
        <f>AB7*Inputs!$C$48</f>
        <v>5.9699850000000003</v>
      </c>
      <c r="AC42" s="14">
        <f>AC7*Inputs!$C$48</f>
        <v>5.9699850000000003</v>
      </c>
      <c r="AD42" s="14">
        <f>AD7*Inputs!$C$48</f>
        <v>5.9699850000000003</v>
      </c>
      <c r="AE42" s="14">
        <f>AE7*Inputs!$C$48</f>
        <v>5.9699850000000003</v>
      </c>
      <c r="AF42" s="14">
        <f>AF7*Inputs!$C$48</f>
        <v>5.9699850000000003</v>
      </c>
      <c r="AG42" s="14">
        <f>AG7*Inputs!$C$48</f>
        <v>5.9699850000000003</v>
      </c>
      <c r="AH42" s="14">
        <f>AH7*Inputs!$C$48</f>
        <v>5.9699850000000003</v>
      </c>
    </row>
    <row r="43" spans="1:36" ht="15">
      <c r="A43" s="8" t="s">
        <v>61</v>
      </c>
      <c r="B43" s="34">
        <v>0</v>
      </c>
      <c r="C43" s="301">
        <f>C8*Inputs!$C$53</f>
        <v>4076.5200000000004</v>
      </c>
      <c r="D43" s="301">
        <f>D8*Inputs!$C$53</f>
        <v>3351.0400000000004</v>
      </c>
      <c r="E43" s="301">
        <f>E8*Inputs!$C$53</f>
        <v>3082.0998600000003</v>
      </c>
      <c r="F43" s="301">
        <f>F8*Inputs!$C$53</f>
        <v>2501.8001400000003</v>
      </c>
      <c r="G43" s="301">
        <f>G8*Inputs!$C$53</f>
        <v>3384.8879400000005</v>
      </c>
      <c r="H43" s="14">
        <f>H8*Inputs!$C$53</f>
        <v>3377.8543400000008</v>
      </c>
      <c r="I43" s="14">
        <f>I8*Inputs!$C$53</f>
        <v>3483.9478800000006</v>
      </c>
      <c r="J43" s="14">
        <f>J8*Inputs!$C$53</f>
        <v>3517.1627400000002</v>
      </c>
      <c r="K43" s="14">
        <f>K8*Inputs!$C$53</f>
        <v>3517.1627400000002</v>
      </c>
      <c r="L43" s="14">
        <f>L8*Inputs!$C$53</f>
        <v>3517.1627400000002</v>
      </c>
      <c r="M43" s="14">
        <f>M8*Inputs!$C$53</f>
        <v>3517.1624600000005</v>
      </c>
      <c r="N43" s="191">
        <f>N8*Inputs!$C$53</f>
        <v>3517.1624600000005</v>
      </c>
      <c r="O43" s="14">
        <f>O8*Inputs!$C$53</f>
        <v>3517.1627400000002</v>
      </c>
      <c r="P43" s="14">
        <f>P8*Inputs!$C$53</f>
        <v>3517.1627400000002</v>
      </c>
      <c r="Q43" s="14">
        <f>Q8*Inputs!$C$53</f>
        <v>3517.1627400000002</v>
      </c>
      <c r="R43" s="14">
        <f>R8*Inputs!$C$53</f>
        <v>3517.1627400000002</v>
      </c>
      <c r="S43" s="14">
        <f>S8*Inputs!$C$53</f>
        <v>3517.1627400000002</v>
      </c>
      <c r="T43" s="14">
        <f>T8*Inputs!$C$53</f>
        <v>3517.1627400000002</v>
      </c>
      <c r="U43" s="14">
        <f>U8*Inputs!$C$53</f>
        <v>3517.1627400000002</v>
      </c>
      <c r="V43" s="14">
        <f>V8*Inputs!$C$53</f>
        <v>3634.1676000000002</v>
      </c>
      <c r="W43" s="14">
        <f>W8*Inputs!$C$53</f>
        <v>3818.7052400000002</v>
      </c>
      <c r="X43" s="188">
        <f>X8*Inputs!$C$53</f>
        <v>3869.0981000000006</v>
      </c>
      <c r="Y43" s="14">
        <f>Y8*Inputs!$C$53</f>
        <v>3992.2093400000003</v>
      </c>
      <c r="Z43" s="14">
        <f>Z8*Inputs!$C$53</f>
        <v>4023.2375400000005</v>
      </c>
      <c r="AA43" s="14">
        <f>AA8*Inputs!$C$53</f>
        <v>4171.6425799999997</v>
      </c>
      <c r="AB43" s="14">
        <f>AB8*Inputs!$C$53</f>
        <v>4333.5713400000004</v>
      </c>
      <c r="AC43" s="14">
        <f>AC8*Inputs!$C$53</f>
        <v>4503.0274800000007</v>
      </c>
      <c r="AD43" s="14">
        <f>AD8*Inputs!$C$53</f>
        <v>4953.0779200000006</v>
      </c>
      <c r="AE43" s="14">
        <f>AE8*Inputs!$C$53</f>
        <v>5591.7082200000004</v>
      </c>
      <c r="AF43" s="14">
        <f>AF8*Inputs!$C$53</f>
        <v>6282.9667600000012</v>
      </c>
      <c r="AG43" s="14">
        <f>AG8*Inputs!$C$53</f>
        <v>7024.8358600000001</v>
      </c>
      <c r="AH43" s="14">
        <f>AH8*Inputs!$C$53</f>
        <v>7761.8139200000005</v>
      </c>
    </row>
    <row r="44" spans="1:36" ht="15">
      <c r="A44" s="8" t="s">
        <v>127</v>
      </c>
      <c r="B44" s="34">
        <v>1</v>
      </c>
      <c r="C44" s="301">
        <f>C10*Inputs!$C$46</f>
        <v>521.64</v>
      </c>
      <c r="D44" s="301">
        <f>D10*Inputs!$C$46</f>
        <v>537.80999999999995</v>
      </c>
      <c r="E44" s="301">
        <f>E10*Inputs!$C$46</f>
        <v>337.15667999999999</v>
      </c>
      <c r="F44" s="301">
        <f>F10*Inputs!$C$46</f>
        <v>320.06183999999996</v>
      </c>
      <c r="G44" s="301">
        <f>G10*Inputs!$C$46</f>
        <v>430.53170999999998</v>
      </c>
      <c r="H44" s="14">
        <f>H10*Inputs!$C$46</f>
        <v>533.86851000000001</v>
      </c>
      <c r="I44" s="14">
        <f>I10*Inputs!$C$46</f>
        <v>565.04847000000007</v>
      </c>
      <c r="J44" s="14">
        <f>J10*Inputs!$C$46</f>
        <v>729.96881999999994</v>
      </c>
      <c r="K44" s="14">
        <f>K10*Inputs!$C$46</f>
        <v>698.92535999999996</v>
      </c>
      <c r="L44" s="14">
        <f>L10*Inputs!$C$46</f>
        <v>711.39768000000004</v>
      </c>
      <c r="M44" s="14">
        <f>M10*Inputs!$C$46</f>
        <v>716.32092</v>
      </c>
      <c r="N44" s="191">
        <f>N10*Inputs!$C$46</f>
        <v>725.48616000000004</v>
      </c>
      <c r="O44" s="14">
        <f>O10*Inputs!$C$46</f>
        <v>733.81958999999995</v>
      </c>
      <c r="P44" s="14">
        <f>P10*Inputs!$C$46</f>
        <v>745.86518999999998</v>
      </c>
      <c r="Q44" s="14">
        <f>Q10*Inputs!$C$46</f>
        <v>763.91909999999996</v>
      </c>
      <c r="R44" s="14">
        <f>R10*Inputs!$C$46</f>
        <v>766.92735000000005</v>
      </c>
      <c r="S44" s="14">
        <f>S10*Inputs!$C$46</f>
        <v>1220.9593199999999</v>
      </c>
      <c r="T44" s="14">
        <f>T10*Inputs!$C$46</f>
        <v>1252.87428</v>
      </c>
      <c r="U44" s="14">
        <f>U10*Inputs!$C$46</f>
        <v>1277.56881</v>
      </c>
      <c r="V44" s="14">
        <f>V10*Inputs!$C$46</f>
        <v>1284.9593399999999</v>
      </c>
      <c r="W44" s="14">
        <f>W10*Inputs!$C$46</f>
        <v>1291.75704</v>
      </c>
      <c r="X44" s="188">
        <f>X10*Inputs!$C$46</f>
        <v>1319.5919099999999</v>
      </c>
      <c r="Y44" s="14">
        <f>Y10*Inputs!$C$46</f>
        <v>1336.76151</v>
      </c>
      <c r="Z44" s="14">
        <f>Z10*Inputs!$C$46</f>
        <v>1346.00739</v>
      </c>
      <c r="AA44" s="14">
        <f>AA10*Inputs!$C$46</f>
        <v>1353.3460499999999</v>
      </c>
      <c r="AB44" s="14">
        <f>AB10*Inputs!$C$46</f>
        <v>1359.5862</v>
      </c>
      <c r="AC44" s="14">
        <f>AC10*Inputs!$C$46</f>
        <v>1366.13526</v>
      </c>
      <c r="AD44" s="14">
        <f>AD10*Inputs!$C$46</f>
        <v>1371.81387</v>
      </c>
      <c r="AE44" s="14">
        <f>AE10*Inputs!$C$46</f>
        <v>1377.77304</v>
      </c>
      <c r="AF44" s="14">
        <f>AF10*Inputs!$C$46</f>
        <v>1384.0068899999999</v>
      </c>
      <c r="AG44" s="14">
        <f>AG10*Inputs!$C$46</f>
        <v>1390.3043700000001</v>
      </c>
      <c r="AH44" s="14">
        <f>AH10*Inputs!$C$46</f>
        <v>1396.0682399999998</v>
      </c>
    </row>
    <row r="45" spans="1:36" ht="15">
      <c r="A45" s="8" t="s">
        <v>52</v>
      </c>
      <c r="B45" s="34">
        <v>1</v>
      </c>
      <c r="C45" s="301">
        <f>C11*Inputs!$C$49</f>
        <v>2.5000000000000001E-2</v>
      </c>
      <c r="D45" s="301">
        <f>D11*Inputs!$C$49</f>
        <v>2.5000000000000001E-2</v>
      </c>
      <c r="E45" s="301">
        <f>E11*Inputs!$C$49</f>
        <v>2.5000000000000001E-2</v>
      </c>
      <c r="F45" s="301">
        <f>F11*Inputs!$C$49</f>
        <v>2.5000000000000001E-2</v>
      </c>
      <c r="G45" s="301">
        <f>G11*Inputs!$C$49</f>
        <v>2.5000000000000001E-2</v>
      </c>
      <c r="H45" s="14">
        <f>H11*Inputs!$C$49</f>
        <v>2.5000000000000001E-2</v>
      </c>
      <c r="I45" s="14">
        <f>I11*Inputs!$C$49</f>
        <v>2.5000000000000001E-2</v>
      </c>
      <c r="J45" s="14">
        <f>J11*Inputs!$C$49</f>
        <v>2.5000000000000001E-2</v>
      </c>
      <c r="K45" s="14">
        <f>K11*Inputs!$C$49</f>
        <v>2.5000000000000001E-2</v>
      </c>
      <c r="L45" s="14">
        <f>L11*Inputs!$C$49</f>
        <v>2.5000000000000001E-2</v>
      </c>
      <c r="M45" s="14">
        <f>M11*Inputs!$C$49</f>
        <v>2.5000000000000001E-2</v>
      </c>
      <c r="N45" s="191">
        <f>N11*Inputs!$C$49</f>
        <v>2.5000000000000001E-2</v>
      </c>
      <c r="O45" s="14">
        <f>O11*Inputs!$C$49</f>
        <v>2.5000000000000001E-2</v>
      </c>
      <c r="P45" s="14">
        <f>P11*Inputs!$C$49</f>
        <v>2.5000000000000001E-2</v>
      </c>
      <c r="Q45" s="14">
        <f>Q11*Inputs!$C$49</f>
        <v>2.5000000000000001E-2</v>
      </c>
      <c r="R45" s="14">
        <f>R11*Inputs!$C$49</f>
        <v>2.5000000000000001E-2</v>
      </c>
      <c r="S45" s="14">
        <f>S11*Inputs!$C$49</f>
        <v>2.5000000000000001E-2</v>
      </c>
      <c r="T45" s="14">
        <f>T11*Inputs!$C$49</f>
        <v>2.5000000000000001E-2</v>
      </c>
      <c r="U45" s="14">
        <f>U11*Inputs!$C$49</f>
        <v>2.5000000000000001E-2</v>
      </c>
      <c r="V45" s="14">
        <f>V11*Inputs!$C$49</f>
        <v>2.5000000000000001E-2</v>
      </c>
      <c r="W45" s="14">
        <f>W11*Inputs!$C$49</f>
        <v>2.5000000000000001E-2</v>
      </c>
      <c r="X45" s="188">
        <f>X11*Inputs!$C$49</f>
        <v>2.5000000000000001E-2</v>
      </c>
      <c r="Y45" s="14">
        <f>Y11*Inputs!$C$49</f>
        <v>2.5000000000000001E-2</v>
      </c>
      <c r="Z45" s="14">
        <f>Z11*Inputs!$C$49</f>
        <v>2.5000000000000001E-2</v>
      </c>
      <c r="AA45" s="14">
        <f>AA11*Inputs!$C$49</f>
        <v>2.5000000000000001E-2</v>
      </c>
      <c r="AB45" s="14">
        <f>AB11*Inputs!$C$49</f>
        <v>2.5000000000000001E-2</v>
      </c>
      <c r="AC45" s="14">
        <f>AC11*Inputs!$C$49</f>
        <v>2.5000000000000001E-2</v>
      </c>
      <c r="AD45" s="14">
        <f>AD11*Inputs!$C$49</f>
        <v>2.5000000000000001E-2</v>
      </c>
      <c r="AE45" s="14">
        <f>AE11*Inputs!$C$49</f>
        <v>2.5000000000000001E-2</v>
      </c>
      <c r="AF45" s="14">
        <f>AF11*Inputs!$C$49</f>
        <v>2.5000000000000001E-2</v>
      </c>
      <c r="AG45" s="14">
        <f>AG11*Inputs!$C$49</f>
        <v>2.5000000000000001E-2</v>
      </c>
      <c r="AH45" s="14">
        <f>AH11*Inputs!$C$49</f>
        <v>2.5000000000000001E-2</v>
      </c>
    </row>
    <row r="46" spans="1:36" ht="15">
      <c r="A46" s="8" t="s">
        <v>53</v>
      </c>
      <c r="B46" s="34">
        <v>1</v>
      </c>
      <c r="C46" s="301">
        <f>C12*Inputs!$C$52</f>
        <v>276.89999999999998</v>
      </c>
      <c r="D46" s="301">
        <f>D12*Inputs!$C$52</f>
        <v>276.89999999999998</v>
      </c>
      <c r="E46" s="301">
        <f>E12*Inputs!$C$52</f>
        <v>355.89329999999995</v>
      </c>
      <c r="F46" s="301">
        <f>F12*Inputs!$C$52</f>
        <v>354.54495000000003</v>
      </c>
      <c r="G46" s="301">
        <f>G12*Inputs!$C$52</f>
        <v>412.40744999999998</v>
      </c>
      <c r="H46" s="14">
        <f>H12*Inputs!$C$52</f>
        <v>412.40744999999998</v>
      </c>
      <c r="I46" s="14">
        <f>I12*Inputs!$C$52</f>
        <v>412.40744999999998</v>
      </c>
      <c r="J46" s="14">
        <f>J12*Inputs!$C$52</f>
        <v>350.79659999999996</v>
      </c>
      <c r="K46" s="14">
        <f>K12*Inputs!$C$52</f>
        <v>350.85930000000002</v>
      </c>
      <c r="L46" s="14">
        <f>L12*Inputs!$C$52</f>
        <v>350.84070000000003</v>
      </c>
      <c r="M46" s="14">
        <f>M12*Inputs!$C$52</f>
        <v>350.88195000000002</v>
      </c>
      <c r="N46" s="191">
        <f>N12*Inputs!$C$52</f>
        <v>350.61045000000001</v>
      </c>
      <c r="O46" s="14">
        <f>O12*Inputs!$C$52</f>
        <v>350.53004999999996</v>
      </c>
      <c r="P46" s="14">
        <f>P12*Inputs!$C$52</f>
        <v>350.49509999999998</v>
      </c>
      <c r="Q46" s="14">
        <f>Q12*Inputs!$C$52</f>
        <v>350.47710000000001</v>
      </c>
      <c r="R46" s="14">
        <f>R12*Inputs!$C$52</f>
        <v>350.46510000000001</v>
      </c>
      <c r="S46" s="14">
        <f>S12*Inputs!$C$52</f>
        <v>350.42025000000001</v>
      </c>
      <c r="T46" s="14">
        <f>T12*Inputs!$C$52</f>
        <v>350.37479999999999</v>
      </c>
      <c r="U46" s="14">
        <f>U12*Inputs!$C$52</f>
        <v>350.33715000000001</v>
      </c>
      <c r="V46" s="14">
        <f>V12*Inputs!$C$52</f>
        <v>350.29004999999995</v>
      </c>
      <c r="W46" s="14">
        <f>W12*Inputs!$C$52</f>
        <v>350.14949999999999</v>
      </c>
      <c r="X46" s="188">
        <f>X12*Inputs!$C$52</f>
        <v>349.94085000000001</v>
      </c>
      <c r="Y46" s="14">
        <f>Y12*Inputs!$C$52</f>
        <v>349.72800000000001</v>
      </c>
      <c r="Z46" s="14">
        <f>Z12*Inputs!$C$52</f>
        <v>349.51949999999999</v>
      </c>
      <c r="AA46" s="14">
        <f>AA12*Inputs!$C$52</f>
        <v>349.3245</v>
      </c>
      <c r="AB46" s="14">
        <f>AB12*Inputs!$C$52</f>
        <v>349.15304999999995</v>
      </c>
      <c r="AC46" s="14">
        <f>AC12*Inputs!$C$52</f>
        <v>348.97739999999993</v>
      </c>
      <c r="AD46" s="14">
        <f>AD12*Inputs!$C$52</f>
        <v>348.83655000000005</v>
      </c>
      <c r="AE46" s="14">
        <f>AE12*Inputs!$C$52</f>
        <v>412.40744999999998</v>
      </c>
      <c r="AF46" s="14">
        <f>AF12*Inputs!$C$52</f>
        <v>412.40744999999998</v>
      </c>
      <c r="AG46" s="14">
        <f>AG12*Inputs!$C$52</f>
        <v>412.40744999999998</v>
      </c>
      <c r="AH46" s="14">
        <f>AH12*Inputs!$C$52</f>
        <v>412.40744999999998</v>
      </c>
    </row>
    <row r="47" spans="1:36" ht="15">
      <c r="A47" s="8" t="s">
        <v>353</v>
      </c>
      <c r="B47" s="34">
        <v>1</v>
      </c>
      <c r="C47" s="301">
        <f>C13*Inputs!$C$54</f>
        <v>0</v>
      </c>
      <c r="D47" s="301">
        <f>D13*Inputs!$C$54</f>
        <v>0</v>
      </c>
      <c r="E47" s="301">
        <f>E13*Inputs!$C$54</f>
        <v>131.38410999999999</v>
      </c>
      <c r="F47" s="301">
        <f>F13*Inputs!$C$54</f>
        <v>221.65425000000005</v>
      </c>
      <c r="G47" s="301">
        <f>G13*Inputs!$C$54</f>
        <v>319.85994000000005</v>
      </c>
      <c r="H47" s="14">
        <f>H13*Inputs!$C$54</f>
        <v>453.76099000000011</v>
      </c>
      <c r="I47" s="14">
        <f>I13*Inputs!$C$54</f>
        <v>652.77305000000001</v>
      </c>
      <c r="J47" s="14">
        <f>J13*Inputs!$C$54</f>
        <v>827.28089000000011</v>
      </c>
      <c r="K47" s="14">
        <f>K13*Inputs!$C$54</f>
        <v>832.08409000000006</v>
      </c>
      <c r="L47" s="14">
        <f>L13*Inputs!$C$54</f>
        <v>837.62673000000007</v>
      </c>
      <c r="M47" s="14">
        <f>M13*Inputs!$C$54</f>
        <v>847.26394000000016</v>
      </c>
      <c r="N47" s="191">
        <f>N13*Inputs!$C$54</f>
        <v>865.10214000000008</v>
      </c>
      <c r="O47" s="14">
        <f>O13*Inputs!$C$54</f>
        <v>886.41713000000004</v>
      </c>
      <c r="P47" s="14">
        <f>P13*Inputs!$C$54</f>
        <v>909.90066999999999</v>
      </c>
      <c r="Q47" s="14">
        <f>Q13*Inputs!$C$54</f>
        <v>935.2035800000001</v>
      </c>
      <c r="R47" s="14">
        <f>R13*Inputs!$C$54</f>
        <v>962.01617999999996</v>
      </c>
      <c r="S47" s="14">
        <f>S13*Inputs!$C$54</f>
        <v>990.43406000000004</v>
      </c>
      <c r="T47" s="14">
        <f>T13*Inputs!$C$54</f>
        <v>1020.18704</v>
      </c>
      <c r="U47" s="14">
        <f>U13*Inputs!$C$54</f>
        <v>1052.9056800000001</v>
      </c>
      <c r="V47" s="14">
        <f>V13*Inputs!$C$54</f>
        <v>1116.7921899999999</v>
      </c>
      <c r="W47" s="14">
        <f>W13*Inputs!$C$54</f>
        <v>1212.7906200000002</v>
      </c>
      <c r="X47" s="188">
        <f>X13*Inputs!$C$54</f>
        <v>1307.0929200000003</v>
      </c>
      <c r="Y47" s="14">
        <f>Y13*Inputs!$C$54</f>
        <v>1406.8454300000001</v>
      </c>
      <c r="Z47" s="14">
        <f>Z13*Inputs!$C$54</f>
        <v>1476.9689900000001</v>
      </c>
      <c r="AA47" s="14">
        <f>AA13*Inputs!$C$54</f>
        <v>1596.5157400000003</v>
      </c>
      <c r="AB47" s="14">
        <f>AB13*Inputs!$C$54</f>
        <v>1775.41677</v>
      </c>
      <c r="AC47" s="14">
        <f>AC13*Inputs!$C$54</f>
        <v>1953.54439</v>
      </c>
      <c r="AD47" s="14">
        <f>AD13*Inputs!$C$54</f>
        <v>2072.4551900000001</v>
      </c>
      <c r="AE47" s="14">
        <f>AE13*Inputs!$C$54</f>
        <v>2151.8738900000003</v>
      </c>
      <c r="AF47" s="14">
        <f>AF13*Inputs!$C$54</f>
        <v>2234.4399500000004</v>
      </c>
      <c r="AG47" s="14">
        <f>AG13*Inputs!$C$54</f>
        <v>2320.50018</v>
      </c>
      <c r="AH47" s="14">
        <f>AH13*Inputs!$C$54</f>
        <v>2410.1256800000001</v>
      </c>
    </row>
    <row r="48" spans="1:36" ht="15">
      <c r="A48" s="8" t="s">
        <v>354</v>
      </c>
      <c r="B48" s="34">
        <v>1</v>
      </c>
      <c r="C48" s="301">
        <f>C14*Inputs!$C$55</f>
        <v>0</v>
      </c>
      <c r="D48" s="301">
        <f>D14*Inputs!$C$55</f>
        <v>0</v>
      </c>
      <c r="E48" s="301">
        <f>E14*Inputs!$C$55</f>
        <v>6.67</v>
      </c>
      <c r="F48" s="301">
        <f>F14*Inputs!$C$55</f>
        <v>20.240000000000002</v>
      </c>
      <c r="G48" s="301">
        <f>G14*Inputs!$C$55</f>
        <v>2.3000000000000003E-2</v>
      </c>
      <c r="H48" s="14">
        <f>H14*Inputs!$C$55</f>
        <v>2.3000000000000003E-2</v>
      </c>
      <c r="I48" s="14">
        <f>I14*Inputs!$C$55</f>
        <v>2.3000000000000003E-2</v>
      </c>
      <c r="J48" s="14">
        <f>J14*Inputs!$C$55</f>
        <v>2.3000000000000003E-2</v>
      </c>
      <c r="K48" s="14">
        <f>K14*Inputs!$C$55</f>
        <v>2.3000000000000003E-2</v>
      </c>
      <c r="L48" s="14">
        <f>L14*Inputs!$C$55</f>
        <v>2.3000000000000003E-2</v>
      </c>
      <c r="M48" s="14">
        <f>M14*Inputs!$C$55</f>
        <v>2.3000000000000003E-2</v>
      </c>
      <c r="N48" s="191">
        <f>N14*Inputs!$C$55</f>
        <v>2.3000000000000003E-2</v>
      </c>
      <c r="O48" s="14">
        <f>O14*Inputs!$C$55</f>
        <v>2.3000000000000003E-2</v>
      </c>
      <c r="P48" s="14">
        <f>P14*Inputs!$C$55</f>
        <v>2.3000000000000003E-2</v>
      </c>
      <c r="Q48" s="14">
        <f>Q14*Inputs!$C$55</f>
        <v>2.3000000000000003E-2</v>
      </c>
      <c r="R48" s="14">
        <f>R14*Inputs!$C$55</f>
        <v>2.3000000000000003E-2</v>
      </c>
      <c r="S48" s="14">
        <f>S14*Inputs!$C$55</f>
        <v>2.3000000000000003E-2</v>
      </c>
      <c r="T48" s="14">
        <f>T14*Inputs!$C$55</f>
        <v>2.3000000000000003E-2</v>
      </c>
      <c r="U48" s="14">
        <f>U14*Inputs!$C$55</f>
        <v>2.3000000000000003E-2</v>
      </c>
      <c r="V48" s="14">
        <f>V14*Inputs!$C$55</f>
        <v>2.3000000000000003E-2</v>
      </c>
      <c r="W48" s="14">
        <f>W14*Inputs!$C$55</f>
        <v>2.3000000000000003E-2</v>
      </c>
      <c r="X48" s="188">
        <f>X14*Inputs!$C$55</f>
        <v>2.3000000000000003E-2</v>
      </c>
      <c r="Y48" s="14">
        <f>Y14*Inputs!$C$55</f>
        <v>2.3000000000000003E-2</v>
      </c>
      <c r="Z48" s="14">
        <f>Z14*Inputs!$C$55</f>
        <v>2.3000000000000003E-2</v>
      </c>
      <c r="AA48" s="14">
        <f>AA14*Inputs!$C$55</f>
        <v>2.3000000000000003E-2</v>
      </c>
      <c r="AB48" s="14">
        <f>AB14*Inputs!$C$55</f>
        <v>2.3000000000000003E-2</v>
      </c>
      <c r="AC48" s="14">
        <f>AC14*Inputs!$C$55</f>
        <v>2.3000000000000003E-2</v>
      </c>
      <c r="AD48" s="14">
        <f>AD14*Inputs!$C$55</f>
        <v>2.3000000000000003E-2</v>
      </c>
      <c r="AE48" s="14">
        <f>AE14*Inputs!$C$55</f>
        <v>2.3000000000000003E-2</v>
      </c>
      <c r="AF48" s="14">
        <f>AF14*Inputs!$C$55</f>
        <v>2.3000000000000003E-2</v>
      </c>
      <c r="AG48" s="14">
        <f>AG14*Inputs!$C$55</f>
        <v>2.3000000000000003E-2</v>
      </c>
      <c r="AH48" s="14">
        <f>AH14*Inputs!$C$55</f>
        <v>2.3000000000000003E-2</v>
      </c>
    </row>
    <row r="49" spans="1:34" ht="15">
      <c r="A49" s="8" t="s">
        <v>350</v>
      </c>
      <c r="B49" s="34">
        <v>1</v>
      </c>
      <c r="C49" s="301">
        <f>C15*Inputs!$C$51</f>
        <v>2.7000000000000002E-5</v>
      </c>
      <c r="D49" s="301">
        <f>D15*Inputs!$C$51</f>
        <v>2.7000000000000002E-5</v>
      </c>
      <c r="E49" s="301">
        <f>E15*Inputs!$C$51</f>
        <v>2.7000000000000002E-5</v>
      </c>
      <c r="F49" s="301">
        <f>F15*Inputs!$C$51</f>
        <v>2.7000000000000002E-5</v>
      </c>
      <c r="G49" s="301">
        <f>G15*Inputs!$C$51</f>
        <v>2.7000000000000002E-5</v>
      </c>
      <c r="H49" s="14">
        <f>H15*Inputs!$C$51</f>
        <v>2.7000000000000002E-5</v>
      </c>
      <c r="I49" s="14">
        <f>I15*Inputs!$C$51</f>
        <v>2.7000000000000002E-5</v>
      </c>
      <c r="J49" s="14">
        <f>J15*Inputs!$C$51</f>
        <v>2.7000000000000002E-5</v>
      </c>
      <c r="K49" s="14">
        <f>K15*Inputs!$C$51</f>
        <v>2.7000000000000002E-5</v>
      </c>
      <c r="L49" s="14">
        <f>L15*Inputs!$C$51</f>
        <v>2.7000000000000002E-5</v>
      </c>
      <c r="M49" s="14">
        <f>M15*Inputs!$C$51</f>
        <v>2.7000000000000002E-5</v>
      </c>
      <c r="N49" s="191">
        <f>N15*Inputs!$C$51</f>
        <v>2.7000000000000002E-5</v>
      </c>
      <c r="O49" s="14">
        <f>O15*Inputs!$C$51</f>
        <v>2.7000000000000002E-5</v>
      </c>
      <c r="P49" s="14">
        <f>P15*Inputs!$C$51</f>
        <v>2.7000000000000002E-5</v>
      </c>
      <c r="Q49" s="14">
        <f>Q15*Inputs!$C$51</f>
        <v>2.7000000000000002E-5</v>
      </c>
      <c r="R49" s="14">
        <f>R15*Inputs!$C$51</f>
        <v>2.7000000000000002E-5</v>
      </c>
      <c r="S49" s="14">
        <f>S15*Inputs!$C$51</f>
        <v>2.7000000000000002E-5</v>
      </c>
      <c r="T49" s="14">
        <f>T15*Inputs!$C$51</f>
        <v>2.7000000000000002E-5</v>
      </c>
      <c r="U49" s="14">
        <f>U15*Inputs!$C$51</f>
        <v>2.7000000000000002E-5</v>
      </c>
      <c r="V49" s="14">
        <f>V15*Inputs!$C$51</f>
        <v>2.7000000000000002E-5</v>
      </c>
      <c r="W49" s="14">
        <f>W15*Inputs!$C$51</f>
        <v>2.7000000000000002E-5</v>
      </c>
      <c r="X49" s="188">
        <f>X15*Inputs!$C$51</f>
        <v>2.7000000000000002E-5</v>
      </c>
      <c r="Y49" s="14">
        <f>Y15*Inputs!$C$51</f>
        <v>2.7000000000000002E-5</v>
      </c>
      <c r="Z49" s="14">
        <f>Z15*Inputs!$C$51</f>
        <v>2.7000000000000002E-5</v>
      </c>
      <c r="AA49" s="14">
        <f>AA15*Inputs!$C$51</f>
        <v>2.7000000000000002E-5</v>
      </c>
      <c r="AB49" s="14">
        <f>AB15*Inputs!$C$51</f>
        <v>2.7000000000000002E-5</v>
      </c>
      <c r="AC49" s="14">
        <f>AC15*Inputs!$C$51</f>
        <v>2.7000000000000002E-5</v>
      </c>
      <c r="AD49" s="14">
        <f>AD15*Inputs!$C$51</f>
        <v>2.7000000000000002E-5</v>
      </c>
      <c r="AE49" s="14">
        <f>AE15*Inputs!$C$51</f>
        <v>2.7000000000000002E-5</v>
      </c>
      <c r="AF49" s="14">
        <f>AF15*Inputs!$C$51</f>
        <v>2.7000000000000002E-5</v>
      </c>
      <c r="AG49" s="14">
        <f>AG15*Inputs!$C$51</f>
        <v>2.7000000000000002E-5</v>
      </c>
      <c r="AH49" s="14">
        <f>AH15*Inputs!$C$51</f>
        <v>2.7000000000000002E-5</v>
      </c>
    </row>
    <row r="50" spans="1:34" ht="15">
      <c r="A50" s="8" t="s">
        <v>55</v>
      </c>
      <c r="B50" s="34">
        <v>1</v>
      </c>
      <c r="C50" s="301">
        <f>C16*Inputs!$C$57</f>
        <v>1.7000000000000001E-2</v>
      </c>
      <c r="D50" s="301">
        <f>D16*Inputs!$C$57</f>
        <v>1.7000000000000001E-2</v>
      </c>
      <c r="E50" s="301">
        <f>E16*Inputs!$C$57</f>
        <v>8.5000000000000006E-4</v>
      </c>
      <c r="F50" s="301">
        <f>F16*Inputs!$C$57</f>
        <v>8.5000000000000006E-4</v>
      </c>
      <c r="G50" s="301">
        <f>G16*Inputs!$C$57</f>
        <v>8.5000000000000006E-4</v>
      </c>
      <c r="H50" s="14">
        <f>H16*Inputs!$C$57</f>
        <v>8.5000000000000006E-4</v>
      </c>
      <c r="I50" s="14">
        <f>I16*Inputs!$C$57</f>
        <v>8.5000000000000006E-4</v>
      </c>
      <c r="J50" s="14">
        <f>J16*Inputs!$C$57</f>
        <v>8.5000000000000006E-4</v>
      </c>
      <c r="K50" s="14">
        <f>K16*Inputs!$C$57</f>
        <v>8.5000000000000006E-4</v>
      </c>
      <c r="L50" s="14">
        <f>L16*Inputs!$C$57</f>
        <v>8.5000000000000006E-4</v>
      </c>
      <c r="M50" s="14">
        <f>M16*Inputs!$C$57</f>
        <v>8.5000000000000006E-4</v>
      </c>
      <c r="N50" s="191">
        <f>N16*Inputs!$C$57</f>
        <v>8.5000000000000006E-4</v>
      </c>
      <c r="O50" s="14">
        <f>O16*Inputs!$C$57</f>
        <v>8.5000000000000006E-4</v>
      </c>
      <c r="P50" s="14">
        <f>P16*Inputs!$C$57</f>
        <v>8.5000000000000006E-4</v>
      </c>
      <c r="Q50" s="14">
        <f>Q16*Inputs!$C$57</f>
        <v>8.5000000000000006E-4</v>
      </c>
      <c r="R50" s="14">
        <f>R16*Inputs!$C$57</f>
        <v>8.5000000000000006E-4</v>
      </c>
      <c r="S50" s="14">
        <f>S16*Inputs!$C$57</f>
        <v>8.5000000000000006E-4</v>
      </c>
      <c r="T50" s="14">
        <f>T16*Inputs!$C$57</f>
        <v>8.5000000000000006E-4</v>
      </c>
      <c r="U50" s="14">
        <f>U16*Inputs!$C$57</f>
        <v>8.5000000000000006E-4</v>
      </c>
      <c r="V50" s="14">
        <f>V16*Inputs!$C$57</f>
        <v>1.0200000000000001E-3</v>
      </c>
      <c r="W50" s="14">
        <f>W16*Inputs!$C$57</f>
        <v>1.0200000000000001E-3</v>
      </c>
      <c r="X50" s="188">
        <f>X16*Inputs!$C$57</f>
        <v>1.0200000000000001E-3</v>
      </c>
      <c r="Y50" s="14">
        <f>Y16*Inputs!$C$57</f>
        <v>1.1900000000000001E-3</v>
      </c>
      <c r="Z50" s="14">
        <f>Z16*Inputs!$C$57</f>
        <v>1.3600000000000001E-3</v>
      </c>
      <c r="AA50" s="14">
        <f>AA16*Inputs!$C$57</f>
        <v>1.7000000000000001E-3</v>
      </c>
      <c r="AB50" s="14">
        <f>AB16*Inputs!$C$57</f>
        <v>2.7200000000000002E-3</v>
      </c>
      <c r="AC50" s="14">
        <f>AC16*Inputs!$C$57</f>
        <v>4.7600000000000003E-3</v>
      </c>
      <c r="AD50" s="14">
        <f>AD16*Inputs!$C$57</f>
        <v>7.6500000000000014E-3</v>
      </c>
      <c r="AE50" s="14">
        <f>AE16*Inputs!$C$57</f>
        <v>1.2240000000000003E-2</v>
      </c>
      <c r="AF50" s="14">
        <f>AF16*Inputs!$C$57</f>
        <v>2.0230000000000001E-2</v>
      </c>
      <c r="AG50" s="14">
        <f>AG16*Inputs!$C$57</f>
        <v>3.4510000000000006E-2</v>
      </c>
      <c r="AH50" s="14">
        <f>AH16*Inputs!$C$57</f>
        <v>6.0520000000000004E-2</v>
      </c>
    </row>
    <row r="51" spans="1:34" s="20" customFormat="1" ht="15">
      <c r="A51" s="8" t="s">
        <v>134</v>
      </c>
      <c r="B51" s="38"/>
      <c r="C51" s="304">
        <f t="shared" ref="C51:AH51" si="21">SUMPRODUCT($B42:$B50,C42:C50)</f>
        <v>798.58202700000004</v>
      </c>
      <c r="D51" s="304">
        <f t="shared" si="21"/>
        <v>814.752027</v>
      </c>
      <c r="E51" s="304">
        <f t="shared" si="21"/>
        <v>831.12996699999985</v>
      </c>
      <c r="F51" s="304">
        <f t="shared" si="21"/>
        <v>916.52691700000003</v>
      </c>
      <c r="G51" s="304">
        <f t="shared" si="21"/>
        <v>1162.8479769999999</v>
      </c>
      <c r="H51" s="19">
        <f t="shared" si="21"/>
        <v>1400.0858270000001</v>
      </c>
      <c r="I51" s="19">
        <f t="shared" si="21"/>
        <v>1630.2778469999998</v>
      </c>
      <c r="J51" s="19">
        <f t="shared" si="21"/>
        <v>1908.0951869999997</v>
      </c>
      <c r="K51" s="19">
        <f t="shared" si="21"/>
        <v>1881.9176269999998</v>
      </c>
      <c r="L51" s="19">
        <f t="shared" si="21"/>
        <v>1899.9139870000001</v>
      </c>
      <c r="M51" s="19">
        <f t="shared" si="21"/>
        <v>1914.5156869999998</v>
      </c>
      <c r="N51" s="191">
        <f t="shared" si="21"/>
        <v>1941.247627</v>
      </c>
      <c r="O51" s="19">
        <f t="shared" si="21"/>
        <v>1970.8156469999999</v>
      </c>
      <c r="P51" s="19">
        <f t="shared" si="21"/>
        <v>2006.3098369999998</v>
      </c>
      <c r="Q51" s="19">
        <f t="shared" si="21"/>
        <v>2049.6486570000002</v>
      </c>
      <c r="R51" s="19">
        <f t="shared" si="21"/>
        <v>2079.4575070000001</v>
      </c>
      <c r="S51" s="19">
        <f t="shared" si="21"/>
        <v>2561.8625070000003</v>
      </c>
      <c r="T51" s="19">
        <f t="shared" si="21"/>
        <v>2623.484997</v>
      </c>
      <c r="U51" s="19">
        <f t="shared" si="21"/>
        <v>2680.8605170000005</v>
      </c>
      <c r="V51" s="19">
        <f t="shared" si="21"/>
        <v>2752.090627</v>
      </c>
      <c r="W51" s="19">
        <f t="shared" si="21"/>
        <v>2854.7462070000006</v>
      </c>
      <c r="X51" s="183">
        <f t="shared" si="21"/>
        <v>2976.6747270000005</v>
      </c>
      <c r="Y51" s="19">
        <f t="shared" si="21"/>
        <v>3093.3841570000004</v>
      </c>
      <c r="Z51" s="19">
        <f t="shared" si="21"/>
        <v>3172.5452670000004</v>
      </c>
      <c r="AA51" s="19">
        <f t="shared" si="21"/>
        <v>3299.2360170000002</v>
      </c>
      <c r="AB51" s="19">
        <f t="shared" si="21"/>
        <v>3484.2067670000001</v>
      </c>
      <c r="AC51" s="19">
        <f t="shared" si="21"/>
        <v>3668.7098370000003</v>
      </c>
      <c r="AD51" s="19">
        <f t="shared" si="21"/>
        <v>3793.1612870000004</v>
      </c>
      <c r="AE51" s="19">
        <f t="shared" si="21"/>
        <v>3942.1146470000003</v>
      </c>
      <c r="AF51" s="19">
        <f t="shared" si="21"/>
        <v>4030.9225470000006</v>
      </c>
      <c r="AG51" s="19">
        <f t="shared" si="21"/>
        <v>4123.2945370000007</v>
      </c>
      <c r="AH51" s="19">
        <f t="shared" si="21"/>
        <v>4218.7099170000001</v>
      </c>
    </row>
    <row r="52" spans="1:34" s="20" customFormat="1" ht="15">
      <c r="A52" s="27" t="s">
        <v>335</v>
      </c>
      <c r="B52" s="39"/>
      <c r="C52" s="304">
        <f>SUM(C40:C50)</f>
        <v>4906.3020120000001</v>
      </c>
      <c r="D52" s="304">
        <f t="shared" ref="D52:I52" si="22">SUM(D42:D50)</f>
        <v>4192.3420120000001</v>
      </c>
      <c r="E52" s="304">
        <f t="shared" si="22"/>
        <v>3913.979812</v>
      </c>
      <c r="F52" s="304">
        <f t="shared" si="22"/>
        <v>3419.227042</v>
      </c>
      <c r="G52" s="304">
        <f t="shared" si="22"/>
        <v>4553.2727020000011</v>
      </c>
      <c r="H52" s="19">
        <f t="shared" si="22"/>
        <v>4783.6019020000012</v>
      </c>
      <c r="I52" s="19">
        <f t="shared" si="22"/>
        <v>5119.9885620000014</v>
      </c>
      <c r="J52" s="19">
        <f t="shared" ref="J52:AH52" si="23">SUM(J42:J50)</f>
        <v>5431.150662</v>
      </c>
      <c r="K52" s="19">
        <f t="shared" si="23"/>
        <v>5405.0503520000011</v>
      </c>
      <c r="L52" s="19">
        <f t="shared" si="23"/>
        <v>5423.0467120000003</v>
      </c>
      <c r="M52" s="19">
        <f t="shared" si="23"/>
        <v>5437.6481320000003</v>
      </c>
      <c r="N52" s="191">
        <f t="shared" si="23"/>
        <v>5464.3800720000008</v>
      </c>
      <c r="O52" s="19">
        <f t="shared" si="23"/>
        <v>5493.9483720000007</v>
      </c>
      <c r="P52" s="19">
        <f t="shared" si="23"/>
        <v>5529.4425620000002</v>
      </c>
      <c r="Q52" s="19">
        <f t="shared" si="23"/>
        <v>5572.781382000001</v>
      </c>
      <c r="R52" s="19">
        <f t="shared" si="23"/>
        <v>5602.5902320000005</v>
      </c>
      <c r="S52" s="19">
        <f t="shared" si="23"/>
        <v>6084.9952320000002</v>
      </c>
      <c r="T52" s="19">
        <f t="shared" si="23"/>
        <v>6146.617722</v>
      </c>
      <c r="U52" s="19">
        <f t="shared" si="23"/>
        <v>6203.9932420000005</v>
      </c>
      <c r="V52" s="19">
        <f t="shared" si="23"/>
        <v>6392.2282119999991</v>
      </c>
      <c r="W52" s="19">
        <f t="shared" si="23"/>
        <v>6679.4214320000001</v>
      </c>
      <c r="X52" s="183">
        <f t="shared" si="23"/>
        <v>6851.7428120000004</v>
      </c>
      <c r="Y52" s="19">
        <f t="shared" si="23"/>
        <v>7091.5634820000005</v>
      </c>
      <c r="Z52" s="19">
        <f t="shared" si="23"/>
        <v>7201.7527920000011</v>
      </c>
      <c r="AA52" s="19">
        <f t="shared" si="23"/>
        <v>7476.8485819999987</v>
      </c>
      <c r="AB52" s="19">
        <f t="shared" si="23"/>
        <v>7823.7480919999998</v>
      </c>
      <c r="AC52" s="19">
        <f t="shared" si="23"/>
        <v>8177.7073019999998</v>
      </c>
      <c r="AD52" s="19">
        <f t="shared" si="23"/>
        <v>8752.2091919999984</v>
      </c>
      <c r="AE52" s="19">
        <f t="shared" si="23"/>
        <v>9539.7928519999987</v>
      </c>
      <c r="AF52" s="19">
        <f t="shared" si="23"/>
        <v>10319.859291999999</v>
      </c>
      <c r="AG52" s="19">
        <f t="shared" si="23"/>
        <v>11154.100381999999</v>
      </c>
      <c r="AH52" s="19">
        <f t="shared" si="23"/>
        <v>11986.493822000002</v>
      </c>
    </row>
    <row r="53" spans="1:34" s="20" customFormat="1" ht="15">
      <c r="A53" s="27" t="s">
        <v>336</v>
      </c>
      <c r="B53" s="39"/>
      <c r="C53" s="304">
        <f>C20*Inputs!$C$60</f>
        <v>5940.33</v>
      </c>
      <c r="D53" s="304">
        <f>D20*Inputs!$C$60</f>
        <v>6588.67</v>
      </c>
      <c r="E53" s="304">
        <f>E20*Inputs!$C$60</f>
        <v>5115.9995699999999</v>
      </c>
      <c r="F53" s="304">
        <f>F20*Inputs!$C$60</f>
        <v>4489.301190000001</v>
      </c>
      <c r="G53" s="304">
        <f>G20*Inputs!$C$60</f>
        <v>5356.2615699999997</v>
      </c>
      <c r="H53" s="19">
        <f>H20*Inputs!$C$60</f>
        <v>5389.3923600000007</v>
      </c>
      <c r="I53" s="19">
        <f>I20*Inputs!$C$60</f>
        <v>5458.1864699999996</v>
      </c>
      <c r="J53" s="19">
        <f>J20*Inputs!$C$60</f>
        <v>4361.22192</v>
      </c>
      <c r="K53" s="19">
        <f>K20*Inputs!$C$60</f>
        <v>4434.3805000000002</v>
      </c>
      <c r="L53" s="19">
        <f>L20*Inputs!$C$60</f>
        <v>4468.7437300000001</v>
      </c>
      <c r="M53" s="19">
        <f>M20*Inputs!$C$60</f>
        <v>4509.5174299999999</v>
      </c>
      <c r="N53" s="191">
        <f>N20*Inputs!$C$60</f>
        <v>4536.72703</v>
      </c>
      <c r="O53" s="19">
        <f>O20*Inputs!$C$60</f>
        <v>4565.4775099999997</v>
      </c>
      <c r="P53" s="19">
        <f>P20*Inputs!$C$60</f>
        <v>4590.4438799999998</v>
      </c>
      <c r="Q53" s="19">
        <f>Q20*Inputs!$C$60</f>
        <v>4613.9780500000006</v>
      </c>
      <c r="R53" s="19">
        <f>R20*Inputs!$C$60</f>
        <v>4642.5421899999992</v>
      </c>
      <c r="S53" s="19">
        <f>S20*Inputs!$C$60</f>
        <v>4415.4033000000009</v>
      </c>
      <c r="T53" s="19">
        <f>T20*Inputs!$C$60</f>
        <v>4402.8110500000003</v>
      </c>
      <c r="U53" s="19">
        <f>U20*Inputs!$C$60</f>
        <v>4400.8782400000009</v>
      </c>
      <c r="V53" s="19">
        <f>V20*Inputs!$C$60</f>
        <v>4400.2072399999997</v>
      </c>
      <c r="W53" s="19">
        <f>W20*Inputs!$C$60</f>
        <v>4397.0844500000003</v>
      </c>
      <c r="X53" s="183">
        <f>X20*Inputs!$C$60</f>
        <v>4392.872769999999</v>
      </c>
      <c r="Y53" s="19">
        <f>Y20*Inputs!$C$60</f>
        <v>4408.4112599999999</v>
      </c>
      <c r="Z53" s="19">
        <f>Z20*Inputs!$C$60</f>
        <v>4415.9731000000002</v>
      </c>
      <c r="AA53" s="19">
        <f>AA20*Inputs!$C$60</f>
        <v>4412.3341900000005</v>
      </c>
      <c r="AB53" s="19">
        <f>AB20*Inputs!$C$60</f>
        <v>4410.1660900000006</v>
      </c>
      <c r="AC53" s="19">
        <f>AC20*Inputs!$C$60</f>
        <v>4407.2488900000008</v>
      </c>
      <c r="AD53" s="19">
        <f>AD20*Inputs!$C$60</f>
        <v>4405.3832899999998</v>
      </c>
      <c r="AE53" s="19">
        <f>AE20*Inputs!$C$60</f>
        <v>4403.6696000000002</v>
      </c>
      <c r="AF53" s="19">
        <f>AF20*Inputs!$C$60</f>
        <v>4402.1765700000005</v>
      </c>
      <c r="AG53" s="19">
        <f>AG20*Inputs!$C$60</f>
        <v>4400.5933400000004</v>
      </c>
      <c r="AH53" s="19">
        <f>AH20*Inputs!$C$60</f>
        <v>4399.0273799999995</v>
      </c>
    </row>
    <row r="54" spans="1:34" s="20" customFormat="1" ht="15">
      <c r="A54" s="27" t="s">
        <v>228</v>
      </c>
      <c r="B54" s="39"/>
      <c r="C54" s="304">
        <f>C21*Inputs!$C$61</f>
        <v>13015.42</v>
      </c>
      <c r="D54" s="304">
        <f>D21*Inputs!$C$61</f>
        <v>14149.739999999998</v>
      </c>
      <c r="E54" s="304">
        <f>E21*Inputs!$C$61</f>
        <v>14372.639050000002</v>
      </c>
      <c r="F54" s="304">
        <f>F21*Inputs!$C$61</f>
        <v>15738.422590000002</v>
      </c>
      <c r="G54" s="304">
        <f>G21*Inputs!$C$61</f>
        <v>13387.33286</v>
      </c>
      <c r="H54" s="19">
        <f>H21*Inputs!$C$61</f>
        <v>13219.90747</v>
      </c>
      <c r="I54" s="19">
        <f>I21*Inputs!$C$61</f>
        <v>13337.01237</v>
      </c>
      <c r="J54" s="19">
        <f>J21*Inputs!$C$61</f>
        <v>14521.576080000001</v>
      </c>
      <c r="K54" s="19">
        <f>K21*Inputs!$C$61</f>
        <v>14719.507549999998</v>
      </c>
      <c r="L54" s="19">
        <f>L21*Inputs!$C$61</f>
        <v>14897.008830000001</v>
      </c>
      <c r="M54" s="19">
        <f>M21*Inputs!$C$61</f>
        <v>15073.7917</v>
      </c>
      <c r="N54" s="191">
        <f>N21*Inputs!$C$61</f>
        <v>15026.756030000002</v>
      </c>
      <c r="O54" s="19">
        <f>O21*Inputs!$C$61</f>
        <v>15188.72465</v>
      </c>
      <c r="P54" s="19">
        <f>P21*Inputs!$C$61</f>
        <v>15433.740520000001</v>
      </c>
      <c r="Q54" s="19">
        <f>Q21*Inputs!$C$61</f>
        <v>15720.605669999997</v>
      </c>
      <c r="R54" s="19">
        <f>R21*Inputs!$C$61</f>
        <v>16164.581950000003</v>
      </c>
      <c r="S54" s="19">
        <f>S21*Inputs!$C$61</f>
        <v>16609.09866</v>
      </c>
      <c r="T54" s="19">
        <f>T21*Inputs!$C$61</f>
        <v>17074.670140000002</v>
      </c>
      <c r="U54" s="19">
        <f>U21*Inputs!$C$61</f>
        <v>17544.597180000001</v>
      </c>
      <c r="V54" s="19">
        <f>V21*Inputs!$C$61</f>
        <v>17929.303480000002</v>
      </c>
      <c r="W54" s="19">
        <f>W21*Inputs!$C$61</f>
        <v>18080.816930000001</v>
      </c>
      <c r="X54" s="183">
        <f>X21*Inputs!$C$61</f>
        <v>18275.27405</v>
      </c>
      <c r="Y54" s="19">
        <f>Y21*Inputs!$C$61</f>
        <v>18411.3776</v>
      </c>
      <c r="Z54" s="19">
        <f>Z21*Inputs!$C$61</f>
        <v>18653.83036</v>
      </c>
      <c r="AA54" s="19">
        <f>AA21*Inputs!$C$61</f>
        <v>18822.261149999998</v>
      </c>
      <c r="AB54" s="19">
        <f>AB21*Inputs!$C$61</f>
        <v>18980.760479999997</v>
      </c>
      <c r="AC54" s="19">
        <f>AC21*Inputs!$C$61</f>
        <v>19140.642839999997</v>
      </c>
      <c r="AD54" s="19">
        <f>AD21*Inputs!$C$61</f>
        <v>19104.896580000001</v>
      </c>
      <c r="AE54" s="19">
        <f>AE21*Inputs!$C$61</f>
        <v>18942.24134</v>
      </c>
      <c r="AF54" s="19">
        <f>AF21*Inputs!$C$61</f>
        <v>18752.650179999997</v>
      </c>
      <c r="AG54" s="19">
        <f>AG21*Inputs!$C$61</f>
        <v>18514.86681</v>
      </c>
      <c r="AH54" s="19">
        <f>AH21*Inputs!$C$61</f>
        <v>18266.181779999999</v>
      </c>
    </row>
    <row r="55" spans="1:34" s="20" customFormat="1" ht="15">
      <c r="A55" s="27" t="s">
        <v>60</v>
      </c>
      <c r="B55" s="39"/>
      <c r="C55" s="304">
        <f>SUM(C52:C54)</f>
        <v>23862.052012</v>
      </c>
      <c r="D55" s="304">
        <f t="shared" ref="D55:AH55" si="24">SUM(D52:D54)</f>
        <v>24930.752011999997</v>
      </c>
      <c r="E55" s="304">
        <f t="shared" si="24"/>
        <v>23402.618432000003</v>
      </c>
      <c r="F55" s="304">
        <f t="shared" si="24"/>
        <v>23646.950822000003</v>
      </c>
      <c r="G55" s="304">
        <f t="shared" si="24"/>
        <v>23296.867131999999</v>
      </c>
      <c r="H55" s="19">
        <f t="shared" si="24"/>
        <v>23392.901732000002</v>
      </c>
      <c r="I55" s="19">
        <f t="shared" si="24"/>
        <v>23915.187402000003</v>
      </c>
      <c r="J55" s="19">
        <f t="shared" si="24"/>
        <v>24313.948662000003</v>
      </c>
      <c r="K55" s="19">
        <f t="shared" si="24"/>
        <v>24558.938402</v>
      </c>
      <c r="L55" s="19">
        <f t="shared" si="24"/>
        <v>24788.799272000004</v>
      </c>
      <c r="M55" s="19">
        <f t="shared" si="24"/>
        <v>25020.957262</v>
      </c>
      <c r="N55" s="191">
        <f t="shared" si="24"/>
        <v>25027.863132000006</v>
      </c>
      <c r="O55" s="19">
        <f t="shared" si="24"/>
        <v>25248.150532</v>
      </c>
      <c r="P55" s="19">
        <f t="shared" si="24"/>
        <v>25553.626962000002</v>
      </c>
      <c r="Q55" s="19">
        <f t="shared" si="24"/>
        <v>25907.365102</v>
      </c>
      <c r="R55" s="19">
        <f t="shared" si="24"/>
        <v>26409.714372000002</v>
      </c>
      <c r="S55" s="19">
        <f t="shared" si="24"/>
        <v>27109.497192000003</v>
      </c>
      <c r="T55" s="19">
        <f t="shared" si="24"/>
        <v>27624.098912000001</v>
      </c>
      <c r="U55" s="19">
        <f t="shared" si="24"/>
        <v>28149.468662000003</v>
      </c>
      <c r="V55" s="19">
        <f t="shared" si="24"/>
        <v>28721.738932</v>
      </c>
      <c r="W55" s="19">
        <f t="shared" si="24"/>
        <v>29157.322812000002</v>
      </c>
      <c r="X55" s="183">
        <f t="shared" si="24"/>
        <v>29519.889631999999</v>
      </c>
      <c r="Y55" s="19">
        <f t="shared" si="24"/>
        <v>29911.352341999998</v>
      </c>
      <c r="Z55" s="19">
        <f t="shared" si="24"/>
        <v>30271.556252000002</v>
      </c>
      <c r="AA55" s="19">
        <f t="shared" si="24"/>
        <v>30711.443921999999</v>
      </c>
      <c r="AB55" s="19">
        <f t="shared" si="24"/>
        <v>31214.674661999998</v>
      </c>
      <c r="AC55" s="19">
        <f t="shared" si="24"/>
        <v>31725.599031999998</v>
      </c>
      <c r="AD55" s="19">
        <f t="shared" si="24"/>
        <v>32262.489062000001</v>
      </c>
      <c r="AE55" s="19">
        <f t="shared" si="24"/>
        <v>32885.703792</v>
      </c>
      <c r="AF55" s="19">
        <f t="shared" si="24"/>
        <v>33474.686042000001</v>
      </c>
      <c r="AG55" s="19">
        <f t="shared" si="24"/>
        <v>34069.560532000003</v>
      </c>
      <c r="AH55" s="19">
        <f t="shared" si="24"/>
        <v>34651.702982000003</v>
      </c>
    </row>
    <row r="57" spans="1:34">
      <c r="A57" s="1" t="s">
        <v>146</v>
      </c>
      <c r="B57" s="13"/>
      <c r="D57" s="303"/>
      <c r="E57" s="303"/>
      <c r="F57" s="303"/>
      <c r="G57" s="303"/>
      <c r="H57" s="16"/>
      <c r="I57" s="16"/>
      <c r="J57" s="16"/>
      <c r="K57" s="16"/>
      <c r="L57" s="16"/>
      <c r="M57" s="16"/>
      <c r="N57" s="360" t="s">
        <v>0</v>
      </c>
    </row>
    <row r="58" spans="1:34" ht="15">
      <c r="A58" s="8" t="s">
        <v>63</v>
      </c>
      <c r="B58" s="34">
        <v>0</v>
      </c>
      <c r="C58" s="301">
        <f>C40*Inputs!$H44</f>
        <v>0</v>
      </c>
      <c r="D58" s="301">
        <f>D40*Inputs!$H44</f>
        <v>0</v>
      </c>
      <c r="E58" s="301">
        <f>E40*Inputs!$H44</f>
        <v>0</v>
      </c>
      <c r="F58" s="301">
        <f>F40*Inputs!$H44</f>
        <v>0</v>
      </c>
      <c r="G58" s="301">
        <f>G40*Inputs!$H44</f>
        <v>0</v>
      </c>
      <c r="H58" s="14">
        <f>H40*Inputs!$H44</f>
        <v>0</v>
      </c>
      <c r="I58" s="14">
        <f>I40*Inputs!$H44</f>
        <v>0</v>
      </c>
      <c r="J58" s="14">
        <f>J40*Inputs!$H44</f>
        <v>0</v>
      </c>
      <c r="K58" s="14">
        <f>K40*Inputs!$H44</f>
        <v>0</v>
      </c>
      <c r="L58" s="14">
        <f>L40*Inputs!$H44</f>
        <v>0</v>
      </c>
      <c r="M58" s="14">
        <f>M40*Inputs!$H44</f>
        <v>0</v>
      </c>
      <c r="N58" s="191">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8">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62</v>
      </c>
      <c r="B59" s="34">
        <v>0</v>
      </c>
      <c r="C59" s="301">
        <f>C41*Inputs!$H47</f>
        <v>0</v>
      </c>
      <c r="D59" s="301">
        <f>D41*Inputs!$H47</f>
        <v>0</v>
      </c>
      <c r="E59" s="301" t="s">
        <v>383</v>
      </c>
      <c r="F59" s="301">
        <f>F41*Inputs!$H47</f>
        <v>0</v>
      </c>
      <c r="G59" s="301">
        <f>G41*Inputs!$H47</f>
        <v>0</v>
      </c>
      <c r="H59" s="14">
        <f>H41*Inputs!$H47</f>
        <v>0</v>
      </c>
      <c r="I59" s="14">
        <f>I41*Inputs!$H47</f>
        <v>0</v>
      </c>
      <c r="J59" s="14">
        <f>J41*Inputs!$H47</f>
        <v>0</v>
      </c>
      <c r="K59" s="14">
        <f>K41*Inputs!$H47</f>
        <v>0</v>
      </c>
      <c r="L59" s="14">
        <f>L41*Inputs!$H47</f>
        <v>0</v>
      </c>
      <c r="M59" s="14">
        <f>M41*Inputs!$H47</f>
        <v>0</v>
      </c>
      <c r="N59" s="191">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8">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51</v>
      </c>
      <c r="B60" s="34">
        <v>0</v>
      </c>
      <c r="C60" s="301">
        <f>C42*Inputs!$H48</f>
        <v>28.0799865</v>
      </c>
      <c r="D60" s="301">
        <f>D42*Inputs!$H48</f>
        <v>23.894986500000002</v>
      </c>
      <c r="E60" s="301">
        <f>E42*Inputs!$H48</f>
        <v>0.67498650000000004</v>
      </c>
      <c r="F60" s="301">
        <f>F42*Inputs!$H48</f>
        <v>0.80998650000000005</v>
      </c>
      <c r="G60" s="301">
        <f>G42*Inputs!$H48</f>
        <v>4.983106499999999</v>
      </c>
      <c r="H60" s="14">
        <f>H42*Inputs!$H48</f>
        <v>5.0955614999999996</v>
      </c>
      <c r="I60" s="14">
        <f>I42*Inputs!$H48</f>
        <v>5.1865515000000002</v>
      </c>
      <c r="J60" s="14">
        <f>J42*Inputs!$H48</f>
        <v>5.3034615000000001</v>
      </c>
      <c r="K60" s="14">
        <f>K42*Inputs!$H48</f>
        <v>5.3729865000000006</v>
      </c>
      <c r="L60" s="14">
        <f>L42*Inputs!$H48</f>
        <v>5.3729865000000006</v>
      </c>
      <c r="M60" s="14">
        <f>M42*Inputs!$H48</f>
        <v>5.3729865000000006</v>
      </c>
      <c r="N60" s="191">
        <f>N42*Inputs!$H48</f>
        <v>5.3729865000000006</v>
      </c>
      <c r="O60" s="14">
        <f>O42*Inputs!$H48</f>
        <v>5.3729865000000006</v>
      </c>
      <c r="P60" s="14">
        <f>P42*Inputs!$H48</f>
        <v>5.3729865000000006</v>
      </c>
      <c r="Q60" s="14">
        <f>Q42*Inputs!$H48</f>
        <v>5.3729865000000006</v>
      </c>
      <c r="R60" s="14">
        <f>R42*Inputs!$H48</f>
        <v>5.3729865000000006</v>
      </c>
      <c r="S60" s="14">
        <f>S42*Inputs!$H48</f>
        <v>5.3729865000000006</v>
      </c>
      <c r="T60" s="14">
        <f>T42*Inputs!$H48</f>
        <v>5.3729865000000006</v>
      </c>
      <c r="U60" s="14">
        <f>U42*Inputs!$H48</f>
        <v>5.3729865000000006</v>
      </c>
      <c r="V60" s="14">
        <f>V42*Inputs!$H48</f>
        <v>5.3729865000000006</v>
      </c>
      <c r="W60" s="14">
        <f>W42*Inputs!$H48</f>
        <v>5.3729865000000006</v>
      </c>
      <c r="X60" s="188">
        <f>X42*Inputs!$H48</f>
        <v>5.3729865000000006</v>
      </c>
      <c r="Y60" s="14">
        <f>Y42*Inputs!$H48</f>
        <v>5.3729865000000006</v>
      </c>
      <c r="Z60" s="14">
        <f>Z42*Inputs!$H48</f>
        <v>5.3729865000000006</v>
      </c>
      <c r="AA60" s="14">
        <f>AA42*Inputs!$H48</f>
        <v>5.3729865000000006</v>
      </c>
      <c r="AB60" s="14">
        <f>AB42*Inputs!$H48</f>
        <v>5.3729865000000006</v>
      </c>
      <c r="AC60" s="14">
        <f>AC42*Inputs!$H48</f>
        <v>5.3729865000000006</v>
      </c>
      <c r="AD60" s="14">
        <f>AD42*Inputs!$H48</f>
        <v>5.3729865000000006</v>
      </c>
      <c r="AE60" s="14">
        <f>AE42*Inputs!$H48</f>
        <v>5.3729865000000006</v>
      </c>
      <c r="AF60" s="14">
        <f>AF42*Inputs!$H48</f>
        <v>5.3729865000000006</v>
      </c>
      <c r="AG60" s="14">
        <f>AG42*Inputs!$H48</f>
        <v>5.3729865000000006</v>
      </c>
      <c r="AH60" s="14">
        <f>AH42*Inputs!$H48</f>
        <v>5.3729865000000006</v>
      </c>
    </row>
    <row r="61" spans="1:34" ht="15">
      <c r="A61" s="8" t="s">
        <v>61</v>
      </c>
      <c r="B61" s="34">
        <v>0</v>
      </c>
      <c r="C61" s="301">
        <f>C43*Inputs!$H53</f>
        <v>3668.8680000000004</v>
      </c>
      <c r="D61" s="301">
        <f>D43*Inputs!$H53</f>
        <v>3015.9360000000006</v>
      </c>
      <c r="E61" s="301">
        <f>E43*Inputs!$H53</f>
        <v>2773.8898740000004</v>
      </c>
      <c r="F61" s="301">
        <f>F43*Inputs!$H53</f>
        <v>2251.6201260000003</v>
      </c>
      <c r="G61" s="301">
        <f>G43*Inputs!$H53</f>
        <v>3046.3991460000007</v>
      </c>
      <c r="H61" s="14">
        <f>H43*Inputs!$H53</f>
        <v>3040.0689060000009</v>
      </c>
      <c r="I61" s="14">
        <f>I43*Inputs!$H53</f>
        <v>3135.5530920000006</v>
      </c>
      <c r="J61" s="14">
        <f>J43*Inputs!$H53</f>
        <v>3165.4464660000003</v>
      </c>
      <c r="K61" s="14">
        <f>K43*Inputs!$H53</f>
        <v>3165.4464660000003</v>
      </c>
      <c r="L61" s="14">
        <f>L43*Inputs!$H53</f>
        <v>3165.4464660000003</v>
      </c>
      <c r="M61" s="14">
        <f>M43*Inputs!$H53</f>
        <v>3165.4462140000005</v>
      </c>
      <c r="N61" s="191">
        <f>N43*Inputs!$H53</f>
        <v>3165.4462140000005</v>
      </c>
      <c r="O61" s="14">
        <f>O43*Inputs!$H53</f>
        <v>3165.4464660000003</v>
      </c>
      <c r="P61" s="14">
        <f>P43*Inputs!$H53</f>
        <v>3165.4464660000003</v>
      </c>
      <c r="Q61" s="14">
        <f>Q43*Inputs!$H53</f>
        <v>3165.4464660000003</v>
      </c>
      <c r="R61" s="14">
        <f>R43*Inputs!$H53</f>
        <v>3165.4464660000003</v>
      </c>
      <c r="S61" s="14">
        <f>S43*Inputs!$H53</f>
        <v>3165.4464660000003</v>
      </c>
      <c r="T61" s="14">
        <f>T43*Inputs!$H53</f>
        <v>3165.4464660000003</v>
      </c>
      <c r="U61" s="14">
        <f>U43*Inputs!$H53</f>
        <v>3165.4464660000003</v>
      </c>
      <c r="V61" s="14">
        <f>V43*Inputs!$H53</f>
        <v>3270.7508400000002</v>
      </c>
      <c r="W61" s="14">
        <f>W43*Inputs!$H53</f>
        <v>3436.8347160000003</v>
      </c>
      <c r="X61" s="188">
        <f>X43*Inputs!$H53</f>
        <v>3482.1882900000005</v>
      </c>
      <c r="Y61" s="14">
        <f>Y43*Inputs!$H53</f>
        <v>3592.9884060000004</v>
      </c>
      <c r="Z61" s="14">
        <f>Z43*Inputs!$H53</f>
        <v>3620.9137860000005</v>
      </c>
      <c r="AA61" s="14">
        <f>AA43*Inputs!$H53</f>
        <v>3754.4783219999999</v>
      </c>
      <c r="AB61" s="14">
        <f>AB43*Inputs!$H53</f>
        <v>3900.2142060000006</v>
      </c>
      <c r="AC61" s="14">
        <f>AC43*Inputs!$H53</f>
        <v>4052.7247320000006</v>
      </c>
      <c r="AD61" s="14">
        <f>AD43*Inputs!$H53</f>
        <v>4457.770128000001</v>
      </c>
      <c r="AE61" s="14">
        <f>AE43*Inputs!$H53</f>
        <v>5032.5373980000004</v>
      </c>
      <c r="AF61" s="14">
        <f>AF43*Inputs!$H53</f>
        <v>5654.6700840000012</v>
      </c>
      <c r="AG61" s="14">
        <f>AG43*Inputs!$H53</f>
        <v>6322.3522739999999</v>
      </c>
      <c r="AH61" s="14">
        <f>AH43*Inputs!$H53</f>
        <v>6985.632528000001</v>
      </c>
    </row>
    <row r="62" spans="1:34" ht="15">
      <c r="A62" s="8" t="s">
        <v>127</v>
      </c>
      <c r="B62" s="34">
        <v>1</v>
      </c>
      <c r="C62" s="301">
        <f>C44*Inputs!$H46</f>
        <v>469.476</v>
      </c>
      <c r="D62" s="301">
        <f>D44*Inputs!$H46</f>
        <v>484.02899999999994</v>
      </c>
      <c r="E62" s="301">
        <f>E44*Inputs!$H46</f>
        <v>303.441012</v>
      </c>
      <c r="F62" s="301">
        <f>F44*Inputs!$H46</f>
        <v>288.055656</v>
      </c>
      <c r="G62" s="301">
        <f>G44*Inputs!$H46</f>
        <v>387.47853900000001</v>
      </c>
      <c r="H62" s="14">
        <f>H44*Inputs!$H46</f>
        <v>480.48165900000004</v>
      </c>
      <c r="I62" s="14">
        <f>I44*Inputs!$H46</f>
        <v>508.54362300000008</v>
      </c>
      <c r="J62" s="14">
        <f>J44*Inputs!$H46</f>
        <v>656.97193799999991</v>
      </c>
      <c r="K62" s="14">
        <f>K44*Inputs!$H46</f>
        <v>629.03282400000001</v>
      </c>
      <c r="L62" s="14">
        <f>L44*Inputs!$H46</f>
        <v>640.25791200000003</v>
      </c>
      <c r="M62" s="14">
        <f>M44*Inputs!$H46</f>
        <v>644.68882800000006</v>
      </c>
      <c r="N62" s="191">
        <f>N44*Inputs!$H46</f>
        <v>652.937544</v>
      </c>
      <c r="O62" s="14">
        <f>O44*Inputs!$H46</f>
        <v>660.43763100000001</v>
      </c>
      <c r="P62" s="14">
        <f>P44*Inputs!$H46</f>
        <v>671.27867100000003</v>
      </c>
      <c r="Q62" s="14">
        <f>Q44*Inputs!$H46</f>
        <v>687.52719000000002</v>
      </c>
      <c r="R62" s="14">
        <f>R44*Inputs!$H46</f>
        <v>690.23461500000008</v>
      </c>
      <c r="S62" s="14">
        <f>S44*Inputs!$H46</f>
        <v>1098.863388</v>
      </c>
      <c r="T62" s="14">
        <f>T44*Inputs!$H46</f>
        <v>1127.5868520000001</v>
      </c>
      <c r="U62" s="14">
        <f>U44*Inputs!$H46</f>
        <v>1149.811929</v>
      </c>
      <c r="V62" s="14">
        <f>V44*Inputs!$H46</f>
        <v>1156.4634059999998</v>
      </c>
      <c r="W62" s="14">
        <f>W44*Inputs!$H46</f>
        <v>1162.581336</v>
      </c>
      <c r="X62" s="188">
        <f>X44*Inputs!$H46</f>
        <v>1187.632719</v>
      </c>
      <c r="Y62" s="14">
        <f>Y44*Inputs!$H46</f>
        <v>1203.0853590000002</v>
      </c>
      <c r="Z62" s="14">
        <f>Z44*Inputs!$H46</f>
        <v>1211.406651</v>
      </c>
      <c r="AA62" s="14">
        <f>AA44*Inputs!$H46</f>
        <v>1218.0114449999999</v>
      </c>
      <c r="AB62" s="14">
        <f>AB44*Inputs!$H46</f>
        <v>1223.6275800000001</v>
      </c>
      <c r="AC62" s="14">
        <f>AC44*Inputs!$H46</f>
        <v>1229.5217340000002</v>
      </c>
      <c r="AD62" s="14">
        <f>AD44*Inputs!$H46</f>
        <v>1234.6324830000001</v>
      </c>
      <c r="AE62" s="14">
        <f>AE44*Inputs!$H46</f>
        <v>1239.9957360000001</v>
      </c>
      <c r="AF62" s="14">
        <f>AF44*Inputs!$H46</f>
        <v>1245.6062009999998</v>
      </c>
      <c r="AG62" s="14">
        <f>AG44*Inputs!$H46</f>
        <v>1251.2739330000002</v>
      </c>
      <c r="AH62" s="14">
        <f>AH44*Inputs!$H46</f>
        <v>1256.4614159999999</v>
      </c>
    </row>
    <row r="63" spans="1:34" ht="15">
      <c r="A63" s="8" t="s">
        <v>52</v>
      </c>
      <c r="B63" s="34">
        <v>1</v>
      </c>
      <c r="C63" s="301">
        <f>C45*Inputs!$H49</f>
        <v>2.2500000000000003E-2</v>
      </c>
      <c r="D63" s="301">
        <f>D45*Inputs!$H49</f>
        <v>2.2500000000000003E-2</v>
      </c>
      <c r="E63" s="301">
        <f>E45*Inputs!$H49</f>
        <v>2.2500000000000003E-2</v>
      </c>
      <c r="F63" s="301">
        <f>F45*Inputs!$H49</f>
        <v>2.2500000000000003E-2</v>
      </c>
      <c r="G63" s="301">
        <f>G45*Inputs!$H49</f>
        <v>2.2500000000000003E-2</v>
      </c>
      <c r="H63" s="14">
        <f>H45*Inputs!$H49</f>
        <v>2.2500000000000003E-2</v>
      </c>
      <c r="I63" s="14">
        <f>I45*Inputs!$H49</f>
        <v>2.2500000000000003E-2</v>
      </c>
      <c r="J63" s="14">
        <f>J45*Inputs!$H49</f>
        <v>2.2500000000000003E-2</v>
      </c>
      <c r="K63" s="14">
        <f>K45*Inputs!$H49</f>
        <v>2.2500000000000003E-2</v>
      </c>
      <c r="L63" s="14">
        <f>L45*Inputs!$H49</f>
        <v>2.2500000000000003E-2</v>
      </c>
      <c r="M63" s="14">
        <f>M45*Inputs!$H49</f>
        <v>2.2500000000000003E-2</v>
      </c>
      <c r="N63" s="191">
        <f>N45*Inputs!$H49</f>
        <v>2.2500000000000003E-2</v>
      </c>
      <c r="O63" s="14">
        <f>O45*Inputs!$H49</f>
        <v>2.2500000000000003E-2</v>
      </c>
      <c r="P63" s="14">
        <f>P45*Inputs!$H49</f>
        <v>2.2500000000000003E-2</v>
      </c>
      <c r="Q63" s="14">
        <f>Q45*Inputs!$H49</f>
        <v>2.2500000000000003E-2</v>
      </c>
      <c r="R63" s="14">
        <f>R45*Inputs!$H49</f>
        <v>2.2500000000000003E-2</v>
      </c>
      <c r="S63" s="14">
        <f>S45*Inputs!$H49</f>
        <v>2.2500000000000003E-2</v>
      </c>
      <c r="T63" s="14">
        <f>T45*Inputs!$H49</f>
        <v>2.2500000000000003E-2</v>
      </c>
      <c r="U63" s="14">
        <f>U45*Inputs!$H49</f>
        <v>2.2500000000000003E-2</v>
      </c>
      <c r="V63" s="14">
        <f>V45*Inputs!$H49</f>
        <v>2.2500000000000003E-2</v>
      </c>
      <c r="W63" s="14">
        <f>W45*Inputs!$H49</f>
        <v>2.2500000000000003E-2</v>
      </c>
      <c r="X63" s="188">
        <f>X45*Inputs!$H49</f>
        <v>2.2500000000000003E-2</v>
      </c>
      <c r="Y63" s="14">
        <f>Y45*Inputs!$H49</f>
        <v>2.2500000000000003E-2</v>
      </c>
      <c r="Z63" s="14">
        <f>Z45*Inputs!$H49</f>
        <v>2.2500000000000003E-2</v>
      </c>
      <c r="AA63" s="14">
        <f>AA45*Inputs!$H49</f>
        <v>2.2500000000000003E-2</v>
      </c>
      <c r="AB63" s="14">
        <f>AB45*Inputs!$H49</f>
        <v>2.2500000000000003E-2</v>
      </c>
      <c r="AC63" s="14">
        <f>AC45*Inputs!$H49</f>
        <v>2.2500000000000003E-2</v>
      </c>
      <c r="AD63" s="14">
        <f>AD45*Inputs!$H49</f>
        <v>2.2500000000000003E-2</v>
      </c>
      <c r="AE63" s="14">
        <f>AE45*Inputs!$H49</f>
        <v>2.2500000000000003E-2</v>
      </c>
      <c r="AF63" s="14">
        <f>AF45*Inputs!$H49</f>
        <v>2.2500000000000003E-2</v>
      </c>
      <c r="AG63" s="14">
        <f>AG45*Inputs!$H49</f>
        <v>2.2500000000000003E-2</v>
      </c>
      <c r="AH63" s="14">
        <f>AH45*Inputs!$H49</f>
        <v>2.2500000000000003E-2</v>
      </c>
    </row>
    <row r="64" spans="1:34" ht="15">
      <c r="A64" s="8" t="s">
        <v>53</v>
      </c>
      <c r="B64" s="34">
        <v>1</v>
      </c>
      <c r="C64" s="301">
        <f>C46*Inputs!$H52</f>
        <v>249.20999999999998</v>
      </c>
      <c r="D64" s="301">
        <f>D46*Inputs!$H52</f>
        <v>249.20999999999998</v>
      </c>
      <c r="E64" s="301">
        <f>E46*Inputs!$H52</f>
        <v>320.30396999999999</v>
      </c>
      <c r="F64" s="301">
        <f>F46*Inputs!$H52</f>
        <v>319.09045500000002</v>
      </c>
      <c r="G64" s="301">
        <f>G46*Inputs!$H52</f>
        <v>371.16670499999998</v>
      </c>
      <c r="H64" s="14">
        <f>H46*Inputs!$H52</f>
        <v>371.16670499999998</v>
      </c>
      <c r="I64" s="14">
        <f>I46*Inputs!$H52</f>
        <v>371.16670499999998</v>
      </c>
      <c r="J64" s="14">
        <f>J46*Inputs!$H52</f>
        <v>315.71693999999997</v>
      </c>
      <c r="K64" s="14">
        <f>K46*Inputs!$H52</f>
        <v>315.77337</v>
      </c>
      <c r="L64" s="14">
        <f>L46*Inputs!$H52</f>
        <v>315.75663000000003</v>
      </c>
      <c r="M64" s="14">
        <f>M46*Inputs!$H52</f>
        <v>315.79375500000003</v>
      </c>
      <c r="N64" s="191">
        <f>N46*Inputs!$H52</f>
        <v>315.54940500000004</v>
      </c>
      <c r="O64" s="14">
        <f>O46*Inputs!$H52</f>
        <v>315.47704499999998</v>
      </c>
      <c r="P64" s="14">
        <f>P46*Inputs!$H52</f>
        <v>315.44558999999998</v>
      </c>
      <c r="Q64" s="14">
        <f>Q46*Inputs!$H52</f>
        <v>315.42939000000001</v>
      </c>
      <c r="R64" s="14">
        <f>R46*Inputs!$H52</f>
        <v>315.41858999999999</v>
      </c>
      <c r="S64" s="14">
        <f>S46*Inputs!$H52</f>
        <v>315.37822500000004</v>
      </c>
      <c r="T64" s="14">
        <f>T46*Inputs!$H52</f>
        <v>315.33731999999998</v>
      </c>
      <c r="U64" s="14">
        <f>U46*Inputs!$H52</f>
        <v>315.30343500000004</v>
      </c>
      <c r="V64" s="14">
        <f>V46*Inputs!$H52</f>
        <v>315.26104499999997</v>
      </c>
      <c r="W64" s="14">
        <f>W46*Inputs!$H52</f>
        <v>315.13454999999999</v>
      </c>
      <c r="X64" s="188">
        <f>X46*Inputs!$H52</f>
        <v>314.94676500000003</v>
      </c>
      <c r="Y64" s="14">
        <f>Y46*Inputs!$H52</f>
        <v>314.7552</v>
      </c>
      <c r="Z64" s="14">
        <f>Z46*Inputs!$H52</f>
        <v>314.56754999999998</v>
      </c>
      <c r="AA64" s="14">
        <f>AA46*Inputs!$H52</f>
        <v>314.39204999999998</v>
      </c>
      <c r="AB64" s="14">
        <f>AB46*Inputs!$H52</f>
        <v>314.23774499999996</v>
      </c>
      <c r="AC64" s="14">
        <f>AC46*Inputs!$H52</f>
        <v>314.07965999999993</v>
      </c>
      <c r="AD64" s="14">
        <f>AD46*Inputs!$H52</f>
        <v>313.95289500000007</v>
      </c>
      <c r="AE64" s="14">
        <f>AE46*Inputs!$H52</f>
        <v>371.16670499999998</v>
      </c>
      <c r="AF64" s="14">
        <f>AF46*Inputs!$H52</f>
        <v>371.16670499999998</v>
      </c>
      <c r="AG64" s="14">
        <f>AG46*Inputs!$H52</f>
        <v>371.16670499999998</v>
      </c>
      <c r="AH64" s="14">
        <f>AH46*Inputs!$H52</f>
        <v>371.16670499999998</v>
      </c>
    </row>
    <row r="65" spans="1:34" ht="15">
      <c r="A65" s="8" t="s">
        <v>353</v>
      </c>
      <c r="B65" s="34">
        <v>1</v>
      </c>
      <c r="C65" s="301">
        <f>C47*Inputs!$H54</f>
        <v>0</v>
      </c>
      <c r="D65" s="301">
        <f>D47*Inputs!$H54</f>
        <v>0</v>
      </c>
      <c r="E65" s="301">
        <f>E47*Inputs!$H54</f>
        <v>118.245699</v>
      </c>
      <c r="F65" s="301">
        <f>F47*Inputs!$H54</f>
        <v>199.48882500000005</v>
      </c>
      <c r="G65" s="301">
        <f>G47*Inputs!$H54</f>
        <v>287.87394600000005</v>
      </c>
      <c r="H65" s="14">
        <f>H47*Inputs!$H54</f>
        <v>408.3848910000001</v>
      </c>
      <c r="I65" s="14">
        <f>I47*Inputs!$H54</f>
        <v>587.49574500000006</v>
      </c>
      <c r="J65" s="14">
        <f>J47*Inputs!$H54</f>
        <v>744.55280100000016</v>
      </c>
      <c r="K65" s="14">
        <f>K47*Inputs!$H54</f>
        <v>748.8756810000001</v>
      </c>
      <c r="L65" s="14">
        <f>L47*Inputs!$H54</f>
        <v>753.86405700000012</v>
      </c>
      <c r="M65" s="14">
        <f>M47*Inputs!$H54</f>
        <v>762.53754600000013</v>
      </c>
      <c r="N65" s="191">
        <f>N47*Inputs!$H54</f>
        <v>778.59192600000006</v>
      </c>
      <c r="O65" s="14">
        <f>O47*Inputs!$H54</f>
        <v>797.77541700000006</v>
      </c>
      <c r="P65" s="14">
        <f>P47*Inputs!$H54</f>
        <v>818.91060300000004</v>
      </c>
      <c r="Q65" s="14">
        <f>Q47*Inputs!$H54</f>
        <v>841.68322200000011</v>
      </c>
      <c r="R65" s="14">
        <f>R47*Inputs!$H54</f>
        <v>865.81456200000002</v>
      </c>
      <c r="S65" s="14">
        <f>S47*Inputs!$H54</f>
        <v>891.39065400000004</v>
      </c>
      <c r="T65" s="14">
        <f>T47*Inputs!$H54</f>
        <v>918.16833600000007</v>
      </c>
      <c r="U65" s="14">
        <f>U47*Inputs!$H54</f>
        <v>947.61511200000007</v>
      </c>
      <c r="V65" s="14">
        <f>V47*Inputs!$H54</f>
        <v>1005.1129709999999</v>
      </c>
      <c r="W65" s="14">
        <f>W47*Inputs!$H54</f>
        <v>1091.5115580000002</v>
      </c>
      <c r="X65" s="188">
        <f>X47*Inputs!$H54</f>
        <v>1176.3836280000003</v>
      </c>
      <c r="Y65" s="14">
        <f>Y47*Inputs!$H54</f>
        <v>1266.160887</v>
      </c>
      <c r="Z65" s="14">
        <f>Z47*Inputs!$H54</f>
        <v>1329.272091</v>
      </c>
      <c r="AA65" s="14">
        <f>AA47*Inputs!$H54</f>
        <v>1436.8641660000003</v>
      </c>
      <c r="AB65" s="14">
        <f>AB47*Inputs!$H54</f>
        <v>1597.8750930000001</v>
      </c>
      <c r="AC65" s="14">
        <f>AC47*Inputs!$H54</f>
        <v>1758.1899510000001</v>
      </c>
      <c r="AD65" s="14">
        <f>AD47*Inputs!$H54</f>
        <v>1865.2096710000001</v>
      </c>
      <c r="AE65" s="14">
        <f>AE47*Inputs!$H54</f>
        <v>1936.6865010000004</v>
      </c>
      <c r="AF65" s="14">
        <f>AF47*Inputs!$H54</f>
        <v>2010.9959550000003</v>
      </c>
      <c r="AG65" s="14">
        <f>AG47*Inputs!$H54</f>
        <v>2088.4501620000001</v>
      </c>
      <c r="AH65" s="14">
        <f>AH47*Inputs!$H54</f>
        <v>2169.113112</v>
      </c>
    </row>
    <row r="66" spans="1:34" ht="15">
      <c r="A66" s="8" t="s">
        <v>354</v>
      </c>
      <c r="B66" s="34">
        <v>1</v>
      </c>
      <c r="C66" s="301">
        <f>C48*Inputs!$H55</f>
        <v>0</v>
      </c>
      <c r="D66" s="301">
        <f>D48*Inputs!$H55</f>
        <v>0</v>
      </c>
      <c r="E66" s="301">
        <f>E48*Inputs!$H55</f>
        <v>6.0030000000000001</v>
      </c>
      <c r="F66" s="301">
        <f>F48*Inputs!$H55</f>
        <v>18.216000000000001</v>
      </c>
      <c r="G66" s="301">
        <f>G48*Inputs!$H55</f>
        <v>2.0700000000000003E-2</v>
      </c>
      <c r="H66" s="14">
        <f>H48*Inputs!$H55</f>
        <v>2.0700000000000003E-2</v>
      </c>
      <c r="I66" s="14">
        <f>I48*Inputs!$H55</f>
        <v>2.0700000000000003E-2</v>
      </c>
      <c r="J66" s="14">
        <f>J48*Inputs!$H55</f>
        <v>2.0700000000000003E-2</v>
      </c>
      <c r="K66" s="14">
        <f>K48*Inputs!$H55</f>
        <v>2.0700000000000003E-2</v>
      </c>
      <c r="L66" s="14">
        <f>L48*Inputs!$H55</f>
        <v>2.0700000000000003E-2</v>
      </c>
      <c r="M66" s="14">
        <f>M48*Inputs!$H55</f>
        <v>2.0700000000000003E-2</v>
      </c>
      <c r="N66" s="191">
        <f>N48*Inputs!$H55</f>
        <v>2.0700000000000003E-2</v>
      </c>
      <c r="O66" s="14">
        <f>O48*Inputs!$H55</f>
        <v>2.0700000000000003E-2</v>
      </c>
      <c r="P66" s="14">
        <f>P48*Inputs!$H55</f>
        <v>2.0700000000000003E-2</v>
      </c>
      <c r="Q66" s="14">
        <f>Q48*Inputs!$H55</f>
        <v>2.0700000000000003E-2</v>
      </c>
      <c r="R66" s="14">
        <f>R48*Inputs!$H55</f>
        <v>2.0700000000000003E-2</v>
      </c>
      <c r="S66" s="14">
        <f>S48*Inputs!$H55</f>
        <v>2.0700000000000003E-2</v>
      </c>
      <c r="T66" s="14">
        <f>T48*Inputs!$H55</f>
        <v>2.0700000000000003E-2</v>
      </c>
      <c r="U66" s="14">
        <f>U48*Inputs!$H55</f>
        <v>2.0700000000000003E-2</v>
      </c>
      <c r="V66" s="14">
        <f>V48*Inputs!$H55</f>
        <v>2.0700000000000003E-2</v>
      </c>
      <c r="W66" s="14">
        <f>W48*Inputs!$H55</f>
        <v>2.0700000000000003E-2</v>
      </c>
      <c r="X66" s="188">
        <f>X48*Inputs!$H55</f>
        <v>2.0700000000000003E-2</v>
      </c>
      <c r="Y66" s="14">
        <f>Y48*Inputs!$H55</f>
        <v>2.0700000000000003E-2</v>
      </c>
      <c r="Z66" s="14">
        <f>Z48*Inputs!$H55</f>
        <v>2.0700000000000003E-2</v>
      </c>
      <c r="AA66" s="14">
        <f>AA48*Inputs!$H55</f>
        <v>2.0700000000000003E-2</v>
      </c>
      <c r="AB66" s="14">
        <f>AB48*Inputs!$H55</f>
        <v>2.0700000000000003E-2</v>
      </c>
      <c r="AC66" s="14">
        <f>AC48*Inputs!$H55</f>
        <v>2.0700000000000003E-2</v>
      </c>
      <c r="AD66" s="14">
        <f>AD48*Inputs!$H55</f>
        <v>2.0700000000000003E-2</v>
      </c>
      <c r="AE66" s="14">
        <f>AE48*Inputs!$H55</f>
        <v>2.0700000000000003E-2</v>
      </c>
      <c r="AF66" s="14">
        <f>AF48*Inputs!$H55</f>
        <v>2.0700000000000003E-2</v>
      </c>
      <c r="AG66" s="14">
        <f>AG48*Inputs!$H55</f>
        <v>2.0700000000000003E-2</v>
      </c>
      <c r="AH66" s="14">
        <f>AH48*Inputs!$H55</f>
        <v>2.0700000000000003E-2</v>
      </c>
    </row>
    <row r="67" spans="1:34" ht="15">
      <c r="A67" s="8" t="s">
        <v>350</v>
      </c>
      <c r="B67" s="34">
        <v>1</v>
      </c>
      <c r="C67" s="301">
        <f>C49*Inputs!$H51</f>
        <v>2.4300000000000001E-5</v>
      </c>
      <c r="D67" s="301">
        <f>D49*Inputs!$H51</f>
        <v>2.4300000000000001E-5</v>
      </c>
      <c r="E67" s="301">
        <f>E49*Inputs!$H51</f>
        <v>2.4300000000000001E-5</v>
      </c>
      <c r="F67" s="301">
        <f>F49*Inputs!$H51</f>
        <v>2.4300000000000001E-5</v>
      </c>
      <c r="G67" s="301">
        <f>G49*Inputs!$H51</f>
        <v>2.4300000000000001E-5</v>
      </c>
      <c r="H67" s="14">
        <f>H49*Inputs!$H51</f>
        <v>2.4300000000000001E-5</v>
      </c>
      <c r="I67" s="14">
        <f>I49*Inputs!$H51</f>
        <v>2.4300000000000001E-5</v>
      </c>
      <c r="J67" s="14">
        <f>J49*Inputs!$H51</f>
        <v>2.4300000000000001E-5</v>
      </c>
      <c r="K67" s="14">
        <f>K49*Inputs!$H51</f>
        <v>2.4300000000000001E-5</v>
      </c>
      <c r="L67" s="14">
        <f>L49*Inputs!$H51</f>
        <v>2.4300000000000001E-5</v>
      </c>
      <c r="M67" s="14">
        <f>M49*Inputs!$H51</f>
        <v>2.4300000000000001E-5</v>
      </c>
      <c r="N67" s="191">
        <f>N49*Inputs!$H51</f>
        <v>2.4300000000000001E-5</v>
      </c>
      <c r="O67" s="14">
        <f>O49*Inputs!$H51</f>
        <v>2.4300000000000001E-5</v>
      </c>
      <c r="P67" s="14">
        <f>P49*Inputs!$H51</f>
        <v>2.4300000000000001E-5</v>
      </c>
      <c r="Q67" s="14">
        <f>Q49*Inputs!$H51</f>
        <v>2.4300000000000001E-5</v>
      </c>
      <c r="R67" s="14">
        <f>R49*Inputs!$H51</f>
        <v>2.4300000000000001E-5</v>
      </c>
      <c r="S67" s="14">
        <f>S49*Inputs!$H51</f>
        <v>2.4300000000000001E-5</v>
      </c>
      <c r="T67" s="14">
        <f>T49*Inputs!$H51</f>
        <v>2.4300000000000001E-5</v>
      </c>
      <c r="U67" s="14">
        <f>U49*Inputs!$H51</f>
        <v>2.4300000000000001E-5</v>
      </c>
      <c r="V67" s="14">
        <f>V49*Inputs!$H51</f>
        <v>2.4300000000000001E-5</v>
      </c>
      <c r="W67" s="14">
        <f>W49*Inputs!$H51</f>
        <v>2.4300000000000001E-5</v>
      </c>
      <c r="X67" s="188">
        <f>X49*Inputs!$H51</f>
        <v>2.4300000000000001E-5</v>
      </c>
      <c r="Y67" s="14">
        <f>Y49*Inputs!$H51</f>
        <v>2.4300000000000001E-5</v>
      </c>
      <c r="Z67" s="14">
        <f>Z49*Inputs!$H51</f>
        <v>2.4300000000000001E-5</v>
      </c>
      <c r="AA67" s="14">
        <f>AA49*Inputs!$H51</f>
        <v>2.4300000000000001E-5</v>
      </c>
      <c r="AB67" s="14">
        <f>AB49*Inputs!$H51</f>
        <v>2.4300000000000001E-5</v>
      </c>
      <c r="AC67" s="14">
        <f>AC49*Inputs!$H51</f>
        <v>2.4300000000000001E-5</v>
      </c>
      <c r="AD67" s="14">
        <f>AD49*Inputs!$H51</f>
        <v>2.4300000000000001E-5</v>
      </c>
      <c r="AE67" s="14">
        <f>AE49*Inputs!$H51</f>
        <v>2.4300000000000001E-5</v>
      </c>
      <c r="AF67" s="14">
        <f>AF49*Inputs!$H51</f>
        <v>2.4300000000000001E-5</v>
      </c>
      <c r="AG67" s="14">
        <f>AG49*Inputs!$H51</f>
        <v>2.4300000000000001E-5</v>
      </c>
      <c r="AH67" s="14">
        <f>AH49*Inputs!$H51</f>
        <v>2.4300000000000001E-5</v>
      </c>
    </row>
    <row r="68" spans="1:34" ht="15">
      <c r="A68" s="8" t="s">
        <v>55</v>
      </c>
      <c r="B68" s="34">
        <v>1</v>
      </c>
      <c r="C68" s="301">
        <f>C50*Inputs!$H57</f>
        <v>1.5300000000000001E-2</v>
      </c>
      <c r="D68" s="301">
        <f>D50*Inputs!$H57</f>
        <v>1.5300000000000001E-2</v>
      </c>
      <c r="E68" s="301">
        <f>E50*Inputs!$H57</f>
        <v>7.6500000000000005E-4</v>
      </c>
      <c r="F68" s="301">
        <f>F50*Inputs!$H57</f>
        <v>7.6500000000000005E-4</v>
      </c>
      <c r="G68" s="301">
        <f>G50*Inputs!$H57</f>
        <v>7.6500000000000005E-4</v>
      </c>
      <c r="H68" s="14">
        <f>H50*Inputs!$H57</f>
        <v>7.6500000000000005E-4</v>
      </c>
      <c r="I68" s="14">
        <f>I50*Inputs!$H57</f>
        <v>7.6500000000000005E-4</v>
      </c>
      <c r="J68" s="14">
        <f>J50*Inputs!$H57</f>
        <v>7.6500000000000005E-4</v>
      </c>
      <c r="K68" s="14">
        <f>K50*Inputs!$H57</f>
        <v>7.6500000000000005E-4</v>
      </c>
      <c r="L68" s="14">
        <f>L50*Inputs!$H57</f>
        <v>7.6500000000000005E-4</v>
      </c>
      <c r="M68" s="14">
        <f>M50*Inputs!$H57</f>
        <v>7.6500000000000005E-4</v>
      </c>
      <c r="N68" s="191">
        <f>N50*Inputs!$H57</f>
        <v>7.6500000000000005E-4</v>
      </c>
      <c r="O68" s="14">
        <f>O50*Inputs!$H57</f>
        <v>7.6500000000000005E-4</v>
      </c>
      <c r="P68" s="14">
        <f>P50*Inputs!$H57</f>
        <v>7.6500000000000005E-4</v>
      </c>
      <c r="Q68" s="14">
        <f>Q50*Inputs!$H57</f>
        <v>7.6500000000000005E-4</v>
      </c>
      <c r="R68" s="14">
        <f>R50*Inputs!$H57</f>
        <v>7.6500000000000005E-4</v>
      </c>
      <c r="S68" s="14">
        <f>S50*Inputs!$H57</f>
        <v>7.6500000000000005E-4</v>
      </c>
      <c r="T68" s="14">
        <f>T50*Inputs!$H57</f>
        <v>7.6500000000000005E-4</v>
      </c>
      <c r="U68" s="14">
        <f>U50*Inputs!$H57</f>
        <v>7.6500000000000005E-4</v>
      </c>
      <c r="V68" s="14">
        <f>V50*Inputs!$H57</f>
        <v>9.1800000000000009E-4</v>
      </c>
      <c r="W68" s="14">
        <f>W50*Inputs!$H57</f>
        <v>9.1800000000000009E-4</v>
      </c>
      <c r="X68" s="188">
        <f>X50*Inputs!$H57</f>
        <v>9.1800000000000009E-4</v>
      </c>
      <c r="Y68" s="14">
        <f>Y50*Inputs!$H57</f>
        <v>1.0710000000000001E-3</v>
      </c>
      <c r="Z68" s="14">
        <f>Z50*Inputs!$H57</f>
        <v>1.224E-3</v>
      </c>
      <c r="AA68" s="14">
        <f>AA50*Inputs!$H57</f>
        <v>1.5300000000000001E-3</v>
      </c>
      <c r="AB68" s="14">
        <f>AB50*Inputs!$H57</f>
        <v>2.4480000000000001E-3</v>
      </c>
      <c r="AC68" s="14">
        <f>AC50*Inputs!$H57</f>
        <v>4.2840000000000005E-3</v>
      </c>
      <c r="AD68" s="14">
        <f>AD50*Inputs!$H57</f>
        <v>6.8850000000000014E-3</v>
      </c>
      <c r="AE68" s="14">
        <f>AE50*Inputs!$H57</f>
        <v>1.1016000000000003E-2</v>
      </c>
      <c r="AF68" s="14">
        <f>AF50*Inputs!$H57</f>
        <v>1.8207000000000001E-2</v>
      </c>
      <c r="AG68" s="14">
        <f>AG50*Inputs!$H57</f>
        <v>3.1059000000000007E-2</v>
      </c>
      <c r="AH68" s="14">
        <f>AH50*Inputs!$H57</f>
        <v>5.4468000000000003E-2</v>
      </c>
    </row>
    <row r="69" spans="1:34" s="20" customFormat="1" ht="15">
      <c r="A69" s="8" t="s">
        <v>134</v>
      </c>
      <c r="B69" s="38"/>
      <c r="C69" s="304">
        <f t="shared" ref="C69:AH69" si="25">SUMPRODUCT($B60:$B68,C60:C68)</f>
        <v>718.72382429999993</v>
      </c>
      <c r="D69" s="304">
        <f t="shared" si="25"/>
        <v>733.27682429999982</v>
      </c>
      <c r="E69" s="304">
        <f t="shared" si="25"/>
        <v>748.01697030000003</v>
      </c>
      <c r="F69" s="304">
        <f t="shared" si="25"/>
        <v>824.87422530000003</v>
      </c>
      <c r="G69" s="304">
        <f t="shared" si="25"/>
        <v>1046.5631793</v>
      </c>
      <c r="H69" s="19">
        <f t="shared" si="25"/>
        <v>1260.0772443000001</v>
      </c>
      <c r="I69" s="19">
        <f t="shared" si="25"/>
        <v>1467.2500623000001</v>
      </c>
      <c r="J69" s="19">
        <f t="shared" si="25"/>
        <v>1717.2856683000002</v>
      </c>
      <c r="K69" s="19">
        <f t="shared" si="25"/>
        <v>1693.7258643000002</v>
      </c>
      <c r="L69" s="19">
        <f t="shared" si="25"/>
        <v>1709.9225883000001</v>
      </c>
      <c r="M69" s="19">
        <f t="shared" si="25"/>
        <v>1723.0641183000002</v>
      </c>
      <c r="N69" s="191">
        <f t="shared" si="25"/>
        <v>1747.1228643000002</v>
      </c>
      <c r="O69" s="19">
        <f t="shared" si="25"/>
        <v>1773.7340823000002</v>
      </c>
      <c r="P69" s="19">
        <f t="shared" si="25"/>
        <v>1805.6788533000001</v>
      </c>
      <c r="Q69" s="19">
        <f t="shared" si="25"/>
        <v>1844.6837913000002</v>
      </c>
      <c r="R69" s="19">
        <f t="shared" si="25"/>
        <v>1871.5117563000001</v>
      </c>
      <c r="S69" s="19">
        <f t="shared" si="25"/>
        <v>2305.6762562999997</v>
      </c>
      <c r="T69" s="19">
        <f t="shared" si="25"/>
        <v>2361.1364973</v>
      </c>
      <c r="U69" s="19">
        <f t="shared" si="25"/>
        <v>2412.7744653</v>
      </c>
      <c r="V69" s="19">
        <f t="shared" si="25"/>
        <v>2476.8815642999998</v>
      </c>
      <c r="W69" s="19">
        <f t="shared" si="25"/>
        <v>2569.2715863000003</v>
      </c>
      <c r="X69" s="183">
        <f t="shared" si="25"/>
        <v>2679.0072543000006</v>
      </c>
      <c r="Y69" s="19">
        <f t="shared" si="25"/>
        <v>2784.0457413000004</v>
      </c>
      <c r="Z69" s="19">
        <f t="shared" si="25"/>
        <v>2855.2907402999999</v>
      </c>
      <c r="AA69" s="19">
        <f t="shared" si="25"/>
        <v>2969.3124152999999</v>
      </c>
      <c r="AB69" s="19">
        <f t="shared" si="25"/>
        <v>3135.7860903000005</v>
      </c>
      <c r="AC69" s="19">
        <f t="shared" si="25"/>
        <v>3301.8388533000002</v>
      </c>
      <c r="AD69" s="19">
        <f t="shared" si="25"/>
        <v>3413.8451583000001</v>
      </c>
      <c r="AE69" s="19">
        <f t="shared" si="25"/>
        <v>3547.9031823000005</v>
      </c>
      <c r="AF69" s="19">
        <f t="shared" si="25"/>
        <v>3627.8302923000001</v>
      </c>
      <c r="AG69" s="19">
        <f t="shared" si="25"/>
        <v>3710.9650833000001</v>
      </c>
      <c r="AH69" s="19">
        <f t="shared" si="25"/>
        <v>3796.8389252999996</v>
      </c>
    </row>
    <row r="70" spans="1:34" s="20" customFormat="1" ht="15">
      <c r="A70" s="27" t="s">
        <v>335</v>
      </c>
      <c r="B70" s="39"/>
      <c r="C70" s="304">
        <f>SUM(C58:C68)</f>
        <v>4415.6718108000005</v>
      </c>
      <c r="D70" s="304">
        <f t="shared" ref="D70:AH70" si="26">SUM(D58:D68)</f>
        <v>3773.1078108000006</v>
      </c>
      <c r="E70" s="304">
        <f t="shared" si="26"/>
        <v>3522.5818308000007</v>
      </c>
      <c r="F70" s="304">
        <f t="shared" si="26"/>
        <v>3077.3043377999998</v>
      </c>
      <c r="G70" s="304">
        <f t="shared" si="26"/>
        <v>4097.9454318000007</v>
      </c>
      <c r="H70" s="19">
        <f t="shared" si="26"/>
        <v>4305.2417118000012</v>
      </c>
      <c r="I70" s="19">
        <f t="shared" si="26"/>
        <v>4607.9897058000006</v>
      </c>
      <c r="J70" s="19">
        <f t="shared" si="26"/>
        <v>4888.0355958000009</v>
      </c>
      <c r="K70" s="19">
        <f t="shared" si="26"/>
        <v>4864.5453168000013</v>
      </c>
      <c r="L70" s="19">
        <f t="shared" si="26"/>
        <v>4880.7420408000007</v>
      </c>
      <c r="M70" s="19">
        <f t="shared" si="26"/>
        <v>4893.8833188000008</v>
      </c>
      <c r="N70" s="183">
        <f t="shared" si="26"/>
        <v>4917.9420648000005</v>
      </c>
      <c r="O70" s="19">
        <f t="shared" si="26"/>
        <v>4944.5535348000003</v>
      </c>
      <c r="P70" s="19">
        <f t="shared" si="26"/>
        <v>4976.4983058000007</v>
      </c>
      <c r="Q70" s="19">
        <f t="shared" si="26"/>
        <v>5015.5032438000007</v>
      </c>
      <c r="R70" s="19">
        <f t="shared" si="26"/>
        <v>5042.3312088000011</v>
      </c>
      <c r="S70" s="19">
        <f t="shared" si="26"/>
        <v>5476.495708800001</v>
      </c>
      <c r="T70" s="19">
        <f t="shared" si="26"/>
        <v>5531.9559497999999</v>
      </c>
      <c r="U70" s="19">
        <f t="shared" si="26"/>
        <v>5583.5939178000008</v>
      </c>
      <c r="V70" s="19">
        <f t="shared" si="26"/>
        <v>5753.0053908</v>
      </c>
      <c r="W70" s="19">
        <f t="shared" si="26"/>
        <v>6011.4792888000002</v>
      </c>
      <c r="X70" s="183">
        <f t="shared" si="26"/>
        <v>6166.5685308000011</v>
      </c>
      <c r="Y70" s="19">
        <f t="shared" si="26"/>
        <v>6382.4071338000003</v>
      </c>
      <c r="Z70" s="19">
        <f t="shared" si="26"/>
        <v>6481.5775128000005</v>
      </c>
      <c r="AA70" s="19">
        <f t="shared" si="26"/>
        <v>6729.1637238000003</v>
      </c>
      <c r="AB70" s="19">
        <f t="shared" si="26"/>
        <v>7041.373282800002</v>
      </c>
      <c r="AC70" s="19">
        <f t="shared" si="26"/>
        <v>7359.9365718000017</v>
      </c>
      <c r="AD70" s="19">
        <f t="shared" si="26"/>
        <v>7876.9882728000021</v>
      </c>
      <c r="AE70" s="19">
        <f t="shared" si="26"/>
        <v>8585.8135667999995</v>
      </c>
      <c r="AF70" s="19">
        <f t="shared" si="26"/>
        <v>9287.8733627999973</v>
      </c>
      <c r="AG70" s="19">
        <f t="shared" si="26"/>
        <v>10038.690343799999</v>
      </c>
      <c r="AH70" s="19">
        <f t="shared" si="26"/>
        <v>10787.844439799999</v>
      </c>
    </row>
    <row r="71" spans="1:34" s="20" customFormat="1" ht="15">
      <c r="A71" s="27" t="s">
        <v>148</v>
      </c>
      <c r="B71" s="39"/>
      <c r="C71" s="304">
        <f>C53*Inputs!$H$60</f>
        <v>5346.2970000000005</v>
      </c>
      <c r="D71" s="304">
        <f>D53*Inputs!$H$60</f>
        <v>5929.8029999999999</v>
      </c>
      <c r="E71" s="304">
        <f>E53*Inputs!$H$60</f>
        <v>4604.3996130000005</v>
      </c>
      <c r="F71" s="304">
        <f>F53*Inputs!$H$60</f>
        <v>4040.3710710000009</v>
      </c>
      <c r="G71" s="304">
        <f>G53*Inputs!$H$60</f>
        <v>4820.635413</v>
      </c>
      <c r="H71" s="19">
        <f>H53*Inputs!$H$60</f>
        <v>4850.4531240000006</v>
      </c>
      <c r="I71" s="19">
        <f>I53*Inputs!$H$60</f>
        <v>4912.3678229999996</v>
      </c>
      <c r="J71" s="19">
        <f>J53*Inputs!$H$60</f>
        <v>3925.0997280000001</v>
      </c>
      <c r="K71" s="19">
        <f>K53*Inputs!$H$60</f>
        <v>3990.9424500000005</v>
      </c>
      <c r="L71" s="19">
        <f>L53*Inputs!$H$60</f>
        <v>4021.869357</v>
      </c>
      <c r="M71" s="19">
        <f>M53*Inputs!$H$60</f>
        <v>4058.5656869999998</v>
      </c>
      <c r="N71" s="191">
        <f>N53*Inputs!$H$60</f>
        <v>4083.0543270000003</v>
      </c>
      <c r="O71" s="19">
        <f>O53*Inputs!$H$60</f>
        <v>4108.9297589999996</v>
      </c>
      <c r="P71" s="19">
        <f>P53*Inputs!$H$60</f>
        <v>4131.3994919999996</v>
      </c>
      <c r="Q71" s="19">
        <f>Q53*Inputs!$H$60</f>
        <v>4152.580245000001</v>
      </c>
      <c r="R71" s="19">
        <f>R53*Inputs!$H$60</f>
        <v>4178.2879709999997</v>
      </c>
      <c r="S71" s="19">
        <f>S53*Inputs!$H$60</f>
        <v>3973.862970000001</v>
      </c>
      <c r="T71" s="19">
        <f>T53*Inputs!$H$60</f>
        <v>3962.5299450000002</v>
      </c>
      <c r="U71" s="19">
        <f>U53*Inputs!$H$60</f>
        <v>3960.7904160000007</v>
      </c>
      <c r="V71" s="19">
        <f>V53*Inputs!$H$60</f>
        <v>3960.1865159999998</v>
      </c>
      <c r="W71" s="19">
        <f>W53*Inputs!$H$60</f>
        <v>3957.3760050000005</v>
      </c>
      <c r="X71" s="183">
        <f>X53*Inputs!$H$60</f>
        <v>3953.5854929999991</v>
      </c>
      <c r="Y71" s="19">
        <f>Y53*Inputs!$H$60</f>
        <v>3967.5701340000001</v>
      </c>
      <c r="Z71" s="19">
        <f>Z53*Inputs!$H$60</f>
        <v>3974.3757900000001</v>
      </c>
      <c r="AA71" s="19">
        <f>AA53*Inputs!$H$60</f>
        <v>3971.1007710000003</v>
      </c>
      <c r="AB71" s="19">
        <f>AB53*Inputs!$H$60</f>
        <v>3969.1494810000008</v>
      </c>
      <c r="AC71" s="19">
        <f>AC53*Inputs!$H$60</f>
        <v>3966.5240010000007</v>
      </c>
      <c r="AD71" s="19">
        <f>AD53*Inputs!$H$60</f>
        <v>3964.8449609999998</v>
      </c>
      <c r="AE71" s="19">
        <f>AE53*Inputs!$H$60</f>
        <v>3963.3026400000003</v>
      </c>
      <c r="AF71" s="19">
        <f>AF53*Inputs!$H$60</f>
        <v>3961.9589130000004</v>
      </c>
      <c r="AG71" s="19">
        <f>AG53*Inputs!$H$60</f>
        <v>3960.5340060000003</v>
      </c>
      <c r="AH71" s="19">
        <f>AH53*Inputs!$H$60</f>
        <v>3959.1246419999998</v>
      </c>
    </row>
    <row r="72" spans="1:34" s="20" customFormat="1" ht="15">
      <c r="A72" s="27" t="s">
        <v>228</v>
      </c>
      <c r="B72" s="39"/>
      <c r="C72" s="304">
        <f>C54*Inputs!$H$61</f>
        <v>11713.878000000001</v>
      </c>
      <c r="D72" s="304">
        <f>D54*Inputs!$H$61</f>
        <v>12734.765999999998</v>
      </c>
      <c r="E72" s="304">
        <f>E54*Inputs!$H$61</f>
        <v>12935.375145000002</v>
      </c>
      <c r="F72" s="304">
        <f>F54*Inputs!$H$61</f>
        <v>14164.580331000003</v>
      </c>
      <c r="G72" s="304">
        <f>G54*Inputs!$H$61</f>
        <v>12048.599574</v>
      </c>
      <c r="H72" s="19">
        <f>H54*Inputs!$H$61</f>
        <v>11897.916723</v>
      </c>
      <c r="I72" s="19">
        <f>I54*Inputs!$H$61</f>
        <v>12003.311133000001</v>
      </c>
      <c r="J72" s="19">
        <f>J54*Inputs!$H$61</f>
        <v>13069.418472000001</v>
      </c>
      <c r="K72" s="19">
        <f>K54*Inputs!$H$61</f>
        <v>13247.556794999999</v>
      </c>
      <c r="L72" s="19">
        <f>L54*Inputs!$H$61</f>
        <v>13407.307947000001</v>
      </c>
      <c r="M72" s="19">
        <f>M54*Inputs!$H$61</f>
        <v>13566.41253</v>
      </c>
      <c r="N72" s="191">
        <f>N54*Inputs!$H$61</f>
        <v>13524.080427000003</v>
      </c>
      <c r="O72" s="19">
        <f>O54*Inputs!$H$61</f>
        <v>13669.852185</v>
      </c>
      <c r="P72" s="19">
        <f>P54*Inputs!$H$61</f>
        <v>13890.366468000002</v>
      </c>
      <c r="Q72" s="19">
        <f>Q54*Inputs!$H$61</f>
        <v>14148.545102999999</v>
      </c>
      <c r="R72" s="19">
        <f>R54*Inputs!$H$61</f>
        <v>14548.123755000004</v>
      </c>
      <c r="S72" s="19">
        <f>S54*Inputs!$H$61</f>
        <v>14948.188794</v>
      </c>
      <c r="T72" s="19">
        <f>T54*Inputs!$H$61</f>
        <v>15367.203126000002</v>
      </c>
      <c r="U72" s="19">
        <f>U54*Inputs!$H$61</f>
        <v>15790.137462000001</v>
      </c>
      <c r="V72" s="19">
        <f>V54*Inputs!$H$61</f>
        <v>16136.373132000002</v>
      </c>
      <c r="W72" s="19">
        <f>W54*Inputs!$H$61</f>
        <v>16272.735237000001</v>
      </c>
      <c r="X72" s="183">
        <f>X54*Inputs!$H$61</f>
        <v>16447.746644999999</v>
      </c>
      <c r="Y72" s="19">
        <f>Y54*Inputs!$H$61</f>
        <v>16570.239840000002</v>
      </c>
      <c r="Z72" s="19">
        <f>Z54*Inputs!$H$61</f>
        <v>16788.447324000001</v>
      </c>
      <c r="AA72" s="19">
        <f>AA54*Inputs!$H$61</f>
        <v>16940.035035000001</v>
      </c>
      <c r="AB72" s="19">
        <f>AB54*Inputs!$H$61</f>
        <v>17082.684431999998</v>
      </c>
      <c r="AC72" s="19">
        <f>AC54*Inputs!$H$61</f>
        <v>17226.578555999997</v>
      </c>
      <c r="AD72" s="19">
        <f>AD54*Inputs!$H$61</f>
        <v>17194.406922000002</v>
      </c>
      <c r="AE72" s="19">
        <f>AE54*Inputs!$H$61</f>
        <v>17048.017206</v>
      </c>
      <c r="AF72" s="19">
        <f>AF54*Inputs!$H$61</f>
        <v>16877.385161999999</v>
      </c>
      <c r="AG72" s="19">
        <f>AG54*Inputs!$H$61</f>
        <v>16663.380129000001</v>
      </c>
      <c r="AH72" s="19">
        <f>AH54*Inputs!$H$61</f>
        <v>16439.563601999998</v>
      </c>
    </row>
    <row r="73" spans="1:34" ht="15">
      <c r="A73" s="27" t="s">
        <v>60</v>
      </c>
      <c r="C73" s="301">
        <f>SUM(C70:C72)</f>
        <v>21475.846810800002</v>
      </c>
      <c r="D73" s="301">
        <f t="shared" ref="D73:AH73" si="27">SUM(D70:D72)</f>
        <v>22437.676810799996</v>
      </c>
      <c r="E73" s="301">
        <f t="shared" si="27"/>
        <v>21062.356588800001</v>
      </c>
      <c r="F73" s="301">
        <f t="shared" si="27"/>
        <v>21282.255739800003</v>
      </c>
      <c r="G73" s="301">
        <f t="shared" si="27"/>
        <v>20967.180418800002</v>
      </c>
      <c r="H73" s="14">
        <f t="shared" si="27"/>
        <v>21053.611558800003</v>
      </c>
      <c r="I73" s="14">
        <f t="shared" si="27"/>
        <v>21523.668661800002</v>
      </c>
      <c r="J73" s="14">
        <f t="shared" si="27"/>
        <v>21882.553795800002</v>
      </c>
      <c r="K73" s="14">
        <f t="shared" si="27"/>
        <v>22103.044561800001</v>
      </c>
      <c r="L73" s="14">
        <f t="shared" si="27"/>
        <v>22309.919344800001</v>
      </c>
      <c r="M73" s="14">
        <f t="shared" si="27"/>
        <v>22518.861535800002</v>
      </c>
      <c r="N73" s="191">
        <f t="shared" si="27"/>
        <v>22525.076818800004</v>
      </c>
      <c r="O73" s="14">
        <f t="shared" si="27"/>
        <v>22723.3354788</v>
      </c>
      <c r="P73" s="14">
        <f t="shared" si="27"/>
        <v>22998.264265800004</v>
      </c>
      <c r="Q73" s="14">
        <f t="shared" si="27"/>
        <v>23316.628591799999</v>
      </c>
      <c r="R73" s="14">
        <f t="shared" si="27"/>
        <v>23768.742934800004</v>
      </c>
      <c r="S73" s="14">
        <f t="shared" si="27"/>
        <v>24398.547472800004</v>
      </c>
      <c r="T73" s="14">
        <f t="shared" si="27"/>
        <v>24861.689020800004</v>
      </c>
      <c r="U73" s="14">
        <f t="shared" si="27"/>
        <v>25334.521795799999</v>
      </c>
      <c r="V73" s="14">
        <f t="shared" si="27"/>
        <v>25849.565038799999</v>
      </c>
      <c r="W73" s="14">
        <f t="shared" si="27"/>
        <v>26241.5905308</v>
      </c>
      <c r="X73" s="188">
        <f t="shared" si="27"/>
        <v>26567.900668800001</v>
      </c>
      <c r="Y73" s="14">
        <f t="shared" si="27"/>
        <v>26920.217107800003</v>
      </c>
      <c r="Z73" s="14">
        <f t="shared" si="27"/>
        <v>27244.400626800001</v>
      </c>
      <c r="AA73" s="14">
        <f t="shared" si="27"/>
        <v>27640.299529800002</v>
      </c>
      <c r="AB73" s="14">
        <f t="shared" si="27"/>
        <v>28093.207195800002</v>
      </c>
      <c r="AC73" s="14">
        <f t="shared" si="27"/>
        <v>28553.039128799999</v>
      </c>
      <c r="AD73" s="14">
        <f t="shared" si="27"/>
        <v>29036.240155800006</v>
      </c>
      <c r="AE73" s="14">
        <f t="shared" si="27"/>
        <v>29597.133412800002</v>
      </c>
      <c r="AF73" s="14">
        <f t="shared" si="27"/>
        <v>30127.217437799998</v>
      </c>
      <c r="AG73" s="14">
        <f t="shared" si="27"/>
        <v>30662.6044788</v>
      </c>
      <c r="AH73" s="14">
        <f t="shared" si="27"/>
        <v>31186.532683799996</v>
      </c>
    </row>
    <row r="75" spans="1:34">
      <c r="B75" s="89"/>
      <c r="H75" s="89"/>
      <c r="I75" s="89"/>
      <c r="J75" s="89"/>
      <c r="K75" s="89"/>
      <c r="L75" s="89"/>
      <c r="M75" s="89"/>
      <c r="N75" s="191"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195</v>
      </c>
      <c r="B77" s="33"/>
    </row>
    <row r="78" spans="1:34" hidden="1">
      <c r="A78" t="s">
        <v>196</v>
      </c>
      <c r="B78" s="33"/>
      <c r="C78" s="305">
        <f>'backup - EIA liq_fuelS_aeo2014'!E46</f>
        <v>273.77869168296451</v>
      </c>
      <c r="D78" s="305">
        <f>'backup - EIA liq_fuelS_aeo2014'!F46</f>
        <v>330.59007454663532</v>
      </c>
      <c r="E78" s="305">
        <f>'backup - EIA liq_fuelS_aeo2014'!G46</f>
        <v>346.41273999999999</v>
      </c>
      <c r="F78" s="305">
        <f>'backup - EIA liq_fuelS_aeo2014'!H46</f>
        <v>332.23648773503913</v>
      </c>
      <c r="G78" s="30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61">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62">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00" t="e">
        <f>C78*Inputs!$C58</f>
        <v>#REF!</v>
      </c>
      <c r="D83" s="300" t="e">
        <f>D78*Inputs!$C58</f>
        <v>#REF!</v>
      </c>
      <c r="E83" s="300" t="e">
        <f>E78*Inputs!$C58</f>
        <v>#REF!</v>
      </c>
      <c r="F83" s="300" t="e">
        <f>F78*Inputs!$C58</f>
        <v>#REF!</v>
      </c>
      <c r="G83" s="300" t="e">
        <f>G78*Inputs!$C58</f>
        <v>#REF!</v>
      </c>
      <c r="H83" s="50" t="e">
        <f>H78*Inputs!$C58</f>
        <v>#REF!</v>
      </c>
      <c r="I83" s="50" t="e">
        <f>I78*Inputs!$C58</f>
        <v>#REF!</v>
      </c>
      <c r="J83" s="50" t="e">
        <f>J78*Inputs!$C58</f>
        <v>#REF!</v>
      </c>
      <c r="K83" s="50" t="e">
        <f>K78*Inputs!$C58</f>
        <v>#REF!</v>
      </c>
      <c r="L83" s="50" t="e">
        <f>L78*Inputs!$C58</f>
        <v>#REF!</v>
      </c>
      <c r="M83" s="50" t="e">
        <f>M78*Inputs!$C58</f>
        <v>#REF!</v>
      </c>
      <c r="N83" s="359"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5"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9"/>
  <sheetViews>
    <sheetView tabSelected="1" zoomScale="85" zoomScaleNormal="85" zoomScalePageLayoutView="85" workbookViewId="0">
      <selection activeCell="A12" sqref="A12:XFD12"/>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382" customWidth="1"/>
    <col min="6" max="6" width="9" style="382" customWidth="1"/>
    <col min="7" max="7" width="9.6640625" style="81" customWidth="1"/>
    <col min="8" max="8" width="10.83203125" style="382" customWidth="1"/>
    <col min="9" max="9" width="5.6640625" style="382" bestFit="1" customWidth="1"/>
    <col min="10" max="10" width="9.33203125" style="382" customWidth="1"/>
    <col min="11" max="11" width="6.5" style="382" customWidth="1"/>
    <col min="12" max="12" width="9.6640625" style="382" customWidth="1"/>
    <col min="13" max="13" width="5.6640625" style="382"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430"/>
      <c r="B1" s="430"/>
      <c r="C1" s="430"/>
      <c r="D1" s="430"/>
      <c r="E1" s="430"/>
      <c r="F1" s="430"/>
      <c r="G1" s="430"/>
      <c r="H1" s="430"/>
      <c r="I1" s="430"/>
      <c r="J1" s="430"/>
      <c r="K1" s="430"/>
      <c r="L1" s="430"/>
      <c r="M1" s="430"/>
      <c r="N1" s="430"/>
      <c r="O1" s="430"/>
      <c r="P1" s="430"/>
    </row>
    <row r="2" spans="1:16">
      <c r="A2" s="430"/>
      <c r="B2" s="430"/>
      <c r="C2" s="430"/>
      <c r="D2" s="430"/>
      <c r="E2" s="430"/>
      <c r="F2" s="430"/>
      <c r="G2" s="430"/>
      <c r="H2" s="430"/>
      <c r="I2" s="430"/>
      <c r="J2" s="430"/>
      <c r="K2" s="430"/>
      <c r="L2" s="430"/>
      <c r="M2" s="430"/>
      <c r="N2" s="430"/>
      <c r="O2" s="430"/>
      <c r="P2" s="430"/>
    </row>
    <row r="3" spans="1:16">
      <c r="A3" s="430"/>
      <c r="B3" s="430"/>
      <c r="C3" s="430"/>
      <c r="D3" s="430"/>
      <c r="E3" s="430"/>
      <c r="F3" s="430"/>
      <c r="G3" s="430"/>
      <c r="H3" s="430"/>
      <c r="I3" s="430"/>
      <c r="J3" s="430"/>
      <c r="K3" s="430"/>
      <c r="L3" s="430"/>
      <c r="M3" s="430"/>
      <c r="N3" s="430"/>
      <c r="O3" s="430"/>
      <c r="P3" s="430"/>
    </row>
    <row r="4" spans="1:16">
      <c r="A4" s="430"/>
      <c r="B4" s="430"/>
      <c r="C4" s="430"/>
      <c r="D4" s="430"/>
      <c r="E4" s="430"/>
      <c r="F4" s="430"/>
      <c r="G4" s="430"/>
      <c r="H4" s="430"/>
      <c r="I4" s="430"/>
      <c r="J4" s="430"/>
      <c r="K4" s="430"/>
      <c r="L4" s="430"/>
      <c r="M4" s="430"/>
      <c r="N4" s="430"/>
      <c r="O4" s="430"/>
      <c r="P4" s="430"/>
    </row>
    <row r="5" spans="1:16">
      <c r="A5" s="430"/>
      <c r="B5" s="430"/>
      <c r="C5" s="430"/>
      <c r="D5" s="430"/>
      <c r="E5" s="430"/>
      <c r="F5" s="430"/>
      <c r="G5" s="430"/>
      <c r="H5" s="430"/>
      <c r="I5" s="430"/>
      <c r="J5" s="430"/>
      <c r="K5" s="430"/>
      <c r="L5" s="430"/>
      <c r="M5" s="430"/>
      <c r="N5" s="430"/>
      <c r="O5" s="430"/>
      <c r="P5" s="430"/>
    </row>
    <row r="6" spans="1:16">
      <c r="A6" s="430"/>
      <c r="B6" s="430"/>
      <c r="C6" s="430"/>
      <c r="D6" s="430"/>
      <c r="E6" s="430"/>
      <c r="F6" s="430"/>
      <c r="G6" s="430"/>
      <c r="H6" s="430"/>
      <c r="I6" s="430"/>
      <c r="J6" s="430"/>
      <c r="K6" s="430"/>
      <c r="L6" s="430"/>
      <c r="M6" s="430"/>
      <c r="N6" s="430"/>
      <c r="O6" s="430"/>
      <c r="P6" s="430"/>
    </row>
    <row r="7" spans="1:16">
      <c r="A7" s="430"/>
      <c r="B7" s="430"/>
      <c r="C7" s="430"/>
      <c r="D7" s="430"/>
      <c r="E7" s="430"/>
      <c r="F7" s="430"/>
      <c r="G7" s="430"/>
      <c r="H7" s="430"/>
      <c r="I7" s="430"/>
      <c r="J7" s="430"/>
      <c r="K7" s="430"/>
      <c r="L7" s="430"/>
      <c r="M7" s="430"/>
      <c r="N7" s="430"/>
      <c r="O7" s="430"/>
      <c r="P7" s="430"/>
    </row>
    <row r="8" spans="1:16">
      <c r="A8" s="430"/>
      <c r="B8" s="430"/>
      <c r="C8" s="430"/>
      <c r="D8" s="430"/>
      <c r="E8" s="430"/>
      <c r="F8" s="430"/>
      <c r="G8" s="430"/>
      <c r="H8" s="430"/>
      <c r="I8" s="430"/>
      <c r="J8" s="430"/>
      <c r="K8" s="430"/>
      <c r="L8" s="430"/>
      <c r="M8" s="430"/>
      <c r="N8" s="430"/>
      <c r="O8" s="430"/>
      <c r="P8" s="430"/>
    </row>
    <row r="9" spans="1:16" ht="2.25" customHeight="1">
      <c r="A9" s="430"/>
      <c r="B9" s="430"/>
      <c r="C9" s="430"/>
      <c r="D9" s="430"/>
      <c r="E9" s="430"/>
      <c r="F9" s="430"/>
      <c r="G9" s="430"/>
      <c r="H9" s="430"/>
      <c r="I9" s="430"/>
      <c r="J9" s="430"/>
      <c r="K9" s="430"/>
      <c r="L9" s="430"/>
      <c r="M9" s="430"/>
      <c r="N9" s="430"/>
      <c r="O9" s="430"/>
      <c r="P9" s="430"/>
    </row>
    <row r="10" spans="1:16" ht="12" hidden="1" customHeight="1">
      <c r="A10" s="434" t="s">
        <v>218</v>
      </c>
      <c r="B10" s="435">
        <v>2000</v>
      </c>
      <c r="C10" s="436" t="s">
        <v>225</v>
      </c>
      <c r="D10" s="436" t="s">
        <v>562</v>
      </c>
      <c r="E10" s="437" t="s">
        <v>219</v>
      </c>
      <c r="F10" s="438"/>
      <c r="G10" s="435"/>
      <c r="H10" s="439" t="s">
        <v>732</v>
      </c>
      <c r="I10" s="440"/>
      <c r="J10" s="440"/>
      <c r="K10" s="440"/>
      <c r="L10" s="440"/>
      <c r="M10" s="440"/>
      <c r="N10" s="440"/>
      <c r="O10" s="441"/>
      <c r="P10" s="426"/>
    </row>
    <row r="11" spans="1:16" ht="55" customHeight="1">
      <c r="A11" s="442"/>
      <c r="B11" s="443"/>
      <c r="C11" s="444"/>
      <c r="D11" s="444"/>
      <c r="E11" s="445"/>
      <c r="F11" s="446"/>
      <c r="G11" s="443"/>
      <c r="H11" s="446" t="s">
        <v>220</v>
      </c>
      <c r="I11" s="443"/>
      <c r="J11" s="445" t="s">
        <v>221</v>
      </c>
      <c r="K11" s="443"/>
      <c r="L11" s="445" t="s">
        <v>222</v>
      </c>
      <c r="M11" s="446"/>
      <c r="N11" s="446"/>
      <c r="O11" s="443"/>
      <c r="P11" s="426"/>
    </row>
    <row r="12" spans="1:16" ht="124" customHeight="1" thickBot="1">
      <c r="A12" s="447" t="s">
        <v>223</v>
      </c>
      <c r="B12" s="447" t="s">
        <v>224</v>
      </c>
      <c r="C12" s="448"/>
      <c r="D12" s="448"/>
      <c r="E12" s="449" t="s">
        <v>733</v>
      </c>
      <c r="F12" s="450" t="s">
        <v>734</v>
      </c>
      <c r="G12" s="451" t="s">
        <v>314</v>
      </c>
      <c r="H12" s="452" t="s">
        <v>366</v>
      </c>
      <c r="I12" s="450" t="s">
        <v>735</v>
      </c>
      <c r="J12" s="449" t="s">
        <v>366</v>
      </c>
      <c r="K12" s="450" t="s">
        <v>735</v>
      </c>
      <c r="L12" s="449" t="s">
        <v>366</v>
      </c>
      <c r="M12" s="450" t="s">
        <v>735</v>
      </c>
      <c r="N12" s="451" t="s">
        <v>60</v>
      </c>
      <c r="O12" s="451" t="s">
        <v>563</v>
      </c>
      <c r="P12" s="429"/>
    </row>
    <row r="13" spans="1:16" ht="13" thickTop="1">
      <c r="A13" s="453" t="s">
        <v>564</v>
      </c>
      <c r="B13" s="453" t="s">
        <v>565</v>
      </c>
      <c r="C13" s="454">
        <v>0.85</v>
      </c>
      <c r="D13" s="455">
        <v>40</v>
      </c>
      <c r="E13" s="456">
        <v>4.29</v>
      </c>
      <c r="F13" s="457">
        <v>1.53</v>
      </c>
      <c r="G13" s="458">
        <v>0</v>
      </c>
      <c r="H13" s="459">
        <f t="shared" ref="H13:H31" si="0">E13/D13</f>
        <v>0.10725</v>
      </c>
      <c r="I13" s="458">
        <f t="shared" ref="I13:I31" si="1">F13+G13*8760/1000*C13</f>
        <v>1.53</v>
      </c>
      <c r="J13" s="460">
        <f t="shared" ref="J13:J31" si="2">H13/C13</f>
        <v>0.12617647058823531</v>
      </c>
      <c r="K13" s="458">
        <f t="shared" ref="K13:K31" si="3">I13/C13</f>
        <v>1.8</v>
      </c>
      <c r="L13" s="460">
        <f t="shared" ref="L13:M30" si="4">J13/8760*1000</f>
        <v>1.4403706688154716E-2</v>
      </c>
      <c r="M13" s="458">
        <f t="shared" si="4"/>
        <v>0.20547945205479454</v>
      </c>
      <c r="N13" s="461">
        <f t="shared" ref="N13:N31" si="5">SUM(L13:M13)</f>
        <v>0.21988315874294925</v>
      </c>
      <c r="O13" s="462">
        <f>AVERAGE(N13:N14)</f>
        <v>0.20532702121944668</v>
      </c>
      <c r="P13" s="429"/>
    </row>
    <row r="14" spans="1:16" ht="13" thickBot="1">
      <c r="A14" s="463" t="s">
        <v>566</v>
      </c>
      <c r="B14" s="463" t="s">
        <v>567</v>
      </c>
      <c r="C14" s="464">
        <v>0.85</v>
      </c>
      <c r="D14" s="465">
        <v>40</v>
      </c>
      <c r="E14" s="466">
        <v>8.5</v>
      </c>
      <c r="F14" s="467">
        <v>0.24</v>
      </c>
      <c r="G14" s="468">
        <v>0.13</v>
      </c>
      <c r="H14" s="469">
        <f t="shared" si="0"/>
        <v>0.21249999999999999</v>
      </c>
      <c r="I14" s="468">
        <f t="shared" si="1"/>
        <v>1.2079800000000001</v>
      </c>
      <c r="J14" s="470">
        <f t="shared" si="2"/>
        <v>0.25</v>
      </c>
      <c r="K14" s="468">
        <f t="shared" si="3"/>
        <v>1.4211529411764707</v>
      </c>
      <c r="L14" s="470">
        <f t="shared" si="4"/>
        <v>2.8538812785388126E-2</v>
      </c>
      <c r="M14" s="468">
        <f t="shared" si="4"/>
        <v>0.16223207091055603</v>
      </c>
      <c r="N14" s="471">
        <f t="shared" si="5"/>
        <v>0.19077088369594414</v>
      </c>
      <c r="O14" s="472"/>
      <c r="P14" s="429"/>
    </row>
    <row r="15" spans="1:16">
      <c r="A15" s="473" t="s">
        <v>568</v>
      </c>
      <c r="B15" s="473" t="s">
        <v>569</v>
      </c>
      <c r="C15" s="474">
        <v>0.9</v>
      </c>
      <c r="D15" s="475">
        <v>40</v>
      </c>
      <c r="E15" s="476">
        <f>36000/5600</f>
        <v>6.4285714285714288</v>
      </c>
      <c r="F15" s="477">
        <f>10000/5600</f>
        <v>1.7857142857142858</v>
      </c>
      <c r="G15" s="476">
        <v>0</v>
      </c>
      <c r="H15" s="478">
        <f t="shared" si="0"/>
        <v>0.16071428571428573</v>
      </c>
      <c r="I15" s="479">
        <f t="shared" si="1"/>
        <v>1.7857142857142858</v>
      </c>
      <c r="J15" s="480">
        <f t="shared" si="2"/>
        <v>0.17857142857142858</v>
      </c>
      <c r="K15" s="479">
        <f t="shared" si="3"/>
        <v>1.9841269841269842</v>
      </c>
      <c r="L15" s="480">
        <f t="shared" si="4"/>
        <v>2.0384866275277233E-2</v>
      </c>
      <c r="M15" s="479">
        <f t="shared" si="4"/>
        <v>0.22649851416974706</v>
      </c>
      <c r="N15" s="481">
        <f t="shared" si="5"/>
        <v>0.24688338044502428</v>
      </c>
      <c r="O15" s="482">
        <f>AVERAGE(N15:N17)</f>
        <v>0.24750247638375492</v>
      </c>
      <c r="P15" s="429"/>
    </row>
    <row r="16" spans="1:16">
      <c r="A16" s="483" t="s">
        <v>570</v>
      </c>
      <c r="B16" s="483" t="s">
        <v>318</v>
      </c>
      <c r="C16" s="484">
        <v>0.9</v>
      </c>
      <c r="D16" s="485">
        <v>40</v>
      </c>
      <c r="E16" s="486">
        <v>17.5</v>
      </c>
      <c r="F16" s="487">
        <v>1.7</v>
      </c>
      <c r="G16" s="486">
        <v>0</v>
      </c>
      <c r="H16" s="488">
        <f>E16/D16</f>
        <v>0.4375</v>
      </c>
      <c r="I16" s="489">
        <f>F16+G16*8760/1000*C16</f>
        <v>1.7</v>
      </c>
      <c r="J16" s="490">
        <f>H16/C16</f>
        <v>0.4861111111111111</v>
      </c>
      <c r="K16" s="489">
        <f>I16/C16</f>
        <v>1.8888888888888888</v>
      </c>
      <c r="L16" s="490">
        <f t="shared" si="4"/>
        <v>5.5492135971588023E-2</v>
      </c>
      <c r="M16" s="489">
        <f t="shared" si="4"/>
        <v>0.21562658548959918</v>
      </c>
      <c r="N16" s="491">
        <f>SUM(L16:M16)</f>
        <v>0.27111872146118721</v>
      </c>
      <c r="O16" s="492"/>
      <c r="P16" s="429"/>
    </row>
    <row r="17" spans="1:16" ht="13" thickBot="1">
      <c r="A17" s="493" t="s">
        <v>571</v>
      </c>
      <c r="B17" s="493" t="s">
        <v>565</v>
      </c>
      <c r="C17" s="494">
        <v>0.9</v>
      </c>
      <c r="D17" s="495">
        <v>40</v>
      </c>
      <c r="E17" s="496">
        <v>4</v>
      </c>
      <c r="F17" s="497">
        <v>1.67</v>
      </c>
      <c r="G17" s="496">
        <v>0</v>
      </c>
      <c r="H17" s="498">
        <f>E17/D17</f>
        <v>0.1</v>
      </c>
      <c r="I17" s="499">
        <f>F17+G17*8760/1000*C17</f>
        <v>1.67</v>
      </c>
      <c r="J17" s="500">
        <f>H17/C17</f>
        <v>0.11111111111111112</v>
      </c>
      <c r="K17" s="499">
        <f>I17/C17</f>
        <v>1.8555555555555554</v>
      </c>
      <c r="L17" s="500">
        <f t="shared" si="4"/>
        <v>1.2683916793505836E-2</v>
      </c>
      <c r="M17" s="499">
        <f t="shared" si="4"/>
        <v>0.21182141045154743</v>
      </c>
      <c r="N17" s="501">
        <f>SUM(L17:M17)</f>
        <v>0.22450532724505326</v>
      </c>
      <c r="O17" s="472"/>
      <c r="P17" s="429"/>
    </row>
    <row r="18" spans="1:16">
      <c r="A18" s="473" t="s">
        <v>572</v>
      </c>
      <c r="B18" s="473" t="s">
        <v>318</v>
      </c>
      <c r="C18" s="474">
        <v>0.85</v>
      </c>
      <c r="D18" s="475">
        <v>40</v>
      </c>
      <c r="E18" s="476">
        <v>21.3</v>
      </c>
      <c r="F18" s="477">
        <v>7.8</v>
      </c>
      <c r="G18" s="476">
        <v>0</v>
      </c>
      <c r="H18" s="478">
        <f>E18/D18</f>
        <v>0.53249999999999997</v>
      </c>
      <c r="I18" s="479">
        <f>F18+G18*8760/1000*C18</f>
        <v>7.8</v>
      </c>
      <c r="J18" s="480">
        <f>H18/C18</f>
        <v>0.62647058823529411</v>
      </c>
      <c r="K18" s="479">
        <f>I18/C18</f>
        <v>9.1764705882352935</v>
      </c>
      <c r="L18" s="480">
        <f t="shared" si="4"/>
        <v>7.1514907332796127E-2</v>
      </c>
      <c r="M18" s="479">
        <f t="shared" si="4"/>
        <v>1.0475423045930701</v>
      </c>
      <c r="N18" s="481">
        <f>SUM(L18:M18)</f>
        <v>1.1190572119258662</v>
      </c>
      <c r="O18" s="482">
        <f>AVERAGE(N18:N19)</f>
        <v>0.71885911899006172</v>
      </c>
      <c r="P18" s="429"/>
    </row>
    <row r="19" spans="1:16" ht="13" thickBot="1">
      <c r="A19" s="493" t="s">
        <v>573</v>
      </c>
      <c r="B19" s="493" t="s">
        <v>565</v>
      </c>
      <c r="C19" s="494">
        <v>0.85</v>
      </c>
      <c r="D19" s="495">
        <v>40</v>
      </c>
      <c r="E19" s="496">
        <v>3.71</v>
      </c>
      <c r="F19" s="497">
        <v>2.2799999999999998</v>
      </c>
      <c r="G19" s="496">
        <v>0</v>
      </c>
      <c r="H19" s="498">
        <f t="shared" si="0"/>
        <v>9.2749999999999999E-2</v>
      </c>
      <c r="I19" s="499">
        <f t="shared" si="1"/>
        <v>2.2799999999999998</v>
      </c>
      <c r="J19" s="500">
        <f t="shared" si="2"/>
        <v>0.10911764705882353</v>
      </c>
      <c r="K19" s="499">
        <f t="shared" si="3"/>
        <v>2.6823529411764704</v>
      </c>
      <c r="L19" s="500">
        <f t="shared" si="4"/>
        <v>1.2456352403975288E-2</v>
      </c>
      <c r="M19" s="499">
        <f t="shared" si="4"/>
        <v>0.30620467365028203</v>
      </c>
      <c r="N19" s="501">
        <f t="shared" si="5"/>
        <v>0.31866102605425733</v>
      </c>
      <c r="O19" s="472"/>
      <c r="P19" s="429"/>
    </row>
    <row r="20" spans="1:16" ht="13" thickBot="1">
      <c r="A20" s="502" t="s">
        <v>574</v>
      </c>
      <c r="B20" s="502" t="s">
        <v>565</v>
      </c>
      <c r="C20" s="503">
        <v>0.55000000000000004</v>
      </c>
      <c r="D20" s="504">
        <v>40</v>
      </c>
      <c r="E20" s="505">
        <v>5.71</v>
      </c>
      <c r="F20" s="506">
        <v>1.1399999999999999</v>
      </c>
      <c r="G20" s="505">
        <v>0</v>
      </c>
      <c r="H20" s="507">
        <f t="shared" si="0"/>
        <v>0.14274999999999999</v>
      </c>
      <c r="I20" s="508">
        <f t="shared" si="1"/>
        <v>1.1399999999999999</v>
      </c>
      <c r="J20" s="509">
        <f t="shared" si="2"/>
        <v>0.25954545454545452</v>
      </c>
      <c r="K20" s="508">
        <f t="shared" si="3"/>
        <v>2.0727272727272723</v>
      </c>
      <c r="L20" s="509">
        <f t="shared" si="4"/>
        <v>2.9628476546284761E-2</v>
      </c>
      <c r="M20" s="508">
        <f t="shared" si="4"/>
        <v>0.236612702366127</v>
      </c>
      <c r="N20" s="510">
        <f t="shared" si="5"/>
        <v>0.26624117891241178</v>
      </c>
      <c r="O20" s="508">
        <f>N20</f>
        <v>0.26624117891241178</v>
      </c>
      <c r="P20" s="426"/>
    </row>
    <row r="21" spans="1:16">
      <c r="A21" s="511" t="s">
        <v>315</v>
      </c>
      <c r="B21" s="511" t="s">
        <v>575</v>
      </c>
      <c r="C21" s="512">
        <v>0.2</v>
      </c>
      <c r="D21" s="513">
        <v>25</v>
      </c>
      <c r="E21" s="514">
        <v>37</v>
      </c>
      <c r="F21" s="515">
        <v>1</v>
      </c>
      <c r="G21" s="514">
        <v>0</v>
      </c>
      <c r="H21" s="516">
        <f>E21/D21</f>
        <v>1.48</v>
      </c>
      <c r="I21" s="517">
        <f>F21+G21*8760/1000*C21</f>
        <v>1</v>
      </c>
      <c r="J21" s="518">
        <f>H21/C21</f>
        <v>7.3999999999999995</v>
      </c>
      <c r="K21" s="517">
        <f>I21/C21</f>
        <v>5</v>
      </c>
      <c r="L21" s="518">
        <f>J21/8760*1000</f>
        <v>0.84474885844748848</v>
      </c>
      <c r="M21" s="517">
        <f>K21/8760*1000</f>
        <v>0.57077625570776247</v>
      </c>
      <c r="N21" s="519">
        <f>SUM(L21:M21)</f>
        <v>1.415525114155251</v>
      </c>
      <c r="O21" s="520">
        <f>N38</f>
        <v>0.79313246811604099</v>
      </c>
      <c r="P21" s="426"/>
    </row>
    <row r="22" spans="1:16">
      <c r="A22" s="521" t="s">
        <v>316</v>
      </c>
      <c r="B22" s="521" t="s">
        <v>227</v>
      </c>
      <c r="C22" s="522">
        <v>0.2</v>
      </c>
      <c r="D22" s="523">
        <v>25</v>
      </c>
      <c r="E22" s="524">
        <v>32.340000000000003</v>
      </c>
      <c r="F22" s="525">
        <v>0.37</v>
      </c>
      <c r="G22" s="524">
        <v>0</v>
      </c>
      <c r="H22" s="526">
        <f t="shared" si="0"/>
        <v>1.2936000000000001</v>
      </c>
      <c r="I22" s="527">
        <f t="shared" si="1"/>
        <v>0.37</v>
      </c>
      <c r="J22" s="528">
        <f t="shared" si="2"/>
        <v>6.468</v>
      </c>
      <c r="K22" s="527">
        <f t="shared" si="3"/>
        <v>1.8499999999999999</v>
      </c>
      <c r="L22" s="528">
        <f t="shared" si="4"/>
        <v>0.73835616438356166</v>
      </c>
      <c r="M22" s="527">
        <f t="shared" si="4"/>
        <v>0.21118721461187212</v>
      </c>
      <c r="N22" s="529">
        <f t="shared" si="5"/>
        <v>0.94954337899543373</v>
      </c>
      <c r="O22" s="530"/>
      <c r="P22" s="426"/>
    </row>
    <row r="23" spans="1:16" ht="13" thickBot="1">
      <c r="A23" s="493" t="s">
        <v>317</v>
      </c>
      <c r="B23" s="493" t="s">
        <v>565</v>
      </c>
      <c r="C23" s="494">
        <v>0.2</v>
      </c>
      <c r="D23" s="493">
        <v>25</v>
      </c>
      <c r="E23" s="496">
        <v>7.14</v>
      </c>
      <c r="F23" s="497">
        <v>0.12</v>
      </c>
      <c r="G23" s="531">
        <v>0</v>
      </c>
      <c r="H23" s="498">
        <f t="shared" si="0"/>
        <v>0.28559999999999997</v>
      </c>
      <c r="I23" s="496">
        <f t="shared" si="1"/>
        <v>0.12</v>
      </c>
      <c r="J23" s="497">
        <f t="shared" si="2"/>
        <v>1.4279999999999997</v>
      </c>
      <c r="K23" s="496">
        <f t="shared" si="3"/>
        <v>0.6</v>
      </c>
      <c r="L23" s="497">
        <f t="shared" si="4"/>
        <v>0.16301369863013696</v>
      </c>
      <c r="M23" s="496">
        <f t="shared" si="4"/>
        <v>6.8493150684931503E-2</v>
      </c>
      <c r="N23" s="532">
        <f t="shared" si="5"/>
        <v>0.23150684931506846</v>
      </c>
      <c r="O23" s="533"/>
      <c r="P23" s="426"/>
    </row>
    <row r="24" spans="1:16">
      <c r="A24" s="473" t="s">
        <v>440</v>
      </c>
      <c r="B24" s="473" t="s">
        <v>444</v>
      </c>
      <c r="C24" s="534">
        <v>0.4</v>
      </c>
      <c r="D24" s="475">
        <v>25</v>
      </c>
      <c r="E24" s="476">
        <f>10310/1000</f>
        <v>10.31</v>
      </c>
      <c r="F24" s="477">
        <v>1</v>
      </c>
      <c r="G24" s="476">
        <v>0</v>
      </c>
      <c r="H24" s="516">
        <f t="shared" si="0"/>
        <v>0.41240000000000004</v>
      </c>
      <c r="I24" s="517">
        <f t="shared" si="1"/>
        <v>1</v>
      </c>
      <c r="J24" s="518">
        <f t="shared" si="2"/>
        <v>1.0310000000000001</v>
      </c>
      <c r="K24" s="517">
        <f t="shared" si="3"/>
        <v>2.5</v>
      </c>
      <c r="L24" s="518">
        <f t="shared" si="4"/>
        <v>0.11769406392694066</v>
      </c>
      <c r="M24" s="517">
        <f t="shared" si="4"/>
        <v>0.28538812785388123</v>
      </c>
      <c r="N24" s="519">
        <f t="shared" si="5"/>
        <v>0.40308219178082189</v>
      </c>
      <c r="O24" s="482">
        <f>AVERAGE(N24:N25,N26)</f>
        <v>0.23028919330289191</v>
      </c>
      <c r="P24" s="426"/>
    </row>
    <row r="25" spans="1:16">
      <c r="A25" s="535" t="s">
        <v>441</v>
      </c>
      <c r="B25" s="535" t="s">
        <v>443</v>
      </c>
      <c r="C25" s="536">
        <v>0.4</v>
      </c>
      <c r="D25" s="537">
        <v>25</v>
      </c>
      <c r="E25" s="486">
        <v>4.5</v>
      </c>
      <c r="F25" s="487">
        <v>0.38</v>
      </c>
      <c r="G25" s="489">
        <v>0</v>
      </c>
      <c r="H25" s="538">
        <f t="shared" si="0"/>
        <v>0.18</v>
      </c>
      <c r="I25" s="489">
        <f t="shared" si="1"/>
        <v>0.38</v>
      </c>
      <c r="J25" s="490">
        <f t="shared" si="2"/>
        <v>0.44999999999999996</v>
      </c>
      <c r="K25" s="489">
        <f t="shared" si="3"/>
        <v>0.95</v>
      </c>
      <c r="L25" s="490">
        <f t="shared" si="4"/>
        <v>5.1369863013698627E-2</v>
      </c>
      <c r="M25" s="489">
        <f t="shared" si="4"/>
        <v>0.10844748858447488</v>
      </c>
      <c r="N25" s="491">
        <f t="shared" si="5"/>
        <v>0.15981735159817351</v>
      </c>
      <c r="O25" s="492"/>
      <c r="P25" s="426"/>
    </row>
    <row r="26" spans="1:16" ht="13" thickBot="1">
      <c r="A26" s="539" t="s">
        <v>442</v>
      </c>
      <c r="B26" s="539" t="s">
        <v>565</v>
      </c>
      <c r="C26" s="540">
        <v>0.4</v>
      </c>
      <c r="D26" s="539">
        <v>25</v>
      </c>
      <c r="E26" s="499">
        <v>5.71</v>
      </c>
      <c r="F26" s="500">
        <v>0.22</v>
      </c>
      <c r="G26" s="531">
        <v>0</v>
      </c>
      <c r="H26" s="541">
        <f t="shared" si="0"/>
        <v>0.22839999999999999</v>
      </c>
      <c r="I26" s="499">
        <f t="shared" si="1"/>
        <v>0.22</v>
      </c>
      <c r="J26" s="500">
        <f t="shared" si="2"/>
        <v>0.57099999999999995</v>
      </c>
      <c r="K26" s="499">
        <f t="shared" si="3"/>
        <v>0.54999999999999993</v>
      </c>
      <c r="L26" s="500">
        <f t="shared" si="4"/>
        <v>6.5182648401826485E-2</v>
      </c>
      <c r="M26" s="499">
        <f t="shared" si="4"/>
        <v>6.2785388127853878E-2</v>
      </c>
      <c r="N26" s="501">
        <f t="shared" si="5"/>
        <v>0.12796803652968036</v>
      </c>
      <c r="O26" s="472"/>
      <c r="P26" s="426"/>
    </row>
    <row r="27" spans="1:16">
      <c r="A27" s="542" t="s">
        <v>576</v>
      </c>
      <c r="B27" s="542" t="s">
        <v>368</v>
      </c>
      <c r="C27" s="534">
        <v>0.35</v>
      </c>
      <c r="D27" s="475">
        <v>25</v>
      </c>
      <c r="E27" s="476">
        <v>10.1</v>
      </c>
      <c r="F27" s="477">
        <v>0.4</v>
      </c>
      <c r="G27" s="479">
        <v>0</v>
      </c>
      <c r="H27" s="543">
        <f t="shared" si="0"/>
        <v>0.40399999999999997</v>
      </c>
      <c r="I27" s="479">
        <f t="shared" si="1"/>
        <v>0.4</v>
      </c>
      <c r="J27" s="480">
        <f t="shared" si="2"/>
        <v>1.1542857142857144</v>
      </c>
      <c r="K27" s="479">
        <f t="shared" si="3"/>
        <v>1.142857142857143</v>
      </c>
      <c r="L27" s="480">
        <f t="shared" si="4"/>
        <v>0.13176777560339206</v>
      </c>
      <c r="M27" s="479">
        <f t="shared" si="4"/>
        <v>0.13046314416177432</v>
      </c>
      <c r="N27" s="481">
        <f t="shared" si="5"/>
        <v>0.26223091976516638</v>
      </c>
      <c r="O27" s="482">
        <f>AVERAGE(N27,N28,N29:N31)</f>
        <v>0.16974559686888452</v>
      </c>
      <c r="P27" s="426"/>
    </row>
    <row r="28" spans="1:16">
      <c r="A28" s="535" t="s">
        <v>226</v>
      </c>
      <c r="B28" s="535" t="s">
        <v>227</v>
      </c>
      <c r="C28" s="536">
        <v>0.35</v>
      </c>
      <c r="D28" s="485">
        <v>25</v>
      </c>
      <c r="E28" s="486">
        <v>3.8</v>
      </c>
      <c r="F28" s="487">
        <v>0.14399999999999999</v>
      </c>
      <c r="G28" s="489">
        <v>0</v>
      </c>
      <c r="H28" s="538">
        <f t="shared" si="0"/>
        <v>0.152</v>
      </c>
      <c r="I28" s="489">
        <f t="shared" si="1"/>
        <v>0.14399999999999999</v>
      </c>
      <c r="J28" s="490">
        <f t="shared" si="2"/>
        <v>0.43428571428571427</v>
      </c>
      <c r="K28" s="489">
        <f t="shared" si="3"/>
        <v>0.41142857142857142</v>
      </c>
      <c r="L28" s="490">
        <f t="shared" si="4"/>
        <v>4.9575994781474238E-2</v>
      </c>
      <c r="M28" s="489">
        <f t="shared" si="4"/>
        <v>4.6966731898238752E-2</v>
      </c>
      <c r="N28" s="491">
        <f t="shared" si="5"/>
        <v>9.654272667971299E-2</v>
      </c>
      <c r="O28" s="492"/>
      <c r="P28" s="426"/>
    </row>
    <row r="29" spans="1:16">
      <c r="A29" s="535" t="s">
        <v>367</v>
      </c>
      <c r="B29" s="535" t="s">
        <v>577</v>
      </c>
      <c r="C29" s="536">
        <v>0.35</v>
      </c>
      <c r="D29" s="537">
        <v>25</v>
      </c>
      <c r="E29" s="489">
        <v>10.96</v>
      </c>
      <c r="F29" s="490">
        <v>0.17499999999999999</v>
      </c>
      <c r="G29" s="489">
        <v>0</v>
      </c>
      <c r="H29" s="538">
        <f t="shared" si="0"/>
        <v>0.43840000000000001</v>
      </c>
      <c r="I29" s="489">
        <f t="shared" si="1"/>
        <v>0.17499999999999999</v>
      </c>
      <c r="J29" s="490">
        <f t="shared" si="2"/>
        <v>1.2525714285714287</v>
      </c>
      <c r="K29" s="489">
        <f t="shared" si="3"/>
        <v>0.5</v>
      </c>
      <c r="L29" s="490">
        <f t="shared" si="4"/>
        <v>0.14298760600130464</v>
      </c>
      <c r="M29" s="489">
        <f t="shared" si="4"/>
        <v>5.7077625570776253E-2</v>
      </c>
      <c r="N29" s="491">
        <f t="shared" si="5"/>
        <v>0.20006523157208089</v>
      </c>
      <c r="O29" s="492"/>
      <c r="P29" s="426"/>
    </row>
    <row r="30" spans="1:16">
      <c r="A30" s="535" t="s">
        <v>578</v>
      </c>
      <c r="B30" s="535" t="s">
        <v>318</v>
      </c>
      <c r="C30" s="536">
        <v>0.35</v>
      </c>
      <c r="D30" s="537">
        <v>25</v>
      </c>
      <c r="E30" s="489">
        <v>7.4</v>
      </c>
      <c r="F30" s="490">
        <v>0.2</v>
      </c>
      <c r="G30" s="489">
        <v>0</v>
      </c>
      <c r="H30" s="538">
        <f t="shared" si="0"/>
        <v>0.29600000000000004</v>
      </c>
      <c r="I30" s="489">
        <f t="shared" si="1"/>
        <v>0.2</v>
      </c>
      <c r="J30" s="490">
        <f t="shared" si="2"/>
        <v>0.84571428571428586</v>
      </c>
      <c r="K30" s="489">
        <f t="shared" si="3"/>
        <v>0.57142857142857151</v>
      </c>
      <c r="L30" s="490">
        <f t="shared" si="4"/>
        <v>9.6542726679713003E-2</v>
      </c>
      <c r="M30" s="489">
        <f t="shared" si="4"/>
        <v>6.523157208088716E-2</v>
      </c>
      <c r="N30" s="491">
        <f t="shared" si="5"/>
        <v>0.16177429876060018</v>
      </c>
      <c r="O30" s="492"/>
      <c r="P30" s="426"/>
    </row>
    <row r="31" spans="1:16" ht="13" thickBot="1">
      <c r="A31" s="539" t="s">
        <v>579</v>
      </c>
      <c r="B31" s="539" t="s">
        <v>565</v>
      </c>
      <c r="C31" s="540">
        <v>0.35</v>
      </c>
      <c r="D31" s="544">
        <v>25</v>
      </c>
      <c r="E31" s="499">
        <v>2.57</v>
      </c>
      <c r="F31" s="500">
        <v>0.28999999999999998</v>
      </c>
      <c r="G31" s="499">
        <v>0</v>
      </c>
      <c r="H31" s="541">
        <f t="shared" si="0"/>
        <v>0.10279999999999999</v>
      </c>
      <c r="I31" s="499">
        <f t="shared" si="1"/>
        <v>0.28999999999999998</v>
      </c>
      <c r="J31" s="500">
        <f t="shared" si="2"/>
        <v>0.29371428571428571</v>
      </c>
      <c r="K31" s="499">
        <f t="shared" si="3"/>
        <v>0.82857142857142851</v>
      </c>
      <c r="L31" s="500">
        <f>J31/8760*1000</f>
        <v>3.3529028049575992E-2</v>
      </c>
      <c r="M31" s="499">
        <f>K31/8760*1000</f>
        <v>9.4585779517286361E-2</v>
      </c>
      <c r="N31" s="501">
        <f t="shared" si="5"/>
        <v>0.12811480756686236</v>
      </c>
      <c r="O31" s="472"/>
      <c r="P31" s="426"/>
    </row>
    <row r="32" spans="1:16" ht="23" thickBot="1">
      <c r="A32" s="502" t="s">
        <v>437</v>
      </c>
      <c r="B32" s="502" t="s">
        <v>438</v>
      </c>
      <c r="C32" s="503">
        <v>0.8</v>
      </c>
      <c r="D32" s="504">
        <v>40</v>
      </c>
      <c r="E32" s="505">
        <v>20.48</v>
      </c>
      <c r="F32" s="506">
        <v>0.31</v>
      </c>
      <c r="G32" s="505">
        <v>0.06</v>
      </c>
      <c r="H32" s="507">
        <v>0.51200000000000001</v>
      </c>
      <c r="I32" s="508">
        <v>0.73048000000000002</v>
      </c>
      <c r="J32" s="509">
        <v>0.64</v>
      </c>
      <c r="K32" s="508">
        <v>0.91310000000000002</v>
      </c>
      <c r="L32" s="509">
        <v>7.3059360730593603E-2</v>
      </c>
      <c r="M32" s="508">
        <v>0.10423515981735161</v>
      </c>
      <c r="N32" s="510">
        <v>0.1772945205479452</v>
      </c>
      <c r="O32" s="508">
        <f>N32</f>
        <v>0.1772945205479452</v>
      </c>
      <c r="P32" s="426"/>
    </row>
    <row r="33" spans="1:16" ht="13" thickBot="1">
      <c r="A33" s="502" t="s">
        <v>231</v>
      </c>
      <c r="B33" s="502" t="s">
        <v>439</v>
      </c>
      <c r="C33" s="503">
        <v>0.9</v>
      </c>
      <c r="D33" s="504">
        <v>40</v>
      </c>
      <c r="E33" s="505">
        <v>15.2</v>
      </c>
      <c r="F33" s="506">
        <v>0.7</v>
      </c>
      <c r="G33" s="505">
        <v>0</v>
      </c>
      <c r="H33" s="545">
        <f>E33/D33</f>
        <v>0.38</v>
      </c>
      <c r="I33" s="508">
        <f>F33+G33*8760/1000*C33</f>
        <v>0.7</v>
      </c>
      <c r="J33" s="509">
        <f>H33/C33</f>
        <v>0.42222222222222222</v>
      </c>
      <c r="K33" s="508">
        <f>I33/C33</f>
        <v>0.77777777777777768</v>
      </c>
      <c r="L33" s="509">
        <f t="shared" ref="L33:M35" si="6">J33/8760*1000</f>
        <v>4.8198883815322169E-2</v>
      </c>
      <c r="M33" s="508">
        <f t="shared" si="6"/>
        <v>8.8787417554540837E-2</v>
      </c>
      <c r="N33" s="510">
        <f>SUM(L33:M33)</f>
        <v>0.13698630136986301</v>
      </c>
      <c r="O33" s="508">
        <f>N33</f>
        <v>0.13698630136986301</v>
      </c>
      <c r="P33" s="426"/>
    </row>
    <row r="34" spans="1:16" ht="13" thickBot="1">
      <c r="A34" s="546" t="s">
        <v>148</v>
      </c>
      <c r="B34" s="546" t="s">
        <v>229</v>
      </c>
      <c r="C34" s="547">
        <v>0.8</v>
      </c>
      <c r="D34" s="548">
        <v>40</v>
      </c>
      <c r="E34" s="508">
        <v>8.5</v>
      </c>
      <c r="F34" s="509">
        <v>0.18</v>
      </c>
      <c r="G34" s="508">
        <v>5.8999999999999997E-2</v>
      </c>
      <c r="H34" s="545">
        <f>E34/D34</f>
        <v>0.21249999999999999</v>
      </c>
      <c r="I34" s="508">
        <v>0.59</v>
      </c>
      <c r="J34" s="509">
        <f>H34/C34</f>
        <v>0.265625</v>
      </c>
      <c r="K34" s="508">
        <f>I34/C34</f>
        <v>0.73749999999999993</v>
      </c>
      <c r="L34" s="509">
        <f t="shared" si="6"/>
        <v>3.0322488584474887E-2</v>
      </c>
      <c r="M34" s="508">
        <f t="shared" si="6"/>
        <v>8.4189497716894962E-2</v>
      </c>
      <c r="N34" s="510">
        <f>SUM(L34:M34)</f>
        <v>0.11451198630136986</v>
      </c>
      <c r="O34" s="508">
        <f>N34</f>
        <v>0.11451198630136986</v>
      </c>
      <c r="P34" s="426"/>
    </row>
    <row r="35" spans="1:16" ht="13" thickBot="1">
      <c r="A35" s="546" t="s">
        <v>228</v>
      </c>
      <c r="B35" s="546" t="s">
        <v>318</v>
      </c>
      <c r="C35" s="547">
        <v>0.85</v>
      </c>
      <c r="D35" s="548">
        <v>40</v>
      </c>
      <c r="E35" s="508">
        <v>1.02</v>
      </c>
      <c r="F35" s="509">
        <v>0.1</v>
      </c>
      <c r="G35" s="508">
        <v>0.09</v>
      </c>
      <c r="H35" s="545">
        <f>E35/D35</f>
        <v>2.5500000000000002E-2</v>
      </c>
      <c r="I35" s="508">
        <f>F35+G35*8760/1000*C35</f>
        <v>0.77013999999999994</v>
      </c>
      <c r="J35" s="509">
        <f>H35/C35</f>
        <v>3.0000000000000002E-2</v>
      </c>
      <c r="K35" s="508">
        <f>I35/C35</f>
        <v>0.90604705882352932</v>
      </c>
      <c r="L35" s="509">
        <f t="shared" si="6"/>
        <v>3.4246575342465756E-3</v>
      </c>
      <c r="M35" s="508">
        <f t="shared" si="6"/>
        <v>0.10343002954606499</v>
      </c>
      <c r="N35" s="510">
        <f>SUM(L35:M35)</f>
        <v>0.10685468708031157</v>
      </c>
      <c r="O35" s="508">
        <f>N35</f>
        <v>0.10685468708031157</v>
      </c>
      <c r="P35" s="426"/>
    </row>
    <row r="36" spans="1:16">
      <c r="A36" s="549" t="s">
        <v>433</v>
      </c>
      <c r="B36" s="549" t="s">
        <v>435</v>
      </c>
      <c r="C36" s="550">
        <v>1</v>
      </c>
      <c r="D36" s="551">
        <v>20</v>
      </c>
      <c r="E36" s="552" t="s">
        <v>0</v>
      </c>
      <c r="F36" s="553"/>
      <c r="G36" s="553"/>
      <c r="H36" s="553"/>
      <c r="I36" s="553"/>
      <c r="J36" s="553"/>
      <c r="K36" s="553"/>
      <c r="L36" s="553"/>
      <c r="M36" s="554"/>
      <c r="N36" s="555">
        <v>0.17</v>
      </c>
      <c r="O36" s="556">
        <f>AVERAGE(N36,N37)</f>
        <v>0.38</v>
      </c>
      <c r="P36" s="426"/>
    </row>
    <row r="37" spans="1:16">
      <c r="A37" s="535" t="s">
        <v>434</v>
      </c>
      <c r="B37" s="535" t="s">
        <v>436</v>
      </c>
      <c r="C37" s="557">
        <v>1</v>
      </c>
      <c r="D37" s="537">
        <v>20</v>
      </c>
      <c r="E37" s="558" t="s">
        <v>0</v>
      </c>
      <c r="F37" s="559"/>
      <c r="G37" s="559"/>
      <c r="H37" s="559"/>
      <c r="I37" s="559"/>
      <c r="J37" s="559"/>
      <c r="K37" s="559"/>
      <c r="L37" s="559"/>
      <c r="M37" s="560"/>
      <c r="N37" s="491">
        <v>0.59</v>
      </c>
      <c r="O37" s="561"/>
      <c r="P37" s="426"/>
    </row>
    <row r="38" spans="1:16">
      <c r="A38" s="81" t="s">
        <v>730</v>
      </c>
      <c r="B38" s="81" t="s">
        <v>731</v>
      </c>
      <c r="C38" s="562">
        <v>0.2</v>
      </c>
      <c r="D38" s="81">
        <v>25</v>
      </c>
      <c r="E38" s="382">
        <f>(97031+32490+15112+20185)/B39</f>
        <v>14.698366579021558</v>
      </c>
      <c r="F38" s="382">
        <f>(8989)/B39</f>
        <v>0.80163342097844159</v>
      </c>
      <c r="G38" s="81">
        <v>0</v>
      </c>
      <c r="H38" s="382">
        <f>E38/D38</f>
        <v>0.58793466316086229</v>
      </c>
      <c r="I38" s="382">
        <f>F38</f>
        <v>0.80163342097844159</v>
      </c>
      <c r="J38" s="382">
        <f>H38/C38</f>
        <v>2.9396733158043111</v>
      </c>
      <c r="K38" s="382">
        <f>I38/C38</f>
        <v>4.0081671048922081</v>
      </c>
      <c r="L38" s="382">
        <f>J38/8760*1000</f>
        <v>0.33557914563976154</v>
      </c>
      <c r="M38" s="382">
        <f>K38/8760*1000</f>
        <v>0.4575533224762795</v>
      </c>
      <c r="N38" s="81">
        <f>L38+M38</f>
        <v>0.79313246811604099</v>
      </c>
      <c r="P38" s="426"/>
    </row>
    <row r="39" spans="1:16">
      <c r="B39" s="81">
        <f>173807/15.5</f>
        <v>11213.354838709678</v>
      </c>
      <c r="P39" s="426"/>
    </row>
    <row r="40" spans="1:16" ht="14">
      <c r="A40"/>
      <c r="B40"/>
      <c r="C40"/>
      <c r="D40"/>
      <c r="E40"/>
      <c r="F40"/>
      <c r="G40"/>
      <c r="H40"/>
      <c r="I40"/>
      <c r="J40"/>
      <c r="K40"/>
      <c r="L40"/>
      <c r="M40"/>
      <c r="N40"/>
      <c r="O40"/>
      <c r="P40" s="426"/>
    </row>
    <row r="41" spans="1:16" ht="14">
      <c r="A41"/>
      <c r="B41"/>
      <c r="C41"/>
      <c r="D41"/>
      <c r="E41"/>
      <c r="F41"/>
      <c r="G41"/>
      <c r="H41"/>
      <c r="I41"/>
      <c r="J41"/>
      <c r="K41"/>
      <c r="L41"/>
      <c r="M41"/>
      <c r="N41"/>
      <c r="O41"/>
      <c r="P41" s="426"/>
    </row>
    <row r="42" spans="1:16" ht="14">
      <c r="A42"/>
      <c r="B42"/>
      <c r="C42"/>
      <c r="D42"/>
      <c r="E42"/>
      <c r="F42"/>
      <c r="G42"/>
      <c r="H42"/>
      <c r="I42"/>
      <c r="J42"/>
      <c r="K42"/>
      <c r="L42"/>
      <c r="M42"/>
      <c r="N42"/>
      <c r="O42"/>
      <c r="P42" s="426"/>
    </row>
    <row r="43" spans="1:16" ht="14">
      <c r="A43"/>
      <c r="B43"/>
      <c r="C43"/>
      <c r="D43"/>
      <c r="E43"/>
      <c r="F43"/>
      <c r="G43"/>
      <c r="H43"/>
      <c r="I43"/>
      <c r="J43"/>
      <c r="K43"/>
      <c r="L43"/>
      <c r="M43"/>
      <c r="N43"/>
      <c r="O43"/>
      <c r="P43" s="426"/>
    </row>
    <row r="44" spans="1:16" ht="14">
      <c r="A44"/>
      <c r="B44"/>
      <c r="C44"/>
      <c r="D44"/>
      <c r="E44"/>
      <c r="F44"/>
      <c r="G44"/>
      <c r="H44"/>
      <c r="I44"/>
      <c r="J44"/>
      <c r="K44"/>
      <c r="L44"/>
      <c r="M44"/>
      <c r="N44"/>
      <c r="O44"/>
      <c r="P44" s="426"/>
    </row>
    <row r="45" spans="1:16" ht="14">
      <c r="A45"/>
      <c r="B45"/>
      <c r="C45"/>
      <c r="D45"/>
      <c r="E45"/>
      <c r="F45"/>
      <c r="G45"/>
      <c r="H45"/>
      <c r="I45"/>
      <c r="J45"/>
      <c r="K45"/>
      <c r="L45"/>
      <c r="M45"/>
      <c r="N45"/>
      <c r="O45"/>
      <c r="P45" s="426"/>
    </row>
    <row r="46" spans="1:16">
      <c r="A46" s="426"/>
      <c r="B46" s="426"/>
      <c r="C46" s="426"/>
      <c r="D46" s="426"/>
      <c r="E46" s="426"/>
      <c r="F46" s="426"/>
      <c r="G46" s="426"/>
      <c r="H46" s="426"/>
      <c r="I46" s="426"/>
      <c r="J46" s="426"/>
      <c r="K46" s="426"/>
      <c r="L46" s="426"/>
      <c r="M46" s="426"/>
      <c r="N46" s="426"/>
      <c r="O46" s="426"/>
      <c r="P46" s="426"/>
    </row>
    <row r="47" spans="1:16">
      <c r="A47" s="426"/>
      <c r="B47" s="426"/>
      <c r="C47" s="426"/>
      <c r="D47" s="426"/>
      <c r="E47" s="426"/>
      <c r="F47" s="426"/>
      <c r="G47" s="426"/>
      <c r="H47" s="426"/>
      <c r="I47" s="426"/>
      <c r="J47" s="426"/>
      <c r="K47" s="426"/>
      <c r="L47" s="426"/>
      <c r="M47" s="426"/>
      <c r="N47" s="427"/>
      <c r="O47" s="426"/>
      <c r="P47" s="426"/>
    </row>
    <row r="49" s="81" customFormat="1"/>
    <row r="50" s="81" customFormat="1"/>
    <row r="51" s="81" customFormat="1"/>
    <row r="52" s="81" customFormat="1"/>
    <row r="53" s="81" customFormat="1"/>
    <row r="54" s="81" customFormat="1"/>
    <row r="55" s="81" customFormat="1"/>
    <row r="56" s="81" customFormat="1"/>
    <row r="57" s="81" customFormat="1"/>
    <row r="58" s="81" customFormat="1"/>
    <row r="59" s="81" customFormat="1"/>
  </sheetData>
  <mergeCells count="20">
    <mergeCell ref="A1:P9"/>
    <mergeCell ref="A10:A11"/>
    <mergeCell ref="B10:B11"/>
    <mergeCell ref="C10:C12"/>
    <mergeCell ref="D10:D12"/>
    <mergeCell ref="E10:G11"/>
    <mergeCell ref="H10:O10"/>
    <mergeCell ref="H11:I11"/>
    <mergeCell ref="J11:K11"/>
    <mergeCell ref="L11:O11"/>
    <mergeCell ref="P12:P19"/>
    <mergeCell ref="O13:O14"/>
    <mergeCell ref="O15:O17"/>
    <mergeCell ref="O18:O19"/>
    <mergeCell ref="O21:O23"/>
    <mergeCell ref="O24:O26"/>
    <mergeCell ref="O27:O31"/>
    <mergeCell ref="E36:M36"/>
    <mergeCell ref="O36:O37"/>
    <mergeCell ref="E37:M37"/>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5" activePane="bottomRight" state="frozen"/>
      <selection activeCell="B1" sqref="B1"/>
      <selection pane="topRight" activeCell="H1" sqref="H1"/>
      <selection pane="bottomLeft" activeCell="B11" sqref="B11"/>
      <selection pane="bottomRight" activeCell="J28" sqref="J28"/>
    </sheetView>
  </sheetViews>
  <sheetFormatPr baseColWidth="10" defaultColWidth="8.83203125" defaultRowHeight="14" x14ac:dyDescent="0"/>
  <cols>
    <col min="1" max="1" width="10.5" style="157" hidden="1" customWidth="1"/>
    <col min="2" max="2" width="6.83203125" style="158" customWidth="1"/>
    <col min="3" max="3" width="5.1640625" style="155" bestFit="1" customWidth="1"/>
    <col min="4" max="5" width="21.5" style="155" hidden="1" customWidth="1"/>
    <col min="6" max="6" width="28.83203125" style="155" customWidth="1"/>
    <col min="7" max="7" width="31.6640625" style="155" customWidth="1"/>
    <col min="8" max="8" width="40.83203125" style="157" customWidth="1"/>
    <col min="9" max="9" width="60.83203125" style="155" customWidth="1"/>
    <col min="10" max="10" width="86" style="155" customWidth="1"/>
    <col min="11" max="16384" width="8.83203125" style="155"/>
  </cols>
  <sheetData>
    <row r="1" spans="1:12">
      <c r="B1" s="431"/>
      <c r="C1" s="431"/>
      <c r="D1" s="431"/>
      <c r="E1" s="431"/>
      <c r="F1" s="431"/>
      <c r="G1" s="431"/>
      <c r="H1" s="431"/>
      <c r="I1" s="431"/>
      <c r="J1" s="431"/>
      <c r="K1" s="431"/>
      <c r="L1" s="431"/>
    </row>
    <row r="2" spans="1:12">
      <c r="B2" s="431"/>
      <c r="C2" s="431"/>
      <c r="D2" s="431"/>
      <c r="E2" s="431"/>
      <c r="F2" s="431"/>
      <c r="G2" s="431"/>
      <c r="H2" s="431"/>
      <c r="I2" s="431"/>
      <c r="J2" s="431"/>
      <c r="K2" s="431"/>
      <c r="L2" s="431"/>
    </row>
    <row r="3" spans="1:12">
      <c r="B3" s="431"/>
      <c r="C3" s="431"/>
      <c r="D3" s="431"/>
      <c r="E3" s="431"/>
      <c r="F3" s="431"/>
      <c r="G3" s="431"/>
      <c r="H3" s="431"/>
      <c r="I3" s="431"/>
      <c r="J3" s="431"/>
      <c r="K3" s="431"/>
      <c r="L3" s="431"/>
    </row>
    <row r="4" spans="1:12">
      <c r="B4" s="431"/>
      <c r="C4" s="431"/>
      <c r="D4" s="431"/>
      <c r="E4" s="431"/>
      <c r="F4" s="431"/>
      <c r="G4" s="431"/>
      <c r="H4" s="431"/>
      <c r="I4" s="431"/>
      <c r="J4" s="431"/>
      <c r="K4" s="431"/>
      <c r="L4" s="431"/>
    </row>
    <row r="5" spans="1:12">
      <c r="B5" s="431"/>
      <c r="C5" s="431"/>
      <c r="D5" s="431"/>
      <c r="E5" s="431"/>
      <c r="F5" s="431"/>
      <c r="G5" s="431"/>
      <c r="H5" s="431"/>
      <c r="I5" s="431"/>
      <c r="J5" s="431"/>
      <c r="K5" s="431"/>
      <c r="L5" s="431"/>
    </row>
    <row r="6" spans="1:12">
      <c r="B6" s="431"/>
      <c r="C6" s="431"/>
      <c r="D6" s="431"/>
      <c r="E6" s="431"/>
      <c r="F6" s="431"/>
      <c r="G6" s="431"/>
      <c r="H6" s="431"/>
      <c r="I6" s="431"/>
      <c r="J6" s="431"/>
      <c r="K6" s="431"/>
      <c r="L6" s="431"/>
    </row>
    <row r="7" spans="1:12">
      <c r="B7" s="431"/>
      <c r="C7" s="431"/>
      <c r="D7" s="431"/>
      <c r="E7" s="431"/>
      <c r="F7" s="431"/>
      <c r="G7" s="431"/>
      <c r="H7" s="431"/>
      <c r="I7" s="431"/>
      <c r="J7" s="431"/>
      <c r="K7" s="431"/>
      <c r="L7" s="431"/>
    </row>
    <row r="8" spans="1:12">
      <c r="B8" s="431"/>
      <c r="C8" s="431"/>
      <c r="D8" s="431"/>
      <c r="E8" s="431"/>
      <c r="F8" s="431"/>
      <c r="G8" s="431"/>
      <c r="H8" s="431"/>
      <c r="I8" s="431"/>
      <c r="J8" s="431"/>
      <c r="K8" s="431"/>
      <c r="L8" s="431"/>
    </row>
    <row r="9" spans="1:12" ht="48" customHeight="1">
      <c r="B9" s="431"/>
      <c r="C9" s="431"/>
      <c r="D9" s="431"/>
      <c r="E9" s="431"/>
      <c r="F9" s="431"/>
      <c r="G9" s="431"/>
      <c r="H9" s="431"/>
      <c r="I9" s="431"/>
      <c r="J9" s="431"/>
      <c r="K9" s="431"/>
      <c r="L9" s="431"/>
    </row>
    <row r="10" spans="1:12" s="145" customFormat="1" ht="15" thickBot="1">
      <c r="A10" s="140" t="s">
        <v>155</v>
      </c>
      <c r="B10" s="141" t="s">
        <v>466</v>
      </c>
      <c r="C10" s="142" t="s">
        <v>150</v>
      </c>
      <c r="D10" s="142" t="s">
        <v>467</v>
      </c>
      <c r="E10" s="142" t="s">
        <v>271</v>
      </c>
      <c r="F10" s="142" t="s">
        <v>467</v>
      </c>
      <c r="G10" s="142" t="s">
        <v>151</v>
      </c>
      <c r="H10" s="143" t="s">
        <v>152</v>
      </c>
      <c r="I10" s="142" t="s">
        <v>153</v>
      </c>
      <c r="J10" s="144" t="s">
        <v>269</v>
      </c>
    </row>
    <row r="11" spans="1:12" s="146" customFormat="1" ht="84">
      <c r="A11" s="146" t="s">
        <v>149</v>
      </c>
      <c r="B11" s="147">
        <v>1</v>
      </c>
      <c r="C11" s="148">
        <v>2009</v>
      </c>
      <c r="D11" s="148" t="s">
        <v>283</v>
      </c>
      <c r="E11" s="148" t="s">
        <v>281</v>
      </c>
      <c r="F11" s="148" t="str">
        <f>D11 &amp; " - " &amp; E11</f>
        <v>Isabel Blanco and Christian Kjaer - European Wind Energy Association</v>
      </c>
      <c r="G11" s="148" t="s">
        <v>282</v>
      </c>
      <c r="H11" s="148" t="s">
        <v>559</v>
      </c>
      <c r="I11" s="148" t="s">
        <v>468</v>
      </c>
      <c r="J11" s="146" t="s">
        <v>469</v>
      </c>
    </row>
    <row r="12" spans="1:12" s="146" customFormat="1" ht="28">
      <c r="B12" s="149">
        <f>B11+1</f>
        <v>2</v>
      </c>
      <c r="C12" s="150">
        <v>2009</v>
      </c>
      <c r="D12" s="150" t="s">
        <v>470</v>
      </c>
      <c r="E12" s="150" t="s">
        <v>471</v>
      </c>
      <c r="F12" s="148" t="str">
        <f t="shared" ref="F12:F26" si="0">D12 &amp; " - " &amp; E12</f>
        <v>Julio Friedmann - Lawrence Livermore National Laboratory</v>
      </c>
      <c r="G12" s="150" t="s">
        <v>472</v>
      </c>
      <c r="H12" s="150" t="s">
        <v>473</v>
      </c>
      <c r="I12" s="150" t="s">
        <v>474</v>
      </c>
    </row>
    <row r="13" spans="1:12" s="146" customFormat="1" ht="28">
      <c r="B13" s="149">
        <f>B12+1</f>
        <v>3</v>
      </c>
      <c r="C13" s="150">
        <v>2009</v>
      </c>
      <c r="D13" s="150" t="s">
        <v>475</v>
      </c>
      <c r="E13" s="150" t="s">
        <v>476</v>
      </c>
      <c r="F13" s="148" t="str">
        <f t="shared" si="0"/>
        <v>José Goldemberg  - State of São Paulo, Brazil</v>
      </c>
      <c r="G13" s="150" t="s">
        <v>477</v>
      </c>
      <c r="H13" s="150"/>
      <c r="I13" s="150"/>
    </row>
    <row r="14" spans="1:12" s="146" customFormat="1" ht="42">
      <c r="B14" s="151">
        <f>B13+1</f>
        <v>4</v>
      </c>
      <c r="C14" s="152">
        <v>2009</v>
      </c>
      <c r="D14" s="152" t="s">
        <v>478</v>
      </c>
      <c r="E14" s="152" t="s">
        <v>479</v>
      </c>
      <c r="F14" s="148" t="str">
        <f t="shared" si="0"/>
        <v xml:space="preserve">SkyFuels - National Renewable Energy Laboratory </v>
      </c>
      <c r="G14" s="152" t="s">
        <v>480</v>
      </c>
      <c r="H14" s="152" t="s">
        <v>481</v>
      </c>
      <c r="I14" s="152" t="s">
        <v>482</v>
      </c>
    </row>
    <row r="15" spans="1:12" s="153" customFormat="1" ht="93.75" customHeight="1">
      <c r="A15" s="150" t="s">
        <v>230</v>
      </c>
      <c r="B15" s="149">
        <f>B14+1</f>
        <v>5</v>
      </c>
      <c r="C15" s="150">
        <v>2008</v>
      </c>
      <c r="D15" s="150" t="s">
        <v>280</v>
      </c>
      <c r="E15" s="150" t="s">
        <v>278</v>
      </c>
      <c r="F15" s="148" t="str">
        <f t="shared" si="0"/>
        <v>John A. "Skip" Laitner and Vanessa McKinney - American Council for an Energy Efficient Economy</v>
      </c>
      <c r="G15" s="150" t="s">
        <v>279</v>
      </c>
      <c r="H15" s="150" t="s">
        <v>154</v>
      </c>
      <c r="I15" s="150" t="s">
        <v>483</v>
      </c>
      <c r="J15" s="146" t="s">
        <v>484</v>
      </c>
    </row>
    <row r="16" spans="1:12" s="153" customFormat="1" ht="42">
      <c r="A16" s="150"/>
      <c r="B16" s="149">
        <f>B15+1</f>
        <v>6</v>
      </c>
      <c r="C16" s="150">
        <v>2008</v>
      </c>
      <c r="D16" s="150" t="s">
        <v>485</v>
      </c>
      <c r="E16" s="150" t="s">
        <v>486</v>
      </c>
      <c r="F16" s="148" t="str">
        <f t="shared" si="0"/>
        <v>David Roland-Holst - University of California, Berkeley</v>
      </c>
      <c r="G16" s="150" t="s">
        <v>487</v>
      </c>
      <c r="H16" s="150" t="s">
        <v>488</v>
      </c>
      <c r="I16" s="150" t="s">
        <v>489</v>
      </c>
      <c r="J16" s="146"/>
    </row>
    <row r="17" spans="1:10" s="153" customFormat="1" ht="28">
      <c r="A17" s="150"/>
      <c r="B17" s="149">
        <v>7</v>
      </c>
      <c r="C17" s="150">
        <v>2007</v>
      </c>
      <c r="D17" s="150" t="s">
        <v>503</v>
      </c>
      <c r="E17" s="150" t="s">
        <v>0</v>
      </c>
      <c r="F17" s="148" t="str">
        <f>D17</f>
        <v>Vestas</v>
      </c>
      <c r="G17" s="150" t="s">
        <v>504</v>
      </c>
      <c r="H17" s="150" t="s">
        <v>505</v>
      </c>
      <c r="I17" s="150" t="s">
        <v>506</v>
      </c>
      <c r="J17" s="146"/>
    </row>
    <row r="18" spans="1:10" s="153" customFormat="1" ht="42">
      <c r="A18" s="150"/>
      <c r="B18" s="149">
        <v>8</v>
      </c>
      <c r="C18" s="150">
        <v>2006</v>
      </c>
      <c r="D18" s="150" t="s">
        <v>490</v>
      </c>
      <c r="E18" s="150" t="s">
        <v>491</v>
      </c>
      <c r="F18" s="148" t="str">
        <f t="shared" si="0"/>
        <v>Winfried Hoffman, Sven Teske - European Photovoltaic Industry Association (EPIA) and Greenpeace</v>
      </c>
      <c r="G18" s="150" t="s">
        <v>492</v>
      </c>
      <c r="H18" s="150" t="s">
        <v>493</v>
      </c>
      <c r="I18" s="150" t="s">
        <v>494</v>
      </c>
      <c r="J18" s="146"/>
    </row>
    <row r="19" spans="1:10" s="153" customFormat="1" ht="84" customHeight="1">
      <c r="A19" s="150" t="s">
        <v>268</v>
      </c>
      <c r="B19" s="149">
        <v>9</v>
      </c>
      <c r="C19" s="150">
        <v>2006</v>
      </c>
      <c r="D19" s="150" t="s">
        <v>284</v>
      </c>
      <c r="E19" s="150" t="s">
        <v>285</v>
      </c>
      <c r="F19" s="148" t="str">
        <f t="shared" si="0"/>
        <v>Frithjof Staiss, et al. - Forschungsvorhaben im Auftrag des Bundesministeriums für Umwelt, Naturschutz und Reaktorsicherheit, Federal Republic of Germany.</v>
      </c>
      <c r="G19" s="150" t="s">
        <v>539</v>
      </c>
      <c r="H19" s="150" t="s">
        <v>540</v>
      </c>
      <c r="I19" s="150"/>
      <c r="J19" s="146" t="s">
        <v>495</v>
      </c>
    </row>
    <row r="20" spans="1:10" s="153" customFormat="1" ht="42">
      <c r="A20" s="150" t="s">
        <v>320</v>
      </c>
      <c r="B20" s="149">
        <v>10</v>
      </c>
      <c r="C20" s="150">
        <v>2006</v>
      </c>
      <c r="D20" s="150" t="s">
        <v>329</v>
      </c>
      <c r="E20" s="150" t="s">
        <v>326</v>
      </c>
      <c r="F20" s="148" t="str">
        <f t="shared" si="0"/>
        <v>George Sterzinger - Renewable Energy Policy Project (REPP)</v>
      </c>
      <c r="G20" s="150" t="s">
        <v>330</v>
      </c>
      <c r="H20" s="150" t="s">
        <v>496</v>
      </c>
      <c r="I20" s="150" t="s">
        <v>0</v>
      </c>
      <c r="J20" s="146" t="s">
        <v>331</v>
      </c>
    </row>
    <row r="21" spans="1:10" s="153" customFormat="1" ht="70">
      <c r="A21" s="150" t="s">
        <v>497</v>
      </c>
      <c r="B21" s="149">
        <v>11</v>
      </c>
      <c r="C21" s="150">
        <v>2006</v>
      </c>
      <c r="D21" s="150" t="s">
        <v>498</v>
      </c>
      <c r="E21" s="150" t="s">
        <v>499</v>
      </c>
      <c r="F21" s="148" t="str">
        <f t="shared" si="0"/>
        <v>L. Stoddard, J. Abiecunas, R. O'Connell - National Renewable Energy Laboratory</v>
      </c>
      <c r="G21" s="150" t="s">
        <v>500</v>
      </c>
      <c r="H21" s="150" t="s">
        <v>560</v>
      </c>
      <c r="I21" s="150" t="s">
        <v>501</v>
      </c>
      <c r="J21" s="146" t="s">
        <v>502</v>
      </c>
    </row>
    <row r="22" spans="1:10" s="153" customFormat="1" ht="42">
      <c r="A22" s="150" t="s">
        <v>507</v>
      </c>
      <c r="B22" s="149">
        <v>12</v>
      </c>
      <c r="C22" s="150">
        <v>2005</v>
      </c>
      <c r="D22" s="150" t="s">
        <v>508</v>
      </c>
      <c r="E22" s="150" t="s">
        <v>509</v>
      </c>
      <c r="F22" s="148" t="str">
        <f t="shared" si="0"/>
        <v>Doug Arent, John Tschirhart, Dick Watsson - Western Governors' Association: Geothermal Task Force</v>
      </c>
      <c r="G22" s="150" t="s">
        <v>510</v>
      </c>
      <c r="H22" s="150" t="s">
        <v>511</v>
      </c>
      <c r="I22" s="150"/>
      <c r="J22" s="146" t="s">
        <v>512</v>
      </c>
    </row>
    <row r="23" spans="1:10" s="153" customFormat="1" ht="70">
      <c r="A23" s="154"/>
      <c r="B23" s="149">
        <v>13</v>
      </c>
      <c r="C23" s="150">
        <v>2005</v>
      </c>
      <c r="D23" s="150" t="s">
        <v>513</v>
      </c>
      <c r="E23" s="150" t="s">
        <v>514</v>
      </c>
      <c r="F23" s="148" t="str">
        <f t="shared" si="0"/>
        <v>Jose Gil and Hugo Lucas - Institute for Diversification and Saving of Energy (Instituto para la Diversificacion y Ahorro de la Energia, IDAE)</v>
      </c>
      <c r="G23" s="150" t="s">
        <v>515</v>
      </c>
      <c r="H23" s="150" t="s">
        <v>538</v>
      </c>
      <c r="I23" s="150" t="s">
        <v>536</v>
      </c>
      <c r="J23" s="146" t="s">
        <v>537</v>
      </c>
    </row>
    <row r="24" spans="1:10" s="153" customFormat="1" ht="56">
      <c r="A24" s="150" t="s">
        <v>275</v>
      </c>
      <c r="B24" s="149">
        <v>14</v>
      </c>
      <c r="C24" s="150">
        <v>2004</v>
      </c>
      <c r="D24" s="150" t="s">
        <v>272</v>
      </c>
      <c r="E24" s="150" t="s">
        <v>273</v>
      </c>
      <c r="F24" s="148" t="str">
        <f t="shared" si="0"/>
        <v xml:space="preserve">Daniel M. Kammen, Kamal Kapadia, and Matthias Fripp - Energy and Resources Group, Universtiy of California, Berkeley.  </v>
      </c>
      <c r="G24" s="150" t="s">
        <v>270</v>
      </c>
      <c r="H24" s="150" t="s">
        <v>276</v>
      </c>
      <c r="I24" s="150" t="s">
        <v>277</v>
      </c>
      <c r="J24" s="146" t="s">
        <v>516</v>
      </c>
    </row>
    <row r="25" spans="1:10" s="153" customFormat="1" ht="70.5" customHeight="1">
      <c r="A25" s="150" t="s">
        <v>231</v>
      </c>
      <c r="B25" s="149">
        <v>15</v>
      </c>
      <c r="C25" s="150">
        <v>2004</v>
      </c>
      <c r="D25" s="150" t="s">
        <v>274</v>
      </c>
      <c r="E25" s="150" t="s">
        <v>319</v>
      </c>
      <c r="F25" s="148" t="str">
        <f t="shared" si="0"/>
        <v>C.R. Kenley, et al.  - Idaho National Engineering and Environmental Laboratory (INEEL) and Bechtel BWXT Idaho, LLC</v>
      </c>
      <c r="G25" s="150" t="s">
        <v>517</v>
      </c>
      <c r="H25" s="150" t="s">
        <v>518</v>
      </c>
      <c r="I25" s="150" t="s">
        <v>519</v>
      </c>
      <c r="J25" s="146" t="s">
        <v>520</v>
      </c>
    </row>
    <row r="26" spans="1:10" s="153" customFormat="1" ht="70">
      <c r="A26" s="150" t="s">
        <v>320</v>
      </c>
      <c r="B26" s="149">
        <v>16</v>
      </c>
      <c r="C26" s="150">
        <v>2002</v>
      </c>
      <c r="D26" s="150" t="s">
        <v>321</v>
      </c>
      <c r="E26" s="150" t="s">
        <v>322</v>
      </c>
      <c r="F26" s="148" t="str">
        <f t="shared" si="0"/>
        <v>Heavner and Churchill - CALPIRG (California Public Interest Research Group) Charitable Trust</v>
      </c>
      <c r="G26" s="150" t="s">
        <v>323</v>
      </c>
      <c r="H26" s="150" t="s">
        <v>521</v>
      </c>
      <c r="I26" s="150" t="s">
        <v>522</v>
      </c>
      <c r="J26" s="146" t="s">
        <v>324</v>
      </c>
    </row>
    <row r="27" spans="1:10" s="153" customFormat="1" ht="112">
      <c r="A27" s="150" t="s">
        <v>320</v>
      </c>
      <c r="B27" s="149">
        <f>B26+1</f>
        <v>17</v>
      </c>
      <c r="C27" s="150">
        <v>2001</v>
      </c>
      <c r="D27" s="150" t="s">
        <v>325</v>
      </c>
      <c r="E27" s="150" t="s">
        <v>326</v>
      </c>
      <c r="F27" s="150" t="s">
        <v>542</v>
      </c>
      <c r="G27" s="150" t="s">
        <v>327</v>
      </c>
      <c r="H27" s="150" t="s">
        <v>523</v>
      </c>
      <c r="I27" s="150" t="s">
        <v>524</v>
      </c>
      <c r="J27" s="146" t="s">
        <v>328</v>
      </c>
    </row>
    <row r="28" spans="1:10" ht="71" customHeight="1">
      <c r="A28" s="150"/>
      <c r="B28" s="149">
        <v>18</v>
      </c>
      <c r="C28" s="150">
        <v>2008</v>
      </c>
      <c r="D28" s="150"/>
      <c r="E28" s="150"/>
      <c r="F28" s="150"/>
      <c r="G28" s="424" t="s">
        <v>726</v>
      </c>
      <c r="H28" s="425" t="s">
        <v>727</v>
      </c>
      <c r="I28" s="425" t="s">
        <v>728</v>
      </c>
      <c r="J28" s="146" t="s">
        <v>729</v>
      </c>
    </row>
    <row r="29" spans="1:10">
      <c r="A29" s="150"/>
      <c r="B29" s="149"/>
      <c r="C29" s="150"/>
      <c r="D29" s="150"/>
      <c r="E29" s="150"/>
      <c r="F29" s="150"/>
      <c r="G29" s="424" t="s">
        <v>0</v>
      </c>
      <c r="H29" s="425"/>
      <c r="I29" s="425"/>
      <c r="J29" s="146"/>
    </row>
    <row r="30" spans="1:10">
      <c r="A30" s="150"/>
      <c r="B30" s="149"/>
      <c r="C30" s="150"/>
      <c r="D30" s="150"/>
      <c r="E30" s="150"/>
      <c r="F30" s="150"/>
      <c r="G30" s="150"/>
      <c r="H30" s="150"/>
      <c r="I30" s="150"/>
      <c r="J30" s="146"/>
    </row>
    <row r="31" spans="1:10" s="153" customFormat="1">
      <c r="A31" s="146"/>
      <c r="B31" s="156"/>
      <c r="C31" s="146"/>
      <c r="D31" s="146"/>
      <c r="E31" s="146"/>
      <c r="F31" s="146"/>
      <c r="G31" s="146"/>
      <c r="H31" s="146"/>
      <c r="I31" s="146"/>
      <c r="J31" s="146"/>
    </row>
    <row r="32" spans="1:10">
      <c r="A32" s="155"/>
      <c r="B32" s="156"/>
      <c r="C32" s="146"/>
      <c r="D32" s="146"/>
      <c r="E32" s="146"/>
      <c r="F32" s="146"/>
      <c r="G32" s="146"/>
      <c r="H32" s="146"/>
      <c r="I32" s="146"/>
      <c r="J32" s="146"/>
    </row>
    <row r="33" spans="1:10">
      <c r="A33" s="155"/>
      <c r="B33" s="156"/>
      <c r="C33" s="146"/>
      <c r="D33" s="146"/>
      <c r="E33" s="146"/>
      <c r="F33" s="146"/>
      <c r="G33" s="146"/>
      <c r="H33" s="146"/>
      <c r="I33" s="146"/>
      <c r="J33" s="146"/>
    </row>
    <row r="34" spans="1:10">
      <c r="A34" s="155"/>
      <c r="B34" s="156"/>
      <c r="C34" s="146"/>
      <c r="D34" s="146"/>
      <c r="E34" s="146"/>
      <c r="F34" s="146"/>
      <c r="G34" s="146"/>
      <c r="H34" s="146"/>
      <c r="I34" s="146"/>
      <c r="J34" s="146"/>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37"/>
  <sheetViews>
    <sheetView topLeftCell="A20" zoomScale="70" zoomScaleNormal="70" zoomScalePageLayoutView="70" workbookViewId="0">
      <selection activeCell="G56" sqref="G56"/>
    </sheetView>
  </sheetViews>
  <sheetFormatPr baseColWidth="10" defaultColWidth="12.5" defaultRowHeight="16" x14ac:dyDescent="0"/>
  <cols>
    <col min="1" max="1" width="47.33203125" style="5" customWidth="1"/>
    <col min="2" max="2" width="13.6640625" style="314" bestFit="1" customWidth="1"/>
    <col min="3" max="6" width="13.1640625" style="314" bestFit="1" customWidth="1"/>
    <col min="7" max="7" width="13.1640625" style="269" bestFit="1" customWidth="1"/>
    <col min="8" max="19" width="14.5" style="269" bestFit="1" customWidth="1"/>
    <col min="20" max="21" width="16.5" style="269" bestFit="1" customWidth="1"/>
    <col min="22" max="37" width="12.5" style="269"/>
    <col min="38" max="16384" width="12.5" style="5"/>
  </cols>
  <sheetData>
    <row r="1" spans="1:37">
      <c r="A1" s="234" t="s">
        <v>65</v>
      </c>
    </row>
    <row r="2" spans="1:37">
      <c r="A2" s="238" t="s">
        <v>711</v>
      </c>
    </row>
    <row r="3" spans="1:37">
      <c r="A3" s="238" t="s">
        <v>661</v>
      </c>
    </row>
    <row r="4" spans="1:37">
      <c r="A4" s="238" t="s">
        <v>594</v>
      </c>
    </row>
    <row r="6" spans="1:37">
      <c r="A6" s="6" t="s">
        <v>66</v>
      </c>
    </row>
    <row r="7" spans="1:37">
      <c r="A7" s="6" t="s">
        <v>67</v>
      </c>
    </row>
    <row r="8" spans="1:37">
      <c r="A8" s="78" t="s">
        <v>286</v>
      </c>
    </row>
    <row r="10" spans="1:37">
      <c r="AK10" s="270"/>
    </row>
    <row r="11" spans="1:37">
      <c r="B11" s="334" t="s">
        <v>7</v>
      </c>
      <c r="C11" s="334" t="s">
        <v>8</v>
      </c>
      <c r="D11" s="334" t="s">
        <v>9</v>
      </c>
      <c r="E11" s="334" t="s">
        <v>10</v>
      </c>
      <c r="F11" s="334" t="s">
        <v>11</v>
      </c>
      <c r="G11" s="289" t="s">
        <v>12</v>
      </c>
      <c r="H11" s="289" t="s">
        <v>13</v>
      </c>
      <c r="I11" s="289" t="s">
        <v>14</v>
      </c>
      <c r="J11" s="289" t="s">
        <v>15</v>
      </c>
      <c r="K11" s="289" t="s">
        <v>16</v>
      </c>
      <c r="L11" s="289" t="s">
        <v>17</v>
      </c>
      <c r="M11" s="289" t="s">
        <v>18</v>
      </c>
      <c r="N11" s="289" t="s">
        <v>19</v>
      </c>
      <c r="O11" s="289" t="s">
        <v>20</v>
      </c>
      <c r="P11" s="289" t="s">
        <v>21</v>
      </c>
      <c r="Q11" s="289" t="s">
        <v>22</v>
      </c>
      <c r="R11" s="289" t="s">
        <v>23</v>
      </c>
      <c r="S11" s="289" t="s">
        <v>24</v>
      </c>
      <c r="T11" s="289" t="s">
        <v>25</v>
      </c>
      <c r="U11" s="289" t="s">
        <v>26</v>
      </c>
      <c r="V11" s="289" t="s">
        <v>27</v>
      </c>
      <c r="W11" s="289" t="s">
        <v>28</v>
      </c>
      <c r="X11" s="289" t="s">
        <v>29</v>
      </c>
      <c r="Y11" s="289" t="s">
        <v>30</v>
      </c>
      <c r="Z11" s="289" t="s">
        <v>31</v>
      </c>
      <c r="AA11" s="289" t="s">
        <v>584</v>
      </c>
      <c r="AB11" s="289" t="s">
        <v>585</v>
      </c>
      <c r="AC11" s="289" t="s">
        <v>586</v>
      </c>
      <c r="AD11" s="289" t="s">
        <v>587</v>
      </c>
      <c r="AE11" s="289" t="s">
        <v>588</v>
      </c>
      <c r="AF11" s="289" t="s">
        <v>589</v>
      </c>
      <c r="AG11" s="289" t="s">
        <v>590</v>
      </c>
      <c r="AH11" s="289" t="s">
        <v>591</v>
      </c>
      <c r="AI11" s="289" t="s">
        <v>592</v>
      </c>
      <c r="AJ11" s="289" t="s">
        <v>593</v>
      </c>
      <c r="AK11" s="289" t="s">
        <v>596</v>
      </c>
    </row>
    <row r="14" spans="1:37">
      <c r="A14" s="6" t="s">
        <v>68</v>
      </c>
    </row>
    <row r="16" spans="1:37">
      <c r="A16" s="6" t="s">
        <v>32</v>
      </c>
    </row>
    <row r="17" spans="1:38" s="217" customFormat="1">
      <c r="A17" s="216" t="s">
        <v>69</v>
      </c>
      <c r="B17" s="314"/>
      <c r="C17" s="314"/>
      <c r="D17" s="314"/>
      <c r="E17" s="314"/>
      <c r="F17" s="314"/>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286"/>
      <c r="AK17" s="286"/>
    </row>
    <row r="18" spans="1:38" s="217" customFormat="1">
      <c r="A18" s="216" t="s">
        <v>70</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17" customFormat="1">
      <c r="A19" s="216" t="s">
        <v>71</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17" customFormat="1">
      <c r="A20" s="216" t="s">
        <v>72</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17" customFormat="1">
      <c r="A21" s="216" t="s">
        <v>73</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17" customFormat="1">
      <c r="A22" s="216" t="s">
        <v>74</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17" customFormat="1">
      <c r="A23" s="216" t="s">
        <v>75</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17" customFormat="1">
      <c r="A24" s="216" t="s">
        <v>76</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17" customFormat="1">
      <c r="A25" s="216" t="s">
        <v>56</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17" customFormat="1">
      <c r="A26" s="216" t="s">
        <v>77</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17" customFormat="1">
      <c r="A27" s="216" t="s">
        <v>70</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17" customFormat="1">
      <c r="A28" s="216" t="s">
        <v>71</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17" customFormat="1">
      <c r="A29" s="216" t="s">
        <v>78</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17" customFormat="1">
      <c r="A30" s="216" t="s">
        <v>79</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17" customFormat="1">
      <c r="A31" s="216" t="s">
        <v>56</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17" customFormat="1">
      <c r="A32" s="216" t="s">
        <v>80</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38" s="217" customFormat="1">
      <c r="A33" s="216" t="s">
        <v>81</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38" s="217"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row>
    <row r="35" spans="1:38" s="217" customFormat="1">
      <c r="A35" s="216" t="s">
        <v>82</v>
      </c>
      <c r="B35"/>
      <c r="C35"/>
      <c r="D35"/>
      <c r="E35"/>
      <c r="F35"/>
      <c r="G35"/>
      <c r="H35"/>
      <c r="I35"/>
      <c r="J35"/>
      <c r="K35"/>
      <c r="L35"/>
      <c r="M35"/>
      <c r="N35"/>
      <c r="O35"/>
      <c r="P35"/>
      <c r="Q35"/>
      <c r="R35"/>
      <c r="S35"/>
      <c r="T35"/>
      <c r="U35"/>
      <c r="V35"/>
      <c r="W35"/>
      <c r="X35"/>
      <c r="Y35"/>
      <c r="Z35"/>
      <c r="AA35"/>
      <c r="AB35"/>
      <c r="AC35"/>
      <c r="AD35"/>
      <c r="AE35"/>
      <c r="AF35"/>
      <c r="AG35"/>
      <c r="AH35"/>
      <c r="AI35"/>
      <c r="AJ35"/>
      <c r="AK35"/>
      <c r="AL35"/>
    </row>
    <row r="36" spans="1:38" s="217" customFormat="1">
      <c r="B36"/>
      <c r="C36"/>
      <c r="D36"/>
      <c r="E36"/>
      <c r="F36"/>
      <c r="G36"/>
      <c r="H36"/>
      <c r="I36"/>
      <c r="J36"/>
      <c r="K36"/>
      <c r="L36"/>
      <c r="M36"/>
      <c r="N36"/>
      <c r="O36"/>
      <c r="P36"/>
      <c r="Q36"/>
      <c r="R36"/>
      <c r="S36"/>
      <c r="T36"/>
      <c r="U36"/>
      <c r="V36"/>
      <c r="W36"/>
      <c r="X36"/>
      <c r="Y36"/>
      <c r="Z36"/>
      <c r="AA36"/>
      <c r="AB36"/>
      <c r="AC36"/>
      <c r="AD36"/>
      <c r="AE36"/>
      <c r="AF36"/>
      <c r="AG36"/>
      <c r="AH36"/>
      <c r="AI36"/>
      <c r="AJ36"/>
      <c r="AK36"/>
      <c r="AL36"/>
    </row>
    <row r="37" spans="1:38" s="217" customFormat="1">
      <c r="A37" s="216" t="s">
        <v>631</v>
      </c>
      <c r="B37"/>
      <c r="C37"/>
      <c r="D37"/>
      <c r="E37"/>
      <c r="F37"/>
      <c r="G37"/>
      <c r="H37"/>
      <c r="I37"/>
      <c r="J37"/>
      <c r="K37"/>
      <c r="L37"/>
      <c r="M37"/>
      <c r="N37"/>
      <c r="O37"/>
      <c r="P37"/>
      <c r="Q37"/>
      <c r="R37"/>
      <c r="S37"/>
      <c r="T37"/>
      <c r="U37"/>
      <c r="V37"/>
      <c r="W37"/>
      <c r="X37"/>
      <c r="Y37"/>
      <c r="Z37"/>
      <c r="AA37"/>
      <c r="AB37"/>
      <c r="AC37"/>
      <c r="AD37"/>
      <c r="AE37"/>
      <c r="AF37"/>
      <c r="AG37"/>
      <c r="AH37"/>
      <c r="AI37"/>
      <c r="AJ37"/>
      <c r="AK37"/>
      <c r="AL37"/>
    </row>
    <row r="38" spans="1:38" s="217" customFormat="1">
      <c r="A38" s="216" t="s">
        <v>70</v>
      </c>
      <c r="B38"/>
      <c r="C38"/>
      <c r="D38"/>
      <c r="E38"/>
      <c r="F38"/>
      <c r="G38"/>
      <c r="H38"/>
      <c r="I38"/>
      <c r="J38"/>
      <c r="K38"/>
      <c r="L38"/>
      <c r="M38"/>
      <c r="N38"/>
      <c r="O38"/>
      <c r="P38"/>
      <c r="Q38"/>
      <c r="R38"/>
      <c r="S38"/>
      <c r="T38"/>
      <c r="U38"/>
      <c r="V38"/>
      <c r="W38"/>
      <c r="X38"/>
      <c r="Y38"/>
      <c r="Z38"/>
      <c r="AA38"/>
      <c r="AB38"/>
      <c r="AC38"/>
      <c r="AD38"/>
      <c r="AE38"/>
      <c r="AF38"/>
      <c r="AG38"/>
      <c r="AH38"/>
      <c r="AI38"/>
      <c r="AJ38"/>
      <c r="AK38"/>
      <c r="AL38"/>
    </row>
    <row r="39" spans="1:38" s="217" customFormat="1">
      <c r="A39" s="216" t="s">
        <v>71</v>
      </c>
      <c r="B39"/>
      <c r="C39"/>
      <c r="D39"/>
      <c r="E39"/>
      <c r="F39"/>
      <c r="G39"/>
      <c r="H39"/>
      <c r="I39"/>
      <c r="J39"/>
      <c r="K39"/>
      <c r="L39"/>
      <c r="M39"/>
      <c r="N39"/>
      <c r="O39"/>
      <c r="P39"/>
      <c r="Q39"/>
      <c r="R39"/>
      <c r="S39"/>
      <c r="T39"/>
      <c r="U39"/>
      <c r="V39"/>
      <c r="W39"/>
      <c r="X39"/>
      <c r="Y39"/>
      <c r="Z39"/>
      <c r="AA39"/>
      <c r="AB39"/>
      <c r="AC39"/>
      <c r="AD39"/>
      <c r="AE39"/>
      <c r="AF39"/>
      <c r="AG39"/>
      <c r="AH39"/>
      <c r="AI39"/>
      <c r="AJ39"/>
      <c r="AK39"/>
      <c r="AL39"/>
    </row>
    <row r="40" spans="1:38" s="217" customFormat="1">
      <c r="A40" s="216" t="s">
        <v>78</v>
      </c>
      <c r="B40"/>
      <c r="C40"/>
      <c r="D40"/>
      <c r="E40"/>
      <c r="F40"/>
      <c r="G40"/>
      <c r="H40"/>
      <c r="I40"/>
      <c r="J40"/>
      <c r="K40"/>
      <c r="L40"/>
      <c r="M40"/>
      <c r="N40"/>
      <c r="O40"/>
      <c r="P40"/>
      <c r="Q40"/>
      <c r="R40"/>
      <c r="S40"/>
      <c r="T40"/>
      <c r="U40"/>
      <c r="V40"/>
      <c r="W40"/>
      <c r="X40"/>
      <c r="Y40"/>
      <c r="Z40"/>
      <c r="AA40"/>
      <c r="AB40"/>
      <c r="AC40"/>
      <c r="AD40"/>
      <c r="AE40"/>
      <c r="AF40"/>
      <c r="AG40"/>
      <c r="AH40"/>
      <c r="AI40"/>
      <c r="AJ40"/>
      <c r="AK40"/>
      <c r="AL40"/>
    </row>
    <row r="41" spans="1:38" s="217" customFormat="1">
      <c r="A41" s="216" t="s">
        <v>83</v>
      </c>
      <c r="B41"/>
      <c r="C41"/>
      <c r="D41"/>
      <c r="E41"/>
      <c r="F41"/>
      <c r="G41"/>
      <c r="H41"/>
      <c r="I41"/>
      <c r="J41"/>
      <c r="K41"/>
      <c r="L41"/>
      <c r="M41"/>
      <c r="N41"/>
      <c r="O41"/>
      <c r="P41"/>
      <c r="Q41"/>
      <c r="R41"/>
      <c r="S41"/>
      <c r="T41"/>
      <c r="U41"/>
      <c r="V41"/>
      <c r="W41"/>
      <c r="X41"/>
      <c r="Y41"/>
      <c r="Z41"/>
      <c r="AA41"/>
      <c r="AB41"/>
      <c r="AC41"/>
      <c r="AD41"/>
      <c r="AE41"/>
      <c r="AF41"/>
      <c r="AG41"/>
      <c r="AH41"/>
      <c r="AI41"/>
      <c r="AJ41"/>
      <c r="AK41"/>
      <c r="AL41"/>
    </row>
    <row r="42" spans="1:38" s="217" customFormat="1">
      <c r="A42" s="216" t="s">
        <v>630</v>
      </c>
      <c r="B42"/>
      <c r="C42"/>
      <c r="D42"/>
      <c r="E42"/>
      <c r="F42"/>
      <c r="G42"/>
      <c r="H42"/>
      <c r="I42"/>
      <c r="J42"/>
      <c r="K42"/>
      <c r="L42"/>
      <c r="M42"/>
      <c r="N42"/>
      <c r="O42"/>
      <c r="P42"/>
      <c r="Q42"/>
      <c r="R42"/>
      <c r="S42"/>
      <c r="T42"/>
      <c r="U42"/>
      <c r="V42"/>
      <c r="W42"/>
      <c r="X42"/>
      <c r="Y42"/>
      <c r="Z42"/>
      <c r="AA42"/>
      <c r="AB42"/>
      <c r="AC42"/>
      <c r="AD42"/>
      <c r="AE42"/>
      <c r="AF42"/>
      <c r="AG42"/>
      <c r="AH42"/>
      <c r="AI42"/>
      <c r="AJ42"/>
      <c r="AK42"/>
      <c r="AL42"/>
    </row>
    <row r="43" spans="1:38" s="217" customFormat="1">
      <c r="A43" s="216" t="s">
        <v>87</v>
      </c>
      <c r="B43"/>
      <c r="C43"/>
      <c r="D43"/>
      <c r="E43"/>
      <c r="F43"/>
      <c r="G43"/>
      <c r="H43"/>
      <c r="I43"/>
      <c r="J43"/>
      <c r="K43"/>
      <c r="L43"/>
      <c r="M43"/>
      <c r="N43"/>
      <c r="O43"/>
      <c r="P43"/>
      <c r="Q43"/>
      <c r="R43"/>
      <c r="S43"/>
      <c r="T43"/>
      <c r="U43"/>
      <c r="V43"/>
      <c r="W43"/>
      <c r="X43"/>
      <c r="Y43"/>
      <c r="Z43"/>
      <c r="AA43"/>
      <c r="AB43"/>
      <c r="AC43"/>
      <c r="AD43"/>
      <c r="AE43"/>
      <c r="AF43"/>
      <c r="AG43"/>
      <c r="AH43"/>
      <c r="AI43"/>
      <c r="AJ43"/>
      <c r="AK43"/>
      <c r="AL43"/>
    </row>
    <row r="44" spans="1:38" s="217" customFormat="1">
      <c r="A44" s="216" t="s">
        <v>56</v>
      </c>
      <c r="B44"/>
      <c r="C44"/>
      <c r="D44"/>
      <c r="E44"/>
      <c r="F44"/>
      <c r="G44"/>
      <c r="H44"/>
      <c r="I44"/>
      <c r="J44"/>
      <c r="K44"/>
      <c r="L44"/>
      <c r="M44"/>
      <c r="N44"/>
      <c r="O44"/>
      <c r="P44"/>
      <c r="Q44"/>
      <c r="R44"/>
      <c r="S44"/>
      <c r="T44"/>
      <c r="U44"/>
      <c r="V44"/>
      <c r="W44"/>
      <c r="X44"/>
      <c r="Y44"/>
      <c r="Z44"/>
      <c r="AA44"/>
      <c r="AB44"/>
      <c r="AC44"/>
      <c r="AD44"/>
      <c r="AE44"/>
      <c r="AF44"/>
      <c r="AG44"/>
      <c r="AH44"/>
      <c r="AI44"/>
      <c r="AJ44"/>
      <c r="AK44"/>
      <c r="AL44"/>
    </row>
    <row r="45" spans="1:38" s="217" customFormat="1">
      <c r="A45" s="216" t="s">
        <v>84</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38" s="217" customFormat="1">
      <c r="A46" s="216" t="s">
        <v>85</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38" s="219" customFormat="1">
      <c r="B47" s="334" t="s">
        <v>7</v>
      </c>
      <c r="C47" s="334" t="s">
        <v>8</v>
      </c>
      <c r="D47" s="334" t="s">
        <v>9</v>
      </c>
      <c r="E47" s="334" t="s">
        <v>10</v>
      </c>
      <c r="F47" s="334" t="s">
        <v>11</v>
      </c>
      <c r="G47" s="293" t="s">
        <v>12</v>
      </c>
      <c r="H47" s="293" t="s">
        <v>13</v>
      </c>
      <c r="I47" s="293" t="s">
        <v>14</v>
      </c>
      <c r="J47" s="293" t="s">
        <v>15</v>
      </c>
      <c r="K47" s="293" t="s">
        <v>16</v>
      </c>
      <c r="L47" s="293" t="s">
        <v>17</v>
      </c>
      <c r="M47" s="293" t="s">
        <v>18</v>
      </c>
      <c r="N47" s="293" t="s">
        <v>19</v>
      </c>
      <c r="O47" s="293" t="s">
        <v>20</v>
      </c>
      <c r="P47" s="293" t="s">
        <v>21</v>
      </c>
      <c r="Q47" s="293" t="s">
        <v>22</v>
      </c>
      <c r="R47" s="293" t="s">
        <v>23</v>
      </c>
      <c r="S47" s="293" t="s">
        <v>24</v>
      </c>
      <c r="T47" s="293" t="s">
        <v>25</v>
      </c>
      <c r="U47" s="293" t="s">
        <v>26</v>
      </c>
      <c r="V47" s="293" t="s">
        <v>27</v>
      </c>
      <c r="W47" s="293" t="s">
        <v>28</v>
      </c>
      <c r="X47" s="293" t="s">
        <v>29</v>
      </c>
      <c r="Y47" s="293" t="s">
        <v>30</v>
      </c>
      <c r="Z47" s="293" t="s">
        <v>31</v>
      </c>
      <c r="AA47" s="293" t="s">
        <v>584</v>
      </c>
      <c r="AB47" s="293" t="s">
        <v>585</v>
      </c>
      <c r="AC47" s="293" t="s">
        <v>586</v>
      </c>
      <c r="AD47" s="293" t="s">
        <v>587</v>
      </c>
      <c r="AE47" s="293" t="s">
        <v>588</v>
      </c>
      <c r="AF47" s="293" t="s">
        <v>589</v>
      </c>
      <c r="AG47" s="293" t="s">
        <v>590</v>
      </c>
      <c r="AH47" s="293" t="s">
        <v>591</v>
      </c>
      <c r="AI47" s="293" t="s">
        <v>592</v>
      </c>
      <c r="AJ47" s="293" t="s">
        <v>593</v>
      </c>
      <c r="AK47" s="293" t="s">
        <v>596</v>
      </c>
    </row>
    <row r="48" spans="1:38" s="221" customFormat="1">
      <c r="A48" s="220" t="s">
        <v>86</v>
      </c>
      <c r="B48" s="335"/>
      <c r="C48" s="335"/>
      <c r="D48" s="335"/>
      <c r="E48" s="335"/>
      <c r="F48" s="335"/>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8" s="221" customFormat="1">
      <c r="A49" s="220" t="s">
        <v>70</v>
      </c>
      <c r="B49" s="397">
        <v>65.423000000000002</v>
      </c>
      <c r="C49" s="397">
        <v>67.908000000000001</v>
      </c>
      <c r="D49" s="397">
        <v>64.822999999999993</v>
      </c>
      <c r="E49" s="397">
        <v>54.003</v>
      </c>
      <c r="F49" s="397">
        <v>59.896999999999998</v>
      </c>
      <c r="G49" s="419">
        <v>46.509087000000001</v>
      </c>
      <c r="H49" s="419">
        <v>40.811829000000003</v>
      </c>
      <c r="I49" s="419">
        <v>48.693286999999998</v>
      </c>
      <c r="J49" s="419">
        <v>48.994475999999999</v>
      </c>
      <c r="K49" s="419">
        <v>49.619877000000002</v>
      </c>
      <c r="L49" s="419">
        <v>39.647472</v>
      </c>
      <c r="M49" s="419">
        <v>40.312550000000002</v>
      </c>
      <c r="N49" s="419">
        <v>40.624943000000002</v>
      </c>
      <c r="O49" s="419">
        <v>40.995612999999999</v>
      </c>
      <c r="P49" s="419">
        <v>41.242972999999999</v>
      </c>
      <c r="Q49" s="419">
        <v>41.504340999999997</v>
      </c>
      <c r="R49" s="419">
        <v>41.731307999999999</v>
      </c>
      <c r="S49" s="419">
        <v>41.945255000000003</v>
      </c>
      <c r="T49" s="419">
        <v>42.204929</v>
      </c>
      <c r="U49" s="419">
        <v>40.140030000000003</v>
      </c>
      <c r="V49" s="419">
        <v>40.025554999999997</v>
      </c>
      <c r="W49" s="419">
        <v>40.007984</v>
      </c>
      <c r="X49" s="419">
        <v>40.001883999999997</v>
      </c>
      <c r="Y49" s="419">
        <v>39.973495</v>
      </c>
      <c r="Z49" s="419">
        <v>39.935206999999998</v>
      </c>
      <c r="AA49" s="419">
        <v>40.076466000000003</v>
      </c>
      <c r="AB49" s="419">
        <v>40.145209999999999</v>
      </c>
      <c r="AC49" s="419">
        <v>40.112129000000003</v>
      </c>
      <c r="AD49" s="419">
        <v>40.092419</v>
      </c>
      <c r="AE49" s="419">
        <v>40.065899000000002</v>
      </c>
      <c r="AF49" s="419">
        <v>40.048938999999997</v>
      </c>
      <c r="AG49" s="419">
        <v>40.033360000000002</v>
      </c>
      <c r="AH49" s="419">
        <v>40.019787000000001</v>
      </c>
      <c r="AI49" s="419">
        <v>40.005394000000003</v>
      </c>
      <c r="AJ49" s="419">
        <v>39.991157999999999</v>
      </c>
      <c r="AK49" s="421">
        <v>-1E-3</v>
      </c>
    </row>
    <row r="50" spans="1:38" s="221" customFormat="1">
      <c r="A50" s="220" t="s">
        <v>71</v>
      </c>
      <c r="B50" s="398">
        <v>22.904</v>
      </c>
      <c r="C50" s="398">
        <v>20.202999999999999</v>
      </c>
      <c r="D50" s="398">
        <v>11.971</v>
      </c>
      <c r="E50" s="398">
        <v>9.2210000000000001</v>
      </c>
      <c r="F50" s="398">
        <v>9.1219999999999999</v>
      </c>
      <c r="G50" s="419">
        <v>3.2328969999999999</v>
      </c>
      <c r="H50" s="419">
        <v>1.320311</v>
      </c>
      <c r="I50" s="419">
        <v>0.29011100000000001</v>
      </c>
      <c r="J50" s="419">
        <v>0.288045</v>
      </c>
      <c r="K50" s="419">
        <v>0.29490699999999997</v>
      </c>
      <c r="L50" s="419">
        <v>0.254471</v>
      </c>
      <c r="M50" s="419">
        <v>0.26492100000000002</v>
      </c>
      <c r="N50" s="419">
        <v>0.26605299999999998</v>
      </c>
      <c r="O50" s="419">
        <v>0.26613999999999999</v>
      </c>
      <c r="P50" s="419">
        <v>0.26437699999999997</v>
      </c>
      <c r="Q50" s="419">
        <v>0.266683</v>
      </c>
      <c r="R50" s="419">
        <v>0.26986599999999999</v>
      </c>
      <c r="S50" s="419">
        <v>0.274227</v>
      </c>
      <c r="T50" s="419">
        <v>0.32521699999999998</v>
      </c>
      <c r="U50" s="419">
        <v>0.30718699999999999</v>
      </c>
      <c r="V50" s="419">
        <v>0.27429900000000002</v>
      </c>
      <c r="W50" s="419">
        <v>0.25872299999999998</v>
      </c>
      <c r="X50" s="419">
        <v>0.246637</v>
      </c>
      <c r="Y50" s="419">
        <v>0.23066700000000001</v>
      </c>
      <c r="Z50" s="419">
        <v>0.22681299999999999</v>
      </c>
      <c r="AA50" s="419">
        <v>0.22507099999999999</v>
      </c>
      <c r="AB50" s="419">
        <v>0.218335</v>
      </c>
      <c r="AC50" s="419">
        <v>0.21679000000000001</v>
      </c>
      <c r="AD50" s="419">
        <v>0.21524499999999999</v>
      </c>
      <c r="AE50" s="419">
        <v>0.216088</v>
      </c>
      <c r="AF50" s="419">
        <v>0.218698</v>
      </c>
      <c r="AG50" s="419">
        <v>0.21848799999999999</v>
      </c>
      <c r="AH50" s="419">
        <v>0.21637200000000001</v>
      </c>
      <c r="AI50" s="419">
        <v>0.215473</v>
      </c>
      <c r="AJ50" s="419">
        <v>0.21510299999999999</v>
      </c>
      <c r="AK50" s="421">
        <v>-6.3E-2</v>
      </c>
    </row>
    <row r="51" spans="1:38" s="221" customFormat="1">
      <c r="A51" s="220" t="s">
        <v>78</v>
      </c>
      <c r="B51" s="398">
        <v>96.186000000000007</v>
      </c>
      <c r="C51" s="398">
        <v>100.307</v>
      </c>
      <c r="D51" s="398">
        <v>103.363</v>
      </c>
      <c r="E51" s="398">
        <v>118.322</v>
      </c>
      <c r="F51" s="398">
        <v>128.63399999999999</v>
      </c>
      <c r="G51" s="419">
        <v>130.66035500000001</v>
      </c>
      <c r="H51" s="419">
        <v>143.07656900000001</v>
      </c>
      <c r="I51" s="419">
        <v>121.70302599999999</v>
      </c>
      <c r="J51" s="419">
        <v>120.180977</v>
      </c>
      <c r="K51" s="419">
        <v>121.24556699999999</v>
      </c>
      <c r="L51" s="419">
        <v>132.01432800000001</v>
      </c>
      <c r="M51" s="419">
        <v>133.813705</v>
      </c>
      <c r="N51" s="419">
        <v>135.42735300000001</v>
      </c>
      <c r="O51" s="419">
        <v>137.03447</v>
      </c>
      <c r="P51" s="419">
        <v>136.60687300000001</v>
      </c>
      <c r="Q51" s="419">
        <v>138.07931500000001</v>
      </c>
      <c r="R51" s="419">
        <v>140.30673200000001</v>
      </c>
      <c r="S51" s="419">
        <v>142.91459699999999</v>
      </c>
      <c r="T51" s="419">
        <v>146.95074500000001</v>
      </c>
      <c r="U51" s="419">
        <v>150.991806</v>
      </c>
      <c r="V51" s="419">
        <v>155.22427400000001</v>
      </c>
      <c r="W51" s="419">
        <v>159.49633800000001</v>
      </c>
      <c r="X51" s="419">
        <v>162.99366800000001</v>
      </c>
      <c r="Y51" s="419">
        <v>164.37106299999999</v>
      </c>
      <c r="Z51" s="419">
        <v>166.13885500000001</v>
      </c>
      <c r="AA51" s="419">
        <v>167.37616</v>
      </c>
      <c r="AB51" s="419">
        <v>169.580276</v>
      </c>
      <c r="AC51" s="419">
        <v>171.11146500000001</v>
      </c>
      <c r="AD51" s="419">
        <v>172.552368</v>
      </c>
      <c r="AE51" s="419">
        <v>174.005844</v>
      </c>
      <c r="AF51" s="419">
        <v>173.68087800000001</v>
      </c>
      <c r="AG51" s="419">
        <v>172.20219399999999</v>
      </c>
      <c r="AH51" s="419">
        <v>170.47863799999999</v>
      </c>
      <c r="AI51" s="419">
        <v>168.316971</v>
      </c>
      <c r="AJ51" s="419">
        <v>166.05619799999999</v>
      </c>
      <c r="AK51" s="421">
        <v>5.0000000000000001E-3</v>
      </c>
    </row>
    <row r="52" spans="1:38" s="221" customFormat="1">
      <c r="A52" s="220" t="s">
        <v>73</v>
      </c>
      <c r="B52" s="399">
        <v>31.425999999999998</v>
      </c>
      <c r="C52" s="399">
        <v>29.289000000000001</v>
      </c>
      <c r="D52" s="399">
        <v>32.133000000000003</v>
      </c>
      <c r="E52" s="399">
        <v>29.117999999999999</v>
      </c>
      <c r="F52" s="399">
        <v>23.936</v>
      </c>
      <c r="G52" s="419">
        <v>22.014999</v>
      </c>
      <c r="H52" s="419">
        <v>17.870000999999998</v>
      </c>
      <c r="I52" s="419">
        <v>24.177771</v>
      </c>
      <c r="J52" s="419">
        <v>24.127531000000001</v>
      </c>
      <c r="K52" s="419">
        <v>24.885342000000001</v>
      </c>
      <c r="L52" s="419">
        <v>25.122591</v>
      </c>
      <c r="M52" s="419">
        <v>25.122591</v>
      </c>
      <c r="N52" s="419">
        <v>25.122591</v>
      </c>
      <c r="O52" s="419">
        <v>25.122589000000001</v>
      </c>
      <c r="P52" s="419">
        <v>25.122589000000001</v>
      </c>
      <c r="Q52" s="419">
        <v>25.122591</v>
      </c>
      <c r="R52" s="419">
        <v>25.122591</v>
      </c>
      <c r="S52" s="419">
        <v>25.122591</v>
      </c>
      <c r="T52" s="419">
        <v>25.122591</v>
      </c>
      <c r="U52" s="419">
        <v>25.122591</v>
      </c>
      <c r="V52" s="419">
        <v>25.122591</v>
      </c>
      <c r="W52" s="419">
        <v>25.122591</v>
      </c>
      <c r="X52" s="419">
        <v>25.95834</v>
      </c>
      <c r="Y52" s="419">
        <v>27.276465999999999</v>
      </c>
      <c r="Z52" s="419">
        <v>27.636415</v>
      </c>
      <c r="AA52" s="419">
        <v>28.515781</v>
      </c>
      <c r="AB52" s="419">
        <v>28.737411000000002</v>
      </c>
      <c r="AC52" s="419">
        <v>29.797446999999998</v>
      </c>
      <c r="AD52" s="419">
        <v>30.954080999999999</v>
      </c>
      <c r="AE52" s="419">
        <v>32.164482</v>
      </c>
      <c r="AF52" s="419">
        <v>35.379128000000001</v>
      </c>
      <c r="AG52" s="419">
        <v>39.940773</v>
      </c>
      <c r="AH52" s="419">
        <v>44.878334000000002</v>
      </c>
      <c r="AI52" s="419">
        <v>50.177399000000001</v>
      </c>
      <c r="AJ52" s="419">
        <v>55.441527999999998</v>
      </c>
      <c r="AK52" s="421">
        <v>4.1000000000000002E-2</v>
      </c>
    </row>
    <row r="53" spans="1:38" s="221" customFormat="1">
      <c r="A53" s="220" t="s">
        <v>332</v>
      </c>
      <c r="B53" s="401"/>
      <c r="C53" s="401"/>
      <c r="D53" s="401"/>
      <c r="E53" s="401"/>
      <c r="F53" s="401"/>
      <c r="G53" s="419">
        <v>1.3368</v>
      </c>
      <c r="H53" s="419">
        <v>1.3368</v>
      </c>
      <c r="I53" s="419">
        <v>1.3368</v>
      </c>
      <c r="J53" s="419">
        <v>1.3368</v>
      </c>
      <c r="K53" s="419">
        <v>1.3368</v>
      </c>
      <c r="L53" s="419">
        <v>1.3368</v>
      </c>
      <c r="M53" s="419">
        <v>1.3368</v>
      </c>
      <c r="N53" s="419">
        <v>1.3368</v>
      </c>
      <c r="O53" s="419">
        <v>1.3368</v>
      </c>
      <c r="P53" s="419">
        <v>1.3368</v>
      </c>
      <c r="Q53" s="419">
        <v>1.3368</v>
      </c>
      <c r="R53" s="419">
        <v>1.3368</v>
      </c>
      <c r="S53" s="419">
        <v>1.3368</v>
      </c>
      <c r="T53" s="419">
        <v>1.3368</v>
      </c>
      <c r="U53" s="419">
        <v>1.3397190000000001</v>
      </c>
      <c r="V53" s="419">
        <v>1.341018</v>
      </c>
      <c r="W53" s="419">
        <v>1.341018</v>
      </c>
      <c r="X53" s="419">
        <v>1.3414269999999999</v>
      </c>
      <c r="Y53" s="419">
        <v>1.3415699999999999</v>
      </c>
      <c r="Z53" s="419">
        <v>1.341663</v>
      </c>
      <c r="AA53" s="419">
        <v>1.341717</v>
      </c>
      <c r="AB53" s="419">
        <v>1.341982</v>
      </c>
      <c r="AC53" s="419">
        <v>1.3420240000000001</v>
      </c>
      <c r="AD53" s="419">
        <v>1.3420730000000001</v>
      </c>
      <c r="AE53" s="419">
        <v>1.342217</v>
      </c>
      <c r="AF53" s="419">
        <v>1.342336</v>
      </c>
      <c r="AG53" s="419">
        <v>1.342468</v>
      </c>
      <c r="AH53" s="419">
        <v>1.342716</v>
      </c>
      <c r="AI53" s="419">
        <v>1.342824</v>
      </c>
      <c r="AJ53" s="419">
        <v>1.342905</v>
      </c>
      <c r="AK53" s="421">
        <v>0</v>
      </c>
    </row>
    <row r="54" spans="1:38" s="221" customFormat="1">
      <c r="A54" s="220" t="s">
        <v>632</v>
      </c>
      <c r="B54" s="399">
        <v>4.5339999999999998</v>
      </c>
      <c r="C54" s="399">
        <v>4.4569999999999999</v>
      </c>
      <c r="D54" s="399">
        <v>4.5090000000000003</v>
      </c>
      <c r="E54" s="399">
        <v>4.5490000000000004</v>
      </c>
      <c r="F54" s="399">
        <v>4.6639999999999997</v>
      </c>
      <c r="G54" s="419">
        <v>2.5964610000000001</v>
      </c>
      <c r="H54" s="419">
        <v>2.5483579999999999</v>
      </c>
      <c r="I54" s="419">
        <v>3.5160999999999998</v>
      </c>
      <c r="J54" s="419">
        <v>4.0120060000000004</v>
      </c>
      <c r="K54" s="419">
        <v>4.1664700000000003</v>
      </c>
      <c r="L54" s="419">
        <v>4.5055490000000002</v>
      </c>
      <c r="M54" s="419">
        <v>4.3328499999999996</v>
      </c>
      <c r="N54" s="419">
        <v>4.3768279999999997</v>
      </c>
      <c r="O54" s="419">
        <v>4.3771610000000001</v>
      </c>
      <c r="P54" s="419">
        <v>4.3882859999999999</v>
      </c>
      <c r="Q54" s="419">
        <v>4.3921299999999999</v>
      </c>
      <c r="R54" s="419">
        <v>4.4183440000000003</v>
      </c>
      <c r="S54" s="419">
        <v>4.4747950000000003</v>
      </c>
      <c r="T54" s="419">
        <v>4.4655170000000002</v>
      </c>
      <c r="U54" s="419">
        <v>6.6035170000000001</v>
      </c>
      <c r="V54" s="419">
        <v>6.7244669999999998</v>
      </c>
      <c r="W54" s="419">
        <v>6.8166149999999996</v>
      </c>
      <c r="X54" s="419">
        <v>6.8650500000000001</v>
      </c>
      <c r="Y54" s="419">
        <v>6.9475040000000003</v>
      </c>
      <c r="Z54" s="419">
        <v>7.1226200000000004</v>
      </c>
      <c r="AA54" s="419">
        <v>7.2488630000000001</v>
      </c>
      <c r="AB54" s="419">
        <v>7.3036430000000001</v>
      </c>
      <c r="AC54" s="419">
        <v>7.4031440000000002</v>
      </c>
      <c r="AD54" s="419">
        <v>7.5395469999999998</v>
      </c>
      <c r="AE54" s="419">
        <v>7.6761559999999998</v>
      </c>
      <c r="AF54" s="419">
        <v>7.7291270000000001</v>
      </c>
      <c r="AG54" s="419">
        <v>8.1516339999999996</v>
      </c>
      <c r="AH54" s="419">
        <v>8.1503920000000001</v>
      </c>
      <c r="AI54" s="419">
        <v>8.1496300000000002</v>
      </c>
      <c r="AJ54" s="419">
        <v>8.1490010000000002</v>
      </c>
      <c r="AK54" s="421">
        <v>4.2000000000000003E-2</v>
      </c>
    </row>
    <row r="55" spans="1:38" s="221" customFormat="1">
      <c r="A55" s="220" t="s">
        <v>633</v>
      </c>
      <c r="B55" s="399">
        <v>3.2610000000000001</v>
      </c>
      <c r="C55" s="399">
        <v>3.2360000000000002</v>
      </c>
      <c r="D55" s="399">
        <v>2.827</v>
      </c>
      <c r="E55" s="399">
        <v>2.7330000000000001</v>
      </c>
      <c r="F55" s="399">
        <v>2.8340000000000001</v>
      </c>
      <c r="G55" s="419">
        <v>0</v>
      </c>
      <c r="H55" s="419">
        <v>0</v>
      </c>
      <c r="I55" s="419">
        <v>0</v>
      </c>
      <c r="J55" s="419">
        <v>0</v>
      </c>
      <c r="K55" s="419">
        <v>0</v>
      </c>
      <c r="L55" s="419">
        <v>4.8443E-2</v>
      </c>
      <c r="M55" s="419">
        <v>0.106215</v>
      </c>
      <c r="N55" s="419">
        <v>0.106215</v>
      </c>
      <c r="O55" s="419">
        <v>0.106215</v>
      </c>
      <c r="P55" s="419">
        <v>0.106215</v>
      </c>
      <c r="Q55" s="419">
        <v>0.106215</v>
      </c>
      <c r="R55" s="419">
        <v>0.106215</v>
      </c>
      <c r="S55" s="419">
        <v>0.176207</v>
      </c>
      <c r="T55" s="419">
        <v>0.176207</v>
      </c>
      <c r="U55" s="419">
        <v>0.176207</v>
      </c>
      <c r="V55" s="419">
        <v>0.176207</v>
      </c>
      <c r="W55" s="419">
        <v>0.176207</v>
      </c>
      <c r="X55" s="419">
        <v>0.176207</v>
      </c>
      <c r="Y55" s="419">
        <v>0.176207</v>
      </c>
      <c r="Z55" s="419">
        <v>0.176207</v>
      </c>
      <c r="AA55" s="419">
        <v>0.176207</v>
      </c>
      <c r="AB55" s="419">
        <v>0.176207</v>
      </c>
      <c r="AC55" s="419">
        <v>0.176207</v>
      </c>
      <c r="AD55" s="419">
        <v>0.176207</v>
      </c>
      <c r="AE55" s="419">
        <v>0.176207</v>
      </c>
      <c r="AF55" s="419">
        <v>0.176207</v>
      </c>
      <c r="AG55" s="419">
        <v>0.176207</v>
      </c>
      <c r="AH55" s="419">
        <v>0.176207</v>
      </c>
      <c r="AI55" s="419">
        <v>0.176207</v>
      </c>
      <c r="AJ55" s="419">
        <v>0.176207</v>
      </c>
      <c r="AK55" s="419" t="s">
        <v>41</v>
      </c>
    </row>
    <row r="56" spans="1:38" s="221" customFormat="1">
      <c r="A56" s="220" t="s">
        <v>88</v>
      </c>
      <c r="B56" s="400">
        <f>B58</f>
        <v>223.73399999999998</v>
      </c>
      <c r="C56" s="400">
        <f t="shared" ref="C56:F56" si="0">C58</f>
        <v>225.39999999999998</v>
      </c>
      <c r="D56" s="400">
        <f t="shared" si="0"/>
        <v>219.62599999999998</v>
      </c>
      <c r="E56" s="400">
        <f t="shared" si="0"/>
        <v>217.946</v>
      </c>
      <c r="F56" s="400">
        <f t="shared" si="0"/>
        <v>229.08699999999999</v>
      </c>
      <c r="G56" s="420">
        <v>206.350616</v>
      </c>
      <c r="H56" s="420">
        <v>206.96386699999999</v>
      </c>
      <c r="I56" s="420">
        <v>199.71710200000001</v>
      </c>
      <c r="J56" s="420">
        <v>198.93985000000001</v>
      </c>
      <c r="K56" s="420">
        <v>201.548981</v>
      </c>
      <c r="L56" s="420">
        <v>202.92967200000001</v>
      </c>
      <c r="M56" s="420">
        <v>205.28964199999999</v>
      </c>
      <c r="N56" s="420">
        <v>207.26078799999999</v>
      </c>
      <c r="O56" s="420">
        <v>209.23899800000001</v>
      </c>
      <c r="P56" s="420">
        <v>209.06813</v>
      </c>
      <c r="Q56" s="420">
        <v>210.80808999999999</v>
      </c>
      <c r="R56" s="420">
        <v>213.29186999999999</v>
      </c>
      <c r="S56" s="420">
        <v>216.24447599999999</v>
      </c>
      <c r="T56" s="420">
        <v>220.58201600000001</v>
      </c>
      <c r="U56" s="420">
        <v>224.681061</v>
      </c>
      <c r="V56" s="420">
        <v>228.88841199999999</v>
      </c>
      <c r="W56" s="420">
        <v>233.219482</v>
      </c>
      <c r="X56" s="420">
        <v>237.58322100000001</v>
      </c>
      <c r="Y56" s="420">
        <v>240.316971</v>
      </c>
      <c r="Z56" s="420">
        <v>242.57777400000001</v>
      </c>
      <c r="AA56" s="420">
        <v>244.96026599999999</v>
      </c>
      <c r="AB56" s="420">
        <v>247.50306699999999</v>
      </c>
      <c r="AC56" s="420">
        <v>250.15919500000001</v>
      </c>
      <c r="AD56" s="420">
        <v>252.871948</v>
      </c>
      <c r="AE56" s="420">
        <v>255.646896</v>
      </c>
      <c r="AF56" s="420">
        <v>258.57531699999998</v>
      </c>
      <c r="AG56" s="420">
        <v>262.06512500000002</v>
      </c>
      <c r="AH56" s="420">
        <v>265.262451</v>
      </c>
      <c r="AI56" s="420">
        <v>268.38391100000001</v>
      </c>
      <c r="AJ56" s="420">
        <v>271.37207000000001</v>
      </c>
      <c r="AK56" s="422">
        <v>0.01</v>
      </c>
    </row>
    <row r="57" spans="1:38" s="221" customFormat="1">
      <c r="B57" s="404"/>
      <c r="C57" s="404"/>
      <c r="D57" s="404"/>
      <c r="E57" s="404"/>
      <c r="F57" s="404"/>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405"/>
      <c r="AE57" s="405"/>
      <c r="AF57" s="405"/>
      <c r="AG57" s="405"/>
      <c r="AH57" s="405"/>
      <c r="AI57" s="405"/>
      <c r="AJ57" s="405"/>
      <c r="AK57" s="405"/>
    </row>
    <row r="58" spans="1:38" s="221" customFormat="1">
      <c r="A58" s="220" t="s">
        <v>89</v>
      </c>
      <c r="B58" s="401">
        <f>SUM(B49:B52,B54,B55)</f>
        <v>223.73399999999998</v>
      </c>
      <c r="C58" s="401">
        <f t="shared" ref="C58:AJ58" si="1">SUM(C49:C52,C54,C55)</f>
        <v>225.39999999999998</v>
      </c>
      <c r="D58" s="401">
        <f t="shared" si="1"/>
        <v>219.62599999999998</v>
      </c>
      <c r="E58" s="401">
        <f t="shared" si="1"/>
        <v>217.946</v>
      </c>
      <c r="F58" s="401">
        <f t="shared" si="1"/>
        <v>229.08699999999999</v>
      </c>
      <c r="G58" s="401">
        <f t="shared" si="1"/>
        <v>205.01379900000001</v>
      </c>
      <c r="H58" s="401">
        <f t="shared" si="1"/>
        <v>205.62706800000001</v>
      </c>
      <c r="I58" s="401">
        <f t="shared" si="1"/>
        <v>198.38029499999999</v>
      </c>
      <c r="J58" s="401">
        <f t="shared" si="1"/>
        <v>197.60303500000001</v>
      </c>
      <c r="K58" s="401">
        <f t="shared" si="1"/>
        <v>200.212163</v>
      </c>
      <c r="L58" s="401">
        <f t="shared" si="1"/>
        <v>201.59285399999999</v>
      </c>
      <c r="M58" s="401">
        <f t="shared" si="1"/>
        <v>203.952832</v>
      </c>
      <c r="N58" s="401">
        <f t="shared" si="1"/>
        <v>205.92398299999999</v>
      </c>
      <c r="O58" s="401">
        <f t="shared" si="1"/>
        <v>207.902188</v>
      </c>
      <c r="P58" s="401">
        <f t="shared" si="1"/>
        <v>207.731313</v>
      </c>
      <c r="Q58" s="401">
        <f t="shared" si="1"/>
        <v>209.47127500000002</v>
      </c>
      <c r="R58" s="401">
        <f t="shared" si="1"/>
        <v>211.95505599999998</v>
      </c>
      <c r="S58" s="401">
        <f t="shared" si="1"/>
        <v>214.90767199999999</v>
      </c>
      <c r="T58" s="401">
        <f t="shared" si="1"/>
        <v>219.24520600000002</v>
      </c>
      <c r="U58" s="401">
        <f t="shared" si="1"/>
        <v>223.34133800000001</v>
      </c>
      <c r="V58" s="401">
        <f t="shared" si="1"/>
        <v>227.54739300000003</v>
      </c>
      <c r="W58" s="401">
        <f t="shared" si="1"/>
        <v>231.87845800000002</v>
      </c>
      <c r="X58" s="401">
        <f t="shared" si="1"/>
        <v>236.24178599999999</v>
      </c>
      <c r="Y58" s="401">
        <f t="shared" si="1"/>
        <v>238.975402</v>
      </c>
      <c r="Z58" s="401">
        <f t="shared" si="1"/>
        <v>241.23611700000004</v>
      </c>
      <c r="AA58" s="401">
        <f t="shared" si="1"/>
        <v>243.618548</v>
      </c>
      <c r="AB58" s="401">
        <f t="shared" si="1"/>
        <v>246.16108200000002</v>
      </c>
      <c r="AC58" s="401">
        <f t="shared" si="1"/>
        <v>248.81718200000003</v>
      </c>
      <c r="AD58" s="401">
        <f t="shared" si="1"/>
        <v>251.529867</v>
      </c>
      <c r="AE58" s="401">
        <f t="shared" si="1"/>
        <v>254.30467599999997</v>
      </c>
      <c r="AF58" s="401">
        <f t="shared" si="1"/>
        <v>257.23297700000001</v>
      </c>
      <c r="AG58" s="401">
        <f t="shared" si="1"/>
        <v>260.72265599999997</v>
      </c>
      <c r="AH58" s="401">
        <f t="shared" si="1"/>
        <v>263.91972999999996</v>
      </c>
      <c r="AI58" s="401">
        <f t="shared" si="1"/>
        <v>267.04107399999998</v>
      </c>
      <c r="AJ58" s="401">
        <f t="shared" si="1"/>
        <v>270.02919499999996</v>
      </c>
      <c r="AK58" s="406">
        <v>8.9999999999999993E-3</v>
      </c>
    </row>
    <row r="59" spans="1:38">
      <c r="A59" s="6" t="s">
        <v>90</v>
      </c>
      <c r="B59" s="336">
        <v>3906.17822265625</v>
      </c>
      <c r="C59" s="336">
        <v>4003.6083984375</v>
      </c>
      <c r="D59" s="336">
        <v>4006.09130859375</v>
      </c>
      <c r="E59" s="336">
        <v>3992.21752929688</v>
      </c>
      <c r="F59" s="336">
        <v>4046.56079101563</v>
      </c>
      <c r="G59" s="214">
        <v>3975.9853520000001</v>
      </c>
      <c r="H59" s="214">
        <v>3914.8715820000002</v>
      </c>
      <c r="I59" s="214">
        <v>3921.3237300000001</v>
      </c>
      <c r="J59" s="214">
        <v>3939.0678710000002</v>
      </c>
      <c r="K59" s="214">
        <v>4009.0505370000001</v>
      </c>
      <c r="L59" s="214">
        <v>4063.0170899999998</v>
      </c>
      <c r="M59" s="214">
        <v>4119.9077150000003</v>
      </c>
      <c r="N59" s="214">
        <v>4166.5869140000004</v>
      </c>
      <c r="O59" s="214">
        <v>4198.9038090000004</v>
      </c>
      <c r="P59" s="214">
        <v>4219.6909180000002</v>
      </c>
      <c r="Q59" s="214">
        <v>4252.6411129999997</v>
      </c>
      <c r="R59" s="214">
        <v>4292.3344729999999</v>
      </c>
      <c r="S59" s="214">
        <v>4339.8535160000001</v>
      </c>
      <c r="T59" s="214">
        <v>4382.0117190000001</v>
      </c>
      <c r="U59" s="214">
        <v>4415.9643550000001</v>
      </c>
      <c r="V59" s="214">
        <v>4450.7382809999999</v>
      </c>
      <c r="W59" s="214">
        <v>4486.6025390000004</v>
      </c>
      <c r="X59" s="214">
        <v>4519.0146480000003</v>
      </c>
      <c r="Y59" s="214">
        <v>4546.845703</v>
      </c>
      <c r="Z59" s="214">
        <v>4573.2431640000004</v>
      </c>
      <c r="AA59" s="214">
        <v>4595.8320309999999</v>
      </c>
      <c r="AB59" s="214">
        <v>4620.3847660000001</v>
      </c>
      <c r="AC59" s="214">
        <v>4650.2163090000004</v>
      </c>
      <c r="AD59" s="214">
        <v>4684.017578</v>
      </c>
      <c r="AE59" s="214">
        <v>4715.7373049999997</v>
      </c>
      <c r="AF59" s="214">
        <v>4746.6293949999999</v>
      </c>
      <c r="AG59" s="214">
        <v>4780.0688479999999</v>
      </c>
      <c r="AH59" s="214">
        <v>4817.2851559999999</v>
      </c>
      <c r="AI59" s="214">
        <v>4853.5073240000002</v>
      </c>
      <c r="AJ59" s="214">
        <v>4888.0634769999997</v>
      </c>
      <c r="AK59" s="215">
        <v>8.0000000000000002E-3</v>
      </c>
    </row>
    <row r="60" spans="1:38" s="240" customFormat="1">
      <c r="A60" s="239" t="s">
        <v>337</v>
      </c>
      <c r="B60" s="337"/>
      <c r="C60" s="337"/>
      <c r="D60" s="337"/>
      <c r="E60" s="337">
        <f>E49/SUM(E49,E51)</f>
        <v>0.31337879007688962</v>
      </c>
      <c r="F60" s="337">
        <f t="shared" ref="F60:AJ60" si="2">F49/SUM(F49,F51)</f>
        <v>0.31770371981265683</v>
      </c>
      <c r="G60" s="294">
        <f t="shared" si="2"/>
        <v>0.26251190089541515</v>
      </c>
      <c r="H60" s="294">
        <f t="shared" si="2"/>
        <v>0.22193803113125171</v>
      </c>
      <c r="I60" s="294">
        <f t="shared" si="2"/>
        <v>0.2857649097137448</v>
      </c>
      <c r="J60" s="294">
        <f t="shared" si="2"/>
        <v>0.28960747632814082</v>
      </c>
      <c r="K60" s="294">
        <f t="shared" si="2"/>
        <v>0.29040323097747023</v>
      </c>
      <c r="L60" s="294">
        <f t="shared" si="2"/>
        <v>0.23096269525310814</v>
      </c>
      <c r="M60" s="294">
        <f t="shared" si="2"/>
        <v>0.23151333496490806</v>
      </c>
      <c r="N60" s="294">
        <f t="shared" si="2"/>
        <v>0.23075497407883847</v>
      </c>
      <c r="O60" s="294">
        <f t="shared" si="2"/>
        <v>0.230273515066552</v>
      </c>
      <c r="P60" s="294">
        <f t="shared" si="2"/>
        <v>0.23189771555945005</v>
      </c>
      <c r="Q60" s="294">
        <f t="shared" si="2"/>
        <v>0.23111424460586766</v>
      </c>
      <c r="R60" s="294">
        <f t="shared" si="2"/>
        <v>0.22924498637757248</v>
      </c>
      <c r="S60" s="294">
        <f t="shared" si="2"/>
        <v>0.22690300000889324</v>
      </c>
      <c r="T60" s="294">
        <f t="shared" si="2"/>
        <v>0.22312272271568231</v>
      </c>
      <c r="U60" s="294">
        <f t="shared" si="2"/>
        <v>0.21001226608841869</v>
      </c>
      <c r="V60" s="294">
        <f t="shared" si="2"/>
        <v>0.20499661999703978</v>
      </c>
      <c r="W60" s="294">
        <f t="shared" si="2"/>
        <v>0.2005369287187673</v>
      </c>
      <c r="X60" s="294">
        <f t="shared" si="2"/>
        <v>0.19705793356496795</v>
      </c>
      <c r="Y60" s="294">
        <f t="shared" si="2"/>
        <v>0.19561810400646931</v>
      </c>
      <c r="Z60" s="294">
        <f t="shared" si="2"/>
        <v>0.19379055574689452</v>
      </c>
      <c r="AA60" s="294">
        <f t="shared" si="2"/>
        <v>0.19318370064884116</v>
      </c>
      <c r="AB60" s="294">
        <f t="shared" si="2"/>
        <v>0.19141788995544395</v>
      </c>
      <c r="AC60" s="294">
        <f t="shared" si="2"/>
        <v>0.18990363832176815</v>
      </c>
      <c r="AD60" s="294">
        <f t="shared" si="2"/>
        <v>0.18854174403062135</v>
      </c>
      <c r="AE60" s="294">
        <f t="shared" si="2"/>
        <v>0.18716108178742677</v>
      </c>
      <c r="AF60" s="294">
        <f t="shared" si="2"/>
        <v>0.18738115047373102</v>
      </c>
      <c r="AG60" s="294">
        <f t="shared" si="2"/>
        <v>0.18862701958032915</v>
      </c>
      <c r="AH60" s="294">
        <f t="shared" si="2"/>
        <v>0.19011917547601603</v>
      </c>
      <c r="AI60" s="294">
        <f t="shared" si="2"/>
        <v>0.19203600151140759</v>
      </c>
      <c r="AJ60" s="294">
        <f t="shared" si="2"/>
        <v>0.19408721750353353</v>
      </c>
      <c r="AK60" s="294"/>
      <c r="AL60" s="240" t="s">
        <v>0</v>
      </c>
    </row>
    <row r="61" spans="1:38" s="231" customFormat="1">
      <c r="A61" s="228" t="s">
        <v>113</v>
      </c>
      <c r="B61" s="328">
        <f>B54/B58</f>
        <v>2.0265136277901438E-2</v>
      </c>
      <c r="C61" s="328">
        <f t="shared" ref="C61:AJ61" si="3">C54/C58</f>
        <v>1.9773735581189E-2</v>
      </c>
      <c r="D61" s="328">
        <f t="shared" si="3"/>
        <v>2.0530356150911099E-2</v>
      </c>
      <c r="E61" s="328">
        <f t="shared" si="3"/>
        <v>2.087214264083764E-2</v>
      </c>
      <c r="F61" s="328">
        <f t="shared" si="3"/>
        <v>2.035907755568845E-2</v>
      </c>
      <c r="G61" s="279">
        <f t="shared" si="3"/>
        <v>1.2664810918410424E-2</v>
      </c>
      <c r="H61" s="279">
        <f t="shared" si="3"/>
        <v>1.2393105755901747E-2</v>
      </c>
      <c r="I61" s="279">
        <f t="shared" si="3"/>
        <v>1.7724038569455702E-2</v>
      </c>
      <c r="J61" s="279">
        <f t="shared" si="3"/>
        <v>2.0303362243398744E-2</v>
      </c>
      <c r="K61" s="279">
        <f t="shared" si="3"/>
        <v>2.0810274149028599E-2</v>
      </c>
      <c r="L61" s="279">
        <f t="shared" si="3"/>
        <v>2.234974559167658E-2</v>
      </c>
      <c r="M61" s="279">
        <f t="shared" si="3"/>
        <v>2.1244372816553975E-2</v>
      </c>
      <c r="N61" s="279">
        <f t="shared" si="3"/>
        <v>2.1254581114041486E-2</v>
      </c>
      <c r="O61" s="279">
        <f t="shared" si="3"/>
        <v>2.1053943886343324E-2</v>
      </c>
      <c r="P61" s="279">
        <f t="shared" si="3"/>
        <v>2.1124817133370739E-2</v>
      </c>
      <c r="Q61" s="279">
        <f t="shared" si="3"/>
        <v>2.096769592871385E-2</v>
      </c>
      <c r="R61" s="279">
        <f t="shared" si="3"/>
        <v>2.0845664563906418E-2</v>
      </c>
      <c r="S61" s="279">
        <f t="shared" si="3"/>
        <v>2.0821941619655164E-2</v>
      </c>
      <c r="T61" s="279">
        <f t="shared" si="3"/>
        <v>2.0367683661005567E-2</v>
      </c>
      <c r="U61" s="279">
        <f t="shared" si="3"/>
        <v>2.9566926835550702E-2</v>
      </c>
      <c r="V61" s="279">
        <f t="shared" si="3"/>
        <v>2.9551940417089282E-2</v>
      </c>
      <c r="W61" s="279">
        <f t="shared" si="3"/>
        <v>2.9397362130120768E-2</v>
      </c>
      <c r="X61" s="279">
        <f t="shared" si="3"/>
        <v>2.9059423043813259E-2</v>
      </c>
      <c r="Y61" s="279">
        <f t="shared" si="3"/>
        <v>2.9072046502928366E-2</v>
      </c>
      <c r="Z61" s="279">
        <f t="shared" si="3"/>
        <v>2.9525512550013393E-2</v>
      </c>
      <c r="AA61" s="279">
        <f t="shared" si="3"/>
        <v>2.9754971694519745E-2</v>
      </c>
      <c r="AB61" s="279">
        <f t="shared" si="3"/>
        <v>2.9670177514088111E-2</v>
      </c>
      <c r="AC61" s="279">
        <f t="shared" si="3"/>
        <v>2.9753347178411493E-2</v>
      </c>
      <c r="AD61" s="279">
        <f t="shared" si="3"/>
        <v>2.9974758425010416E-2</v>
      </c>
      <c r="AE61" s="279">
        <f t="shared" si="3"/>
        <v>3.0184879494705007E-2</v>
      </c>
      <c r="AF61" s="279">
        <f t="shared" si="3"/>
        <v>3.0047185590827259E-2</v>
      </c>
      <c r="AG61" s="279">
        <f t="shared" si="3"/>
        <v>3.1265537583354479E-2</v>
      </c>
      <c r="AH61" s="279">
        <f t="shared" si="3"/>
        <v>3.0882086761758968E-2</v>
      </c>
      <c r="AI61" s="279">
        <f t="shared" si="3"/>
        <v>3.0518264018066378E-2</v>
      </c>
      <c r="AJ61" s="279">
        <f t="shared" si="3"/>
        <v>3.0178222025214724E-2</v>
      </c>
      <c r="AK61" s="279"/>
    </row>
    <row r="62" spans="1:38" s="241" customFormat="1">
      <c r="A62" s="230" t="s">
        <v>114</v>
      </c>
      <c r="B62" s="338">
        <f>(B54-EIA_RE_aeo2014!B73)/B56</f>
        <v>1.9357808826552959E-2</v>
      </c>
      <c r="C62" s="338">
        <f>(C54-EIA_RE_aeo2014!C73)/C56</f>
        <v>1.9090505767524402E-2</v>
      </c>
      <c r="D62" s="338">
        <f>(D54-EIA_RE_aeo2014!D73)/D56</f>
        <v>1.9592397985666542E-2</v>
      </c>
      <c r="E62" s="338">
        <f>(E54-EIA_RE_aeo2014!E73)/E56</f>
        <v>1.9917777798170191E-2</v>
      </c>
      <c r="F62" s="338">
        <f>(F54-EIA_RE_aeo2014!F73)/F56</f>
        <v>1.9586445324265456E-2</v>
      </c>
      <c r="G62" s="295">
        <f>(G54-EIA_RE_aeo2014!G73)/G56</f>
        <v>1.2558532900139247E-2</v>
      </c>
      <c r="H62" s="295">
        <f>(H54-EIA_RE_aeo2014!H73)/H56</f>
        <v>1.2284066957446249E-2</v>
      </c>
      <c r="I62" s="295">
        <f>(I54-EIA_RE_aeo2014!I73)/I56</f>
        <v>1.7420581237955274E-2</v>
      </c>
      <c r="J62" s="295">
        <f>(J54-EIA_RE_aeo2014!J73)/J56</f>
        <v>1.9977199138332517E-2</v>
      </c>
      <c r="K62" s="295">
        <f>(K54-EIA_RE_aeo2014!K73)/K56</f>
        <v>2.0481626746602109E-2</v>
      </c>
      <c r="L62" s="295">
        <f>(L54-EIA_RE_aeo2014!L73)/L56</f>
        <v>2.2008925338429564E-2</v>
      </c>
      <c r="M62" s="295">
        <f>(M54-EIA_RE_aeo2014!M73)/M56</f>
        <v>2.0912160780133273E-2</v>
      </c>
      <c r="N62" s="295">
        <f>(N54-EIA_RE_aeo2014!N73)/N56</f>
        <v>2.0925463238130698E-2</v>
      </c>
      <c r="O62" s="295">
        <f>(O54-EIA_RE_aeo2014!O73)/O56</f>
        <v>2.0729218938431354E-2</v>
      </c>
      <c r="P62" s="295">
        <f>(P54-EIA_RE_aeo2014!P73)/P56</f>
        <v>2.0799372912552478E-2</v>
      </c>
      <c r="Q62" s="295">
        <f>(Q54-EIA_RE_aeo2014!Q73)/Q56</f>
        <v>2.0645934413617621E-2</v>
      </c>
      <c r="R62" s="295">
        <f>(R54-EIA_RE_aeo2014!R73)/R56</f>
        <v>2.0528414889887745E-2</v>
      </c>
      <c r="S62" s="295">
        <f>(S54-EIA_RE_aeo2014!S73)/S56</f>
        <v>2.0509171295547919E-2</v>
      </c>
      <c r="T62" s="295">
        <f>(T54-EIA_RE_aeo2014!T73)/T56</f>
        <v>2.0063816081905789E-2</v>
      </c>
      <c r="U62" s="295">
        <f>(U54-EIA_RE_aeo2014!U73)/U56</f>
        <v>2.9213485866527934E-2</v>
      </c>
      <c r="V62" s="295">
        <f>(V54-EIA_RE_aeo2014!V73)/V56</f>
        <v>2.9204916673544839E-2</v>
      </c>
      <c r="W62" s="295">
        <f>(W54-EIA_RE_aeo2014!W73)/W56</f>
        <v>2.9057671091131228E-2</v>
      </c>
      <c r="X62" s="295">
        <f>(X54-EIA_RE_aeo2014!X73)/X56</f>
        <v>2.872782838481679E-2</v>
      </c>
      <c r="Y62" s="295">
        <f>(Y54-EIA_RE_aeo2014!Y73)/Y56</f>
        <v>2.8744137258620829E-2</v>
      </c>
      <c r="Z62" s="295">
        <f>(Z54-EIA_RE_aeo2014!Z73)/Z56</f>
        <v>2.9198140799164891E-2</v>
      </c>
      <c r="AA62" s="295">
        <f>(AA54-EIA_RE_aeo2014!AK73)/AA56</f>
        <v>2.9583830546624244E-2</v>
      </c>
      <c r="AB62" s="295">
        <f>(AB54-EIA_RE_aeo2014!AL73)/AB56</f>
        <v>2.9509303009970379E-2</v>
      </c>
      <c r="AC62" s="295">
        <f>(AC54-EIA_RE_aeo2014!AM73)/AC56</f>
        <v>2.9593731303780377E-2</v>
      </c>
      <c r="AD62" s="295">
        <f>(AD54-EIA_RE_aeo2014!AN73)/AD56</f>
        <v>2.9815671764429955E-2</v>
      </c>
      <c r="AE62" s="295">
        <f>(AE54-EIA_RE_aeo2014!AO73)/AE56</f>
        <v>3.0026400164076313E-2</v>
      </c>
      <c r="AF62" s="295">
        <f>(AF54-EIA_RE_aeo2014!AP73)/AF56</f>
        <v>2.989120187368851E-2</v>
      </c>
      <c r="AG62" s="295">
        <f>(AG54-EIA_RE_aeo2014!AQ73)/AG56</f>
        <v>3.1105375047519195E-2</v>
      </c>
      <c r="AH62" s="295">
        <f>(AH54-EIA_RE_aeo2014!AR73)/AH56</f>
        <v>3.0725766007492709E-2</v>
      </c>
      <c r="AI62" s="295">
        <f>(AI54-EIA_RE_aeo2014!AS73)/AI56</f>
        <v>3.0365568374178732E-2</v>
      </c>
      <c r="AJ62" s="295">
        <f>(AJ54-EIA_RE_aeo2014!AT73)/AJ56</f>
        <v>3.0028886170931298E-2</v>
      </c>
      <c r="AK62" s="295"/>
    </row>
    <row r="63" spans="1:38" s="389" customFormat="1">
      <c r="A63" s="389" t="s">
        <v>115</v>
      </c>
      <c r="C63" s="390"/>
      <c r="D63" s="390"/>
      <c r="E63" s="390"/>
      <c r="F63" s="390">
        <v>42094.619140625</v>
      </c>
      <c r="G63" s="391">
        <v>102605.04540000002</v>
      </c>
      <c r="H63" s="391">
        <v>163360.96875</v>
      </c>
      <c r="I63" s="391">
        <v>225974.68357199998</v>
      </c>
      <c r="J63" s="391">
        <v>289591.77345600002</v>
      </c>
      <c r="K63" s="391">
        <v>358569.27243000007</v>
      </c>
      <c r="L63" s="391">
        <v>428005.66654200002</v>
      </c>
      <c r="M63" s="391">
        <v>499509.19281199999</v>
      </c>
      <c r="N63" s="391">
        <v>571413.594774</v>
      </c>
      <c r="O63" s="391">
        <v>642582.21966400009</v>
      </c>
      <c r="P63" s="391">
        <v>712804.27253000019</v>
      </c>
      <c r="Q63" s="391">
        <v>785931.55672200024</v>
      </c>
      <c r="R63" s="391">
        <v>861455.63087200013</v>
      </c>
      <c r="S63" s="391">
        <v>939930.84375000035</v>
      </c>
      <c r="T63" s="391">
        <v>1018634.9062500005</v>
      </c>
      <c r="U63" s="391">
        <v>1096613.15925</v>
      </c>
      <c r="V63" s="392"/>
      <c r="W63" s="392"/>
      <c r="X63" s="392"/>
      <c r="Y63" s="392"/>
      <c r="Z63" s="392"/>
      <c r="AA63" s="392"/>
      <c r="AB63" s="392"/>
      <c r="AC63" s="392"/>
      <c r="AD63" s="392"/>
      <c r="AE63" s="392"/>
      <c r="AF63" s="392"/>
      <c r="AG63" s="392"/>
      <c r="AH63" s="392"/>
      <c r="AI63" s="392"/>
      <c r="AJ63" s="392"/>
      <c r="AK63" s="392"/>
    </row>
    <row r="64" spans="1:38" s="393" customFormat="1">
      <c r="A64" s="393" t="s">
        <v>116</v>
      </c>
      <c r="C64" s="394"/>
      <c r="D64" s="394"/>
      <c r="E64" s="394"/>
      <c r="F64" s="394"/>
      <c r="G64" s="395">
        <f>G63/1000/G58</f>
        <v>0.50047872826355466</v>
      </c>
      <c r="H64" s="395">
        <f t="shared" ref="H64:O64" si="4">H63/1000/H58</f>
        <v>0.79445264837409446</v>
      </c>
      <c r="I64" s="395">
        <f t="shared" si="4"/>
        <v>1.139098435013417</v>
      </c>
      <c r="J64" s="395">
        <f t="shared" si="4"/>
        <v>1.465522902803593</v>
      </c>
      <c r="K64" s="395">
        <f t="shared" si="4"/>
        <v>1.7909464992394097</v>
      </c>
      <c r="L64" s="395">
        <f t="shared" si="4"/>
        <v>2.1231192378575088</v>
      </c>
      <c r="M64" s="395">
        <f t="shared" si="4"/>
        <v>2.4491407543289223</v>
      </c>
      <c r="N64" s="395">
        <f t="shared" si="4"/>
        <v>2.774876371607478</v>
      </c>
      <c r="O64" s="395">
        <f t="shared" si="4"/>
        <v>3.090791039024563</v>
      </c>
      <c r="P64" s="395">
        <f t="shared" ref="P64" si="5">P63/1000/P58</f>
        <v>3.4313761475623088</v>
      </c>
      <c r="Q64" s="395">
        <f t="shared" ref="Q64" si="6">Q63/1000/Q58</f>
        <v>3.7519777197231465</v>
      </c>
      <c r="R64" s="395">
        <f t="shared" ref="R64" si="7">R63/1000/R58</f>
        <v>4.0643315952415886</v>
      </c>
      <c r="S64" s="395">
        <f t="shared" ref="S64" si="8">S63/1000/S58</f>
        <v>4.3736495537953637</v>
      </c>
      <c r="T64" s="395">
        <f t="shared" ref="T64" si="9">T63/1000/T58</f>
        <v>4.646098880948851</v>
      </c>
      <c r="U64" s="395">
        <f t="shared" ref="U64" si="10">U63/1000/U58</f>
        <v>4.9100321913984413</v>
      </c>
      <c r="V64" s="395"/>
      <c r="W64" s="395"/>
      <c r="X64" s="395"/>
      <c r="Y64" s="395"/>
      <c r="Z64" s="395"/>
      <c r="AA64" s="395"/>
      <c r="AB64" s="395"/>
      <c r="AC64" s="395"/>
      <c r="AD64" s="395"/>
      <c r="AE64" s="395"/>
      <c r="AF64" s="395"/>
      <c r="AG64" s="395"/>
      <c r="AH64" s="395"/>
      <c r="AI64" s="395"/>
      <c r="AJ64" s="395"/>
      <c r="AK64" s="395"/>
    </row>
    <row r="65" spans="1:38" s="393" customFormat="1">
      <c r="A65" s="393" t="s">
        <v>119</v>
      </c>
      <c r="D65" s="394"/>
      <c r="E65" s="394"/>
      <c r="F65" s="394"/>
      <c r="G65" s="395"/>
      <c r="H65" s="395">
        <f t="shared" ref="H65:U65" si="11">(H64-G64)/G64</f>
        <v>0.58738544419360739</v>
      </c>
      <c r="I65" s="395">
        <f t="shared" si="11"/>
        <v>0.43381539144550074</v>
      </c>
      <c r="J65" s="395">
        <f t="shared" si="11"/>
        <v>0.28656388048354325</v>
      </c>
      <c r="K65" s="395">
        <f t="shared" si="11"/>
        <v>0.22205289034601289</v>
      </c>
      <c r="L65" s="395">
        <f t="shared" si="11"/>
        <v>0.18547328954782749</v>
      </c>
      <c r="M65" s="395">
        <f t="shared" si="11"/>
        <v>0.15355779866627264</v>
      </c>
      <c r="N65" s="395">
        <f t="shared" si="11"/>
        <v>0.13299995792516589</v>
      </c>
      <c r="O65" s="395">
        <f t="shared" si="11"/>
        <v>0.11384819541854994</v>
      </c>
      <c r="P65" s="395">
        <f t="shared" si="11"/>
        <v>0.11019350846999759</v>
      </c>
      <c r="Q65" s="395">
        <f t="shared" si="11"/>
        <v>9.3432360188374267E-2</v>
      </c>
      <c r="R65" s="395">
        <f t="shared" si="11"/>
        <v>8.32504611838394E-2</v>
      </c>
      <c r="S65" s="395">
        <f t="shared" si="11"/>
        <v>7.610549270042738E-2</v>
      </c>
      <c r="T65" s="395">
        <f t="shared" si="11"/>
        <v>6.2293360225229154E-2</v>
      </c>
      <c r="U65" s="395">
        <f t="shared" si="11"/>
        <v>5.6807510389380339E-2</v>
      </c>
      <c r="V65" s="395"/>
      <c r="W65" s="395"/>
      <c r="X65" s="395"/>
      <c r="Y65" s="395"/>
      <c r="Z65" s="395"/>
      <c r="AA65" s="395"/>
      <c r="AB65" s="395"/>
      <c r="AC65" s="395"/>
      <c r="AD65" s="395"/>
      <c r="AE65" s="395"/>
      <c r="AF65" s="395"/>
      <c r="AG65" s="395"/>
      <c r="AH65" s="395"/>
      <c r="AI65" s="395"/>
      <c r="AJ65" s="395"/>
      <c r="AK65" s="395"/>
    </row>
    <row r="66" spans="1:38" s="231" customFormat="1">
      <c r="A66" s="231" t="s">
        <v>135</v>
      </c>
      <c r="B66" s="339">
        <f>B52/B58</f>
        <v>0.14046144081811437</v>
      </c>
      <c r="C66" s="339">
        <f t="shared" ref="C66:AJ66" si="12">C52/C58</f>
        <v>0.12994232475598938</v>
      </c>
      <c r="D66" s="339">
        <f t="shared" si="12"/>
        <v>0.14630781419321942</v>
      </c>
      <c r="E66" s="339">
        <f t="shared" si="12"/>
        <v>0.13360190138841732</v>
      </c>
      <c r="F66" s="339">
        <f t="shared" si="12"/>
        <v>0.10448432254994827</v>
      </c>
      <c r="G66" s="296">
        <f t="shared" si="12"/>
        <v>0.10738301083821192</v>
      </c>
      <c r="H66" s="296">
        <f t="shared" si="12"/>
        <v>8.6904905924155854E-2</v>
      </c>
      <c r="I66" s="296">
        <f t="shared" si="12"/>
        <v>0.12187586977829629</v>
      </c>
      <c r="J66" s="296">
        <f t="shared" si="12"/>
        <v>0.12210101428857102</v>
      </c>
      <c r="K66" s="296">
        <f t="shared" si="12"/>
        <v>0.12429485615217094</v>
      </c>
      <c r="L66" s="296">
        <f t="shared" si="12"/>
        <v>0.12462044413538588</v>
      </c>
      <c r="M66" s="296">
        <f t="shared" si="12"/>
        <v>0.12317843666912161</v>
      </c>
      <c r="N66" s="296">
        <f t="shared" si="12"/>
        <v>0.12199934477763089</v>
      </c>
      <c r="O66" s="296">
        <f t="shared" si="12"/>
        <v>0.12083850219027037</v>
      </c>
      <c r="P66" s="296">
        <f t="shared" si="12"/>
        <v>0.12093790116273902</v>
      </c>
      <c r="Q66" s="296">
        <f t="shared" si="12"/>
        <v>0.11993334646958155</v>
      </c>
      <c r="R66" s="296">
        <f t="shared" si="12"/>
        <v>0.11852791565396771</v>
      </c>
      <c r="S66" s="296">
        <f t="shared" si="12"/>
        <v>0.11689946089965556</v>
      </c>
      <c r="T66" s="296">
        <f t="shared" si="12"/>
        <v>0.11458672897960651</v>
      </c>
      <c r="U66" s="296">
        <f t="shared" si="12"/>
        <v>0.11248518176245545</v>
      </c>
      <c r="V66" s="296">
        <f t="shared" si="12"/>
        <v>0.11040597155951594</v>
      </c>
      <c r="W66" s="296">
        <f t="shared" si="12"/>
        <v>0.10834379017648978</v>
      </c>
      <c r="X66" s="296">
        <f t="shared" si="12"/>
        <v>0.1098803917779389</v>
      </c>
      <c r="Y66" s="296">
        <f t="shared" si="12"/>
        <v>0.11413922006918518</v>
      </c>
      <c r="Z66" s="296">
        <f t="shared" si="12"/>
        <v>0.11456168066243579</v>
      </c>
      <c r="AA66" s="296">
        <f t="shared" si="12"/>
        <v>0.11705094392073956</v>
      </c>
      <c r="AB66" s="296">
        <f t="shared" si="12"/>
        <v>0.11674230047461361</v>
      </c>
      <c r="AC66" s="296">
        <f t="shared" si="12"/>
        <v>0.11975638804558117</v>
      </c>
      <c r="AD66" s="296">
        <f t="shared" si="12"/>
        <v>0.12306324242599787</v>
      </c>
      <c r="AE66" s="296">
        <f t="shared" si="12"/>
        <v>0.12648010451840846</v>
      </c>
      <c r="AF66" s="296">
        <f t="shared" si="12"/>
        <v>0.13753729561665026</v>
      </c>
      <c r="AG66" s="296">
        <f t="shared" si="12"/>
        <v>0.15319256720060417</v>
      </c>
      <c r="AH66" s="296">
        <f t="shared" si="12"/>
        <v>0.17004539221073017</v>
      </c>
      <c r="AI66" s="296">
        <f t="shared" si="12"/>
        <v>0.18790142747853089</v>
      </c>
      <c r="AJ66" s="296">
        <f t="shared" si="12"/>
        <v>0.20531679176394244</v>
      </c>
      <c r="AK66" s="296"/>
    </row>
    <row r="67" spans="1:38">
      <c r="A67" s="6" t="s">
        <v>91</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92</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93</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94</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95</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96</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97</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98</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99</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100</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595</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101</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102</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103</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104</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105</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106</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101</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102</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103</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104</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105</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107</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595</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108</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109</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110</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106</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108</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109</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110</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111</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635</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112</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634</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433" t="s">
        <v>636</v>
      </c>
      <c r="B109" s="433"/>
      <c r="C109" s="433"/>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33"/>
      <c r="AD109" s="433"/>
      <c r="AE109" s="433"/>
      <c r="AF109" s="433"/>
    </row>
    <row r="110" spans="1:38">
      <c r="A110" s="432" t="s">
        <v>637</v>
      </c>
      <c r="B110" s="432"/>
      <c r="C110" s="432"/>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2"/>
      <c r="AD110" s="432"/>
      <c r="AE110" s="432"/>
      <c r="AF110" s="432"/>
    </row>
    <row r="111" spans="1:38">
      <c r="A111" s="432" t="s">
        <v>638</v>
      </c>
      <c r="B111" s="432"/>
      <c r="C111" s="432"/>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2"/>
      <c r="AE111" s="432"/>
      <c r="AF111" s="432"/>
    </row>
    <row r="112" spans="1:38">
      <c r="A112" s="432" t="s">
        <v>639</v>
      </c>
      <c r="B112" s="432"/>
      <c r="C112" s="432"/>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row>
    <row r="113" spans="1:32">
      <c r="A113" s="432" t="s">
        <v>640</v>
      </c>
      <c r="B113" s="432"/>
      <c r="C113" s="432"/>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32"/>
      <c r="AA113" s="432"/>
      <c r="AB113" s="432"/>
      <c r="AC113" s="432"/>
      <c r="AD113" s="432"/>
      <c r="AE113" s="432"/>
      <c r="AF113" s="432"/>
    </row>
    <row r="114" spans="1:32">
      <c r="A114" s="432" t="s">
        <v>641</v>
      </c>
      <c r="B114" s="432"/>
      <c r="C114" s="432"/>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32"/>
      <c r="AA114" s="432"/>
      <c r="AB114" s="432"/>
      <c r="AC114" s="432"/>
      <c r="AD114" s="432"/>
      <c r="AE114" s="432"/>
      <c r="AF114" s="432"/>
    </row>
    <row r="115" spans="1:32">
      <c r="A115" s="432" t="s">
        <v>642</v>
      </c>
      <c r="B115" s="432"/>
      <c r="C115" s="432"/>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432"/>
      <c r="AD115" s="432"/>
      <c r="AE115" s="432"/>
      <c r="AF115" s="432"/>
    </row>
    <row r="116" spans="1:32">
      <c r="A116" s="432" t="s">
        <v>643</v>
      </c>
      <c r="B116" s="432"/>
      <c r="C116" s="432"/>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432"/>
      <c r="AD116" s="432"/>
      <c r="AE116" s="432"/>
      <c r="AF116" s="432"/>
    </row>
    <row r="117" spans="1:32">
      <c r="A117" s="432" t="s">
        <v>644</v>
      </c>
      <c r="B117" s="432"/>
      <c r="C117" s="432"/>
      <c r="D117" s="432"/>
      <c r="E117" s="432"/>
      <c r="F117" s="432"/>
      <c r="G117" s="432"/>
      <c r="H117" s="432"/>
      <c r="I117" s="432"/>
      <c r="J117" s="432"/>
      <c r="K117" s="432"/>
      <c r="L117" s="432"/>
      <c r="M117" s="432"/>
      <c r="N117" s="432"/>
      <c r="O117" s="432"/>
      <c r="P117" s="432"/>
      <c r="Q117" s="432"/>
      <c r="R117" s="432"/>
      <c r="S117" s="432"/>
      <c r="T117" s="432"/>
      <c r="U117" s="432"/>
      <c r="V117" s="432"/>
      <c r="W117" s="432"/>
      <c r="X117" s="432"/>
      <c r="Y117" s="432"/>
      <c r="Z117" s="432"/>
      <c r="AA117" s="432"/>
      <c r="AB117" s="432"/>
      <c r="AC117" s="432"/>
      <c r="AD117" s="432"/>
      <c r="AE117" s="432"/>
      <c r="AF117" s="432"/>
    </row>
    <row r="118" spans="1:32">
      <c r="A118" s="432" t="s">
        <v>645</v>
      </c>
      <c r="B118" s="432"/>
      <c r="C118" s="432"/>
      <c r="D118" s="432"/>
      <c r="E118" s="432"/>
      <c r="F118" s="432"/>
      <c r="G118" s="432"/>
      <c r="H118" s="432"/>
      <c r="I118" s="432"/>
      <c r="J118" s="432"/>
      <c r="K118" s="432"/>
      <c r="L118" s="432"/>
      <c r="M118" s="432"/>
      <c r="N118" s="432"/>
      <c r="O118" s="432"/>
      <c r="P118" s="432"/>
      <c r="Q118" s="432"/>
      <c r="R118" s="432"/>
      <c r="S118" s="432"/>
      <c r="T118" s="432"/>
      <c r="U118" s="432"/>
      <c r="V118" s="432"/>
      <c r="W118" s="432"/>
      <c r="X118" s="432"/>
      <c r="Y118" s="432"/>
      <c r="Z118" s="432"/>
      <c r="AA118" s="432"/>
      <c r="AB118" s="432"/>
      <c r="AC118" s="432"/>
      <c r="AD118" s="432"/>
      <c r="AE118" s="432"/>
      <c r="AF118" s="432"/>
    </row>
    <row r="119" spans="1:32">
      <c r="A119" s="432" t="s">
        <v>646</v>
      </c>
      <c r="B119" s="432"/>
      <c r="C119" s="432"/>
      <c r="D119" s="432"/>
      <c r="E119" s="432"/>
      <c r="F119" s="432"/>
      <c r="G119" s="432"/>
      <c r="H119" s="432"/>
      <c r="I119" s="432"/>
      <c r="J119" s="432"/>
      <c r="K119" s="432"/>
      <c r="L119" s="432"/>
      <c r="M119" s="432"/>
      <c r="N119" s="432"/>
      <c r="O119" s="432"/>
      <c r="P119" s="432"/>
      <c r="Q119" s="432"/>
      <c r="R119" s="432"/>
      <c r="S119" s="432"/>
      <c r="T119" s="432"/>
      <c r="U119" s="432"/>
      <c r="V119" s="432"/>
      <c r="W119" s="432"/>
      <c r="X119" s="432"/>
      <c r="Y119" s="432"/>
      <c r="Z119" s="432"/>
      <c r="AA119" s="432"/>
      <c r="AB119" s="432"/>
      <c r="AC119" s="432"/>
      <c r="AD119" s="432"/>
      <c r="AE119" s="432"/>
      <c r="AF119" s="432"/>
    </row>
    <row r="120" spans="1:32">
      <c r="A120" s="432" t="s">
        <v>647</v>
      </c>
      <c r="B120" s="432"/>
      <c r="C120" s="432"/>
      <c r="D120" s="432"/>
      <c r="E120" s="432"/>
      <c r="F120" s="432"/>
      <c r="G120" s="432"/>
      <c r="H120" s="432"/>
      <c r="I120" s="432"/>
      <c r="J120" s="432"/>
      <c r="K120" s="432"/>
      <c r="L120" s="432"/>
      <c r="M120" s="432"/>
      <c r="N120" s="432"/>
      <c r="O120" s="432"/>
      <c r="P120" s="432"/>
      <c r="Q120" s="432"/>
      <c r="R120" s="432"/>
      <c r="S120" s="432"/>
      <c r="T120" s="432"/>
      <c r="U120" s="432"/>
      <c r="V120" s="432"/>
      <c r="W120" s="432"/>
      <c r="X120" s="432"/>
      <c r="Y120" s="432"/>
      <c r="Z120" s="432"/>
      <c r="AA120" s="432"/>
      <c r="AB120" s="432"/>
      <c r="AC120" s="432"/>
      <c r="AD120" s="432"/>
      <c r="AE120" s="432"/>
      <c r="AF120" s="432"/>
    </row>
    <row r="121" spans="1:32">
      <c r="A121" s="432" t="s">
        <v>648</v>
      </c>
      <c r="B121" s="432"/>
      <c r="C121" s="432"/>
      <c r="D121" s="432"/>
      <c r="E121" s="432"/>
      <c r="F121" s="432"/>
      <c r="G121" s="432"/>
      <c r="H121" s="432"/>
      <c r="I121" s="432"/>
      <c r="J121" s="432"/>
      <c r="K121" s="432"/>
      <c r="L121" s="432"/>
      <c r="M121" s="432"/>
      <c r="N121" s="432"/>
      <c r="O121" s="432"/>
      <c r="P121" s="432"/>
      <c r="Q121" s="432"/>
      <c r="R121" s="432"/>
      <c r="S121" s="432"/>
      <c r="T121" s="432"/>
      <c r="U121" s="432"/>
      <c r="V121" s="432"/>
      <c r="W121" s="432"/>
      <c r="X121" s="432"/>
      <c r="Y121" s="432"/>
      <c r="Z121" s="432"/>
      <c r="AA121" s="432"/>
      <c r="AB121" s="432"/>
      <c r="AC121" s="432"/>
      <c r="AD121" s="432"/>
      <c r="AE121" s="432"/>
      <c r="AF121" s="432"/>
    </row>
    <row r="122" spans="1:32">
      <c r="A122" s="432" t="s">
        <v>649</v>
      </c>
      <c r="B122" s="432"/>
      <c r="C122" s="432"/>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32"/>
      <c r="AD122" s="432"/>
      <c r="AE122" s="432"/>
      <c r="AF122" s="432"/>
    </row>
    <row r="123" spans="1:32">
      <c r="A123" s="432" t="s">
        <v>650</v>
      </c>
      <c r="B123" s="432"/>
      <c r="C123" s="432"/>
      <c r="D123" s="432"/>
      <c r="E123" s="432"/>
      <c r="F123" s="432"/>
      <c r="G123" s="432"/>
      <c r="H123" s="432"/>
      <c r="I123" s="432"/>
      <c r="J123" s="432"/>
      <c r="K123" s="432"/>
      <c r="L123" s="432"/>
      <c r="M123" s="432"/>
      <c r="N123" s="432"/>
      <c r="O123" s="432"/>
      <c r="P123" s="432"/>
      <c r="Q123" s="432"/>
      <c r="R123" s="432"/>
      <c r="S123" s="432"/>
      <c r="T123" s="432"/>
      <c r="U123" s="432"/>
      <c r="V123" s="432"/>
      <c r="W123" s="432"/>
      <c r="X123" s="432"/>
      <c r="Y123" s="432"/>
      <c r="Z123" s="432"/>
      <c r="AA123" s="432"/>
      <c r="AB123" s="432"/>
      <c r="AC123" s="432"/>
      <c r="AD123" s="432"/>
      <c r="AE123" s="432"/>
      <c r="AF123" s="432"/>
    </row>
    <row r="124" spans="1:32">
      <c r="A124" s="432" t="s">
        <v>651</v>
      </c>
      <c r="B124" s="432"/>
      <c r="C124" s="432"/>
      <c r="D124" s="432"/>
      <c r="E124" s="432"/>
      <c r="F124" s="432"/>
      <c r="G124" s="432"/>
      <c r="H124" s="432"/>
      <c r="I124" s="432"/>
      <c r="J124" s="432"/>
      <c r="K124" s="432"/>
      <c r="L124" s="432"/>
      <c r="M124" s="432"/>
      <c r="N124" s="432"/>
      <c r="O124" s="432"/>
      <c r="P124" s="432"/>
      <c r="Q124" s="432"/>
      <c r="R124" s="432"/>
      <c r="S124" s="432"/>
      <c r="T124" s="432"/>
      <c r="U124" s="432"/>
      <c r="V124" s="432"/>
      <c r="W124" s="432"/>
      <c r="X124" s="432"/>
      <c r="Y124" s="432"/>
      <c r="Z124" s="432"/>
      <c r="AA124" s="432"/>
      <c r="AB124" s="432"/>
      <c r="AC124" s="432"/>
      <c r="AD124" s="432"/>
      <c r="AE124" s="432"/>
      <c r="AF124" s="432"/>
    </row>
    <row r="125" spans="1:32">
      <c r="A125" s="432" t="s">
        <v>644</v>
      </c>
      <c r="B125" s="432"/>
      <c r="C125" s="432"/>
      <c r="D125" s="432"/>
      <c r="E125" s="432"/>
      <c r="F125" s="432"/>
      <c r="G125" s="432"/>
      <c r="H125" s="432"/>
      <c r="I125" s="432"/>
      <c r="J125" s="432"/>
      <c r="K125" s="432"/>
      <c r="L125" s="432"/>
      <c r="M125" s="432"/>
      <c r="N125" s="432"/>
      <c r="O125" s="432"/>
      <c r="P125" s="432"/>
      <c r="Q125" s="432"/>
      <c r="R125" s="432"/>
      <c r="S125" s="432"/>
      <c r="T125" s="432"/>
      <c r="U125" s="432"/>
      <c r="V125" s="432"/>
      <c r="W125" s="432"/>
      <c r="X125" s="432"/>
      <c r="Y125" s="432"/>
      <c r="Z125" s="432"/>
      <c r="AA125" s="432"/>
      <c r="AB125" s="432"/>
      <c r="AC125" s="432"/>
      <c r="AD125" s="432"/>
      <c r="AE125" s="432"/>
      <c r="AF125" s="432"/>
    </row>
    <row r="126" spans="1:32">
      <c r="A126" s="432" t="s">
        <v>652</v>
      </c>
      <c r="B126" s="432"/>
      <c r="C126" s="432"/>
      <c r="D126" s="432"/>
      <c r="E126" s="432"/>
      <c r="F126" s="432"/>
      <c r="G126" s="432"/>
      <c r="H126" s="432"/>
      <c r="I126" s="432"/>
      <c r="J126" s="432"/>
      <c r="K126" s="432"/>
      <c r="L126" s="432"/>
      <c r="M126" s="432"/>
      <c r="N126" s="432"/>
      <c r="O126" s="432"/>
      <c r="P126" s="432"/>
      <c r="Q126" s="432"/>
      <c r="R126" s="432"/>
      <c r="S126" s="432"/>
      <c r="T126" s="432"/>
      <c r="U126" s="432"/>
      <c r="V126" s="432"/>
      <c r="W126" s="432"/>
      <c r="X126" s="432"/>
      <c r="Y126" s="432"/>
      <c r="Z126" s="432"/>
      <c r="AA126" s="432"/>
      <c r="AB126" s="432"/>
      <c r="AC126" s="432"/>
      <c r="AD126" s="432"/>
      <c r="AE126" s="432"/>
      <c r="AF126" s="432"/>
    </row>
    <row r="127" spans="1:32">
      <c r="A127" s="432" t="s">
        <v>653</v>
      </c>
      <c r="B127" s="432"/>
      <c r="C127" s="432"/>
      <c r="D127" s="432"/>
      <c r="E127" s="432"/>
      <c r="F127" s="432"/>
      <c r="G127" s="432"/>
      <c r="H127" s="432"/>
      <c r="I127" s="432"/>
      <c r="J127" s="432"/>
      <c r="K127" s="432"/>
      <c r="L127" s="432"/>
      <c r="M127" s="432"/>
      <c r="N127" s="432"/>
      <c r="O127" s="432"/>
      <c r="P127" s="432"/>
      <c r="Q127" s="432"/>
      <c r="R127" s="432"/>
      <c r="S127" s="432"/>
      <c r="T127" s="432"/>
      <c r="U127" s="432"/>
      <c r="V127" s="432"/>
      <c r="W127" s="432"/>
      <c r="X127" s="432"/>
      <c r="Y127" s="432"/>
      <c r="Z127" s="432"/>
      <c r="AA127" s="432"/>
      <c r="AB127" s="432"/>
      <c r="AC127" s="432"/>
      <c r="AD127" s="432"/>
      <c r="AE127" s="432"/>
      <c r="AF127" s="432"/>
    </row>
    <row r="128" spans="1:32">
      <c r="A128" s="432" t="s">
        <v>654</v>
      </c>
      <c r="B128" s="432"/>
      <c r="C128" s="432"/>
      <c r="D128" s="432"/>
      <c r="E128" s="432"/>
      <c r="F128" s="432"/>
      <c r="G128" s="432"/>
      <c r="H128" s="432"/>
      <c r="I128" s="432"/>
      <c r="J128" s="432"/>
      <c r="K128" s="432"/>
      <c r="L128" s="432"/>
      <c r="M128" s="432"/>
      <c r="N128" s="432"/>
      <c r="O128" s="432"/>
      <c r="P128" s="432"/>
      <c r="Q128" s="432"/>
      <c r="R128" s="432"/>
      <c r="S128" s="432"/>
      <c r="T128" s="432"/>
      <c r="U128" s="432"/>
      <c r="V128" s="432"/>
      <c r="W128" s="432"/>
      <c r="X128" s="432"/>
      <c r="Y128" s="432"/>
      <c r="Z128" s="432"/>
      <c r="AA128" s="432"/>
      <c r="AB128" s="432"/>
      <c r="AC128" s="432"/>
      <c r="AD128" s="432"/>
      <c r="AE128" s="432"/>
      <c r="AF128" s="432"/>
    </row>
    <row r="129" spans="1:32">
      <c r="A129" s="432" t="s">
        <v>622</v>
      </c>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row>
    <row r="130" spans="1:32">
      <c r="A130" s="432" t="s">
        <v>623</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row>
    <row r="131" spans="1:32">
      <c r="A131" s="432" t="s">
        <v>624</v>
      </c>
      <c r="B131" s="432"/>
      <c r="C131" s="432"/>
      <c r="D131" s="432"/>
      <c r="E131" s="432"/>
      <c r="F131" s="432"/>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row>
    <row r="132" spans="1:32">
      <c r="A132" s="432" t="s">
        <v>655</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row>
    <row r="133" spans="1:32">
      <c r="A133" s="432" t="s">
        <v>656</v>
      </c>
      <c r="B133" s="432"/>
      <c r="C133" s="432"/>
      <c r="D133" s="432"/>
      <c r="E133" s="432"/>
      <c r="F133" s="432"/>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row>
    <row r="134" spans="1:32">
      <c r="A134" s="432" t="s">
        <v>657</v>
      </c>
      <c r="B134" s="432"/>
      <c r="C134" s="432"/>
      <c r="D134" s="432"/>
      <c r="E134" s="432"/>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2"/>
      <c r="AD134" s="432"/>
      <c r="AE134" s="432"/>
      <c r="AF134" s="432"/>
    </row>
    <row r="135" spans="1:32">
      <c r="A135" s="432" t="s">
        <v>658</v>
      </c>
      <c r="B135" s="432"/>
      <c r="C135" s="432"/>
      <c r="D135" s="432"/>
      <c r="E135" s="432"/>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432"/>
      <c r="AD135" s="432"/>
      <c r="AE135" s="432"/>
      <c r="AF135" s="432"/>
    </row>
    <row r="136" spans="1:32">
      <c r="A136" s="432" t="s">
        <v>659</v>
      </c>
      <c r="B136" s="432"/>
      <c r="C136" s="432"/>
      <c r="D136" s="432"/>
      <c r="E136" s="432"/>
      <c r="F136" s="432"/>
      <c r="G136" s="432"/>
      <c r="H136" s="432"/>
      <c r="I136" s="432"/>
      <c r="J136" s="432"/>
      <c r="K136" s="432"/>
      <c r="L136" s="432"/>
      <c r="M136" s="432"/>
      <c r="N136" s="432"/>
      <c r="O136" s="432"/>
      <c r="P136" s="432"/>
      <c r="Q136" s="432"/>
      <c r="R136" s="432"/>
      <c r="S136" s="432"/>
      <c r="T136" s="432"/>
      <c r="U136" s="432"/>
      <c r="V136" s="432"/>
      <c r="W136" s="432"/>
      <c r="X136" s="432"/>
      <c r="Y136" s="432"/>
      <c r="Z136" s="432"/>
      <c r="AA136" s="432"/>
      <c r="AB136" s="432"/>
      <c r="AC136" s="432"/>
      <c r="AD136" s="432"/>
      <c r="AE136" s="432"/>
      <c r="AF136" s="432"/>
    </row>
    <row r="137" spans="1:32">
      <c r="A137" s="432" t="s">
        <v>660</v>
      </c>
      <c r="B137" s="432"/>
      <c r="C137" s="432"/>
      <c r="D137" s="432"/>
      <c r="E137" s="432"/>
      <c r="F137" s="432"/>
      <c r="G137" s="432"/>
      <c r="H137" s="432"/>
      <c r="I137" s="432"/>
      <c r="J137" s="432"/>
      <c r="K137" s="432"/>
      <c r="L137" s="432"/>
      <c r="M137" s="432"/>
      <c r="N137" s="432"/>
      <c r="O137" s="432"/>
      <c r="P137" s="432"/>
      <c r="Q137" s="432"/>
      <c r="R137" s="432"/>
      <c r="S137" s="432"/>
      <c r="T137" s="432"/>
      <c r="U137" s="432"/>
      <c r="V137" s="432"/>
      <c r="W137" s="432"/>
      <c r="X137" s="432"/>
      <c r="Y137" s="432"/>
      <c r="Z137" s="432"/>
      <c r="AA137" s="432"/>
      <c r="AB137" s="432"/>
      <c r="AC137" s="432"/>
      <c r="AD137" s="432"/>
      <c r="AE137" s="432"/>
      <c r="AF137" s="432"/>
    </row>
  </sheetData>
  <mergeCells count="29">
    <mergeCell ref="A109:AF109"/>
    <mergeCell ref="A110:AF110"/>
    <mergeCell ref="A111:AF111"/>
    <mergeCell ref="A112:AF112"/>
    <mergeCell ref="A113:AF113"/>
    <mergeCell ref="A114:AF114"/>
    <mergeCell ref="A115:AF115"/>
    <mergeCell ref="A116:AF116"/>
    <mergeCell ref="A117:AF117"/>
    <mergeCell ref="A118:AF118"/>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33:AF133"/>
    <mergeCell ref="A134:AF134"/>
    <mergeCell ref="A135:AF135"/>
    <mergeCell ref="A136:AF136"/>
    <mergeCell ref="A137:AF13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M122"/>
  <sheetViews>
    <sheetView topLeftCell="A26" zoomScale="70" zoomScaleNormal="70" zoomScalePageLayoutView="70" workbookViewId="0">
      <selection activeCell="B73" sqref="B73:F79"/>
    </sheetView>
  </sheetViews>
  <sheetFormatPr baseColWidth="10" defaultColWidth="12.5" defaultRowHeight="16" x14ac:dyDescent="0"/>
  <cols>
    <col min="1" max="1" width="47.33203125" style="5" customWidth="1"/>
    <col min="2" max="2" width="23" style="217" bestFit="1" customWidth="1"/>
    <col min="3" max="6" width="12.5" style="217"/>
    <col min="7" max="37" width="12.5" style="269"/>
    <col min="38" max="16384" width="12.5" style="5"/>
  </cols>
  <sheetData>
    <row r="1" spans="1:37">
      <c r="A1" s="234" t="s">
        <v>4</v>
      </c>
    </row>
    <row r="2" spans="1:37">
      <c r="A2" s="238" t="s">
        <v>711</v>
      </c>
    </row>
    <row r="3" spans="1:37">
      <c r="A3" s="238" t="s">
        <v>661</v>
      </c>
    </row>
    <row r="4" spans="1:37">
      <c r="A4" s="238" t="s">
        <v>662</v>
      </c>
    </row>
    <row r="6" spans="1:37">
      <c r="A6" s="6" t="s">
        <v>5</v>
      </c>
    </row>
    <row r="7" spans="1:37">
      <c r="A7" s="6" t="s">
        <v>6</v>
      </c>
    </row>
    <row r="8" spans="1:37">
      <c r="A8" s="78" t="s">
        <v>287</v>
      </c>
    </row>
    <row r="10" spans="1:37">
      <c r="AK10" s="270" t="s">
        <v>721</v>
      </c>
    </row>
    <row r="11" spans="1:37">
      <c r="B11" s="383" t="s">
        <v>7</v>
      </c>
      <c r="C11" s="383" t="s">
        <v>8</v>
      </c>
      <c r="D11" s="383" t="s">
        <v>9</v>
      </c>
      <c r="E11" s="383" t="s">
        <v>10</v>
      </c>
      <c r="F11" s="383" t="s">
        <v>11</v>
      </c>
      <c r="G11" s="270" t="s">
        <v>12</v>
      </c>
      <c r="H11" s="270" t="s">
        <v>13</v>
      </c>
      <c r="I11" s="270" t="s">
        <v>14</v>
      </c>
      <c r="J11" s="270" t="s">
        <v>15</v>
      </c>
      <c r="K11" s="270" t="s">
        <v>16</v>
      </c>
      <c r="L11" s="270" t="s">
        <v>17</v>
      </c>
      <c r="M11" s="270" t="s">
        <v>18</v>
      </c>
      <c r="N11" s="270" t="s">
        <v>19</v>
      </c>
      <c r="O11" s="270" t="s">
        <v>20</v>
      </c>
      <c r="P11" s="270" t="s">
        <v>21</v>
      </c>
      <c r="Q11" s="270" t="s">
        <v>22</v>
      </c>
      <c r="R11" s="270" t="s">
        <v>23</v>
      </c>
      <c r="S11" s="270" t="s">
        <v>24</v>
      </c>
      <c r="T11" s="270" t="s">
        <v>25</v>
      </c>
      <c r="U11" s="270" t="s">
        <v>26</v>
      </c>
      <c r="V11" s="270" t="s">
        <v>27</v>
      </c>
      <c r="W11" s="270" t="s">
        <v>28</v>
      </c>
      <c r="X11" s="270" t="s">
        <v>29</v>
      </c>
      <c r="Y11" s="270" t="s">
        <v>30</v>
      </c>
      <c r="Z11" s="270" t="s">
        <v>31</v>
      </c>
      <c r="AA11" s="270" t="s">
        <v>584</v>
      </c>
      <c r="AB11" s="270" t="s">
        <v>585</v>
      </c>
      <c r="AC11" s="270" t="s">
        <v>586</v>
      </c>
      <c r="AD11" s="270" t="s">
        <v>587</v>
      </c>
      <c r="AE11" s="270" t="s">
        <v>588</v>
      </c>
      <c r="AF11" s="270" t="s">
        <v>589</v>
      </c>
      <c r="AG11" s="270" t="s">
        <v>590</v>
      </c>
      <c r="AH11" s="270" t="s">
        <v>591</v>
      </c>
      <c r="AI11" s="270" t="s">
        <v>592</v>
      </c>
      <c r="AJ11" s="270" t="s">
        <v>593</v>
      </c>
      <c r="AK11" s="270">
        <v>2040</v>
      </c>
    </row>
    <row r="12" spans="1:37">
      <c r="B12" s="384"/>
      <c r="C12" s="384"/>
      <c r="D12" s="384"/>
      <c r="E12" s="384"/>
      <c r="F12" s="384"/>
    </row>
    <row r="13" spans="1:37">
      <c r="B13" s="384"/>
      <c r="C13" s="384"/>
      <c r="D13" s="384"/>
      <c r="E13" s="384"/>
      <c r="F13" s="384"/>
    </row>
    <row r="14" spans="1:37">
      <c r="A14" s="6" t="s">
        <v>32</v>
      </c>
      <c r="B14" s="384"/>
      <c r="C14" s="384"/>
      <c r="D14" s="384"/>
      <c r="E14" s="384"/>
      <c r="F14" s="384"/>
    </row>
    <row r="15" spans="1:37">
      <c r="A15" s="6" t="s">
        <v>33</v>
      </c>
      <c r="B15" s="384"/>
      <c r="C15" s="384"/>
      <c r="D15" s="384"/>
      <c r="E15" s="384"/>
      <c r="F15" s="384"/>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663</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664</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665</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s="407"/>
      <c r="C33" s="407"/>
      <c r="D33" s="407"/>
      <c r="E33" s="407"/>
      <c r="F33" s="407"/>
      <c r="G33" s="419">
        <v>2.9000000000000001E-2</v>
      </c>
      <c r="H33" s="419">
        <v>8.7999999999999995E-2</v>
      </c>
      <c r="I33" s="419">
        <v>1E-4</v>
      </c>
      <c r="J33" s="419">
        <v>1E-4</v>
      </c>
      <c r="K33" s="419">
        <v>1E-4</v>
      </c>
      <c r="L33" s="419">
        <v>1E-4</v>
      </c>
      <c r="M33" s="419">
        <v>1E-4</v>
      </c>
      <c r="N33" s="419">
        <v>1E-4</v>
      </c>
      <c r="O33" s="419">
        <v>1E-4</v>
      </c>
      <c r="P33" s="419">
        <v>1E-4</v>
      </c>
      <c r="Q33" s="419">
        <v>1E-4</v>
      </c>
      <c r="R33" s="419">
        <v>1E-4</v>
      </c>
      <c r="S33" s="419">
        <v>1E-4</v>
      </c>
      <c r="T33" s="419">
        <v>1E-4</v>
      </c>
      <c r="U33" s="419">
        <v>1E-4</v>
      </c>
      <c r="V33" s="419">
        <v>1E-4</v>
      </c>
      <c r="W33" s="419">
        <v>1E-4</v>
      </c>
      <c r="X33" s="419">
        <v>1E-4</v>
      </c>
      <c r="Y33" s="419">
        <v>1E-4</v>
      </c>
      <c r="Z33" s="419">
        <v>1E-4</v>
      </c>
      <c r="AA33" s="419">
        <v>1E-4</v>
      </c>
      <c r="AB33" s="419">
        <v>1E-4</v>
      </c>
      <c r="AC33" s="419">
        <v>1E-4</v>
      </c>
      <c r="AD33" s="419">
        <v>1E-4</v>
      </c>
      <c r="AE33" s="419">
        <v>1E-4</v>
      </c>
      <c r="AF33" s="419">
        <v>1E-4</v>
      </c>
      <c r="AG33" s="419">
        <v>1E-4</v>
      </c>
      <c r="AH33" s="419">
        <v>1E-4</v>
      </c>
      <c r="AI33" s="419">
        <v>1E-4</v>
      </c>
      <c r="AJ33" s="419">
        <v>1E-4</v>
      </c>
      <c r="AK33" s="419" t="s">
        <v>41</v>
      </c>
    </row>
    <row r="34" spans="1:39" s="18" customFormat="1">
      <c r="A34" s="17" t="s">
        <v>666</v>
      </c>
      <c r="B34" s="407"/>
      <c r="C34" s="407"/>
      <c r="D34" s="407"/>
      <c r="E34" s="407"/>
      <c r="F34" s="407"/>
      <c r="G34" s="419">
        <v>9.7000000000000003E-2</v>
      </c>
      <c r="H34" s="419">
        <v>0.128</v>
      </c>
      <c r="I34" s="419">
        <v>0.120132</v>
      </c>
      <c r="J34" s="419">
        <v>0.13184299999999999</v>
      </c>
      <c r="K34" s="419">
        <v>0.177229</v>
      </c>
      <c r="L34" s="419">
        <v>0.17721100000000001</v>
      </c>
      <c r="M34" s="419">
        <v>0.17749300000000001</v>
      </c>
      <c r="N34" s="419">
        <v>0.17754300000000001</v>
      </c>
      <c r="O34" s="419">
        <v>0.17730099999999999</v>
      </c>
      <c r="P34" s="419">
        <v>0.17699599999999999</v>
      </c>
      <c r="Q34" s="419">
        <v>0.17696200000000001</v>
      </c>
      <c r="R34" s="419">
        <v>0.17691100000000001</v>
      </c>
      <c r="S34" s="419">
        <v>0.17694599999999999</v>
      </c>
      <c r="T34" s="419">
        <v>0.17693400000000001</v>
      </c>
      <c r="U34" s="419">
        <v>0.17674699999999999</v>
      </c>
      <c r="V34" s="419">
        <v>0.17693999999999999</v>
      </c>
      <c r="W34" s="419">
        <v>0.17696799999999999</v>
      </c>
      <c r="X34" s="419">
        <v>0.21452399999999999</v>
      </c>
      <c r="Y34" s="419">
        <v>0.28973700000000002</v>
      </c>
      <c r="Z34" s="419">
        <v>0.35894199999999998</v>
      </c>
      <c r="AA34" s="419">
        <v>0.43228800000000001</v>
      </c>
      <c r="AB34" s="419">
        <v>0.46556999999999998</v>
      </c>
      <c r="AC34" s="419">
        <v>0.55797200000000002</v>
      </c>
      <c r="AD34" s="419">
        <v>0.69771300000000003</v>
      </c>
      <c r="AE34" s="419">
        <v>0.831511</v>
      </c>
      <c r="AF34" s="419">
        <v>0.88575000000000004</v>
      </c>
      <c r="AG34" s="419">
        <v>0.88584099999999999</v>
      </c>
      <c r="AH34" s="419">
        <v>0.88584099999999999</v>
      </c>
      <c r="AI34" s="419">
        <v>0.88621300000000003</v>
      </c>
      <c r="AJ34" s="419">
        <v>0.88678699999999999</v>
      </c>
      <c r="AK34" s="421">
        <v>7.1999999999999995E-2</v>
      </c>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667</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668</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666</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668</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666</v>
      </c>
      <c r="B54"/>
      <c r="C54"/>
      <c r="D54"/>
      <c r="E54"/>
      <c r="F54"/>
      <c r="G54" s="419">
        <v>6.9308999999999996E-2</v>
      </c>
      <c r="H54" s="419">
        <v>0.15257499999999999</v>
      </c>
      <c r="I54" s="419">
        <v>0.28475400000000001</v>
      </c>
      <c r="J54" s="419">
        <v>0.44253799999999999</v>
      </c>
      <c r="K54" s="419">
        <v>0.64906600000000003</v>
      </c>
      <c r="L54" s="419">
        <v>0.86997999999999998</v>
      </c>
      <c r="M54" s="419">
        <v>0.87577799999999995</v>
      </c>
      <c r="N54" s="419">
        <v>0.88274399999999997</v>
      </c>
      <c r="O54" s="419">
        <v>0.89518500000000001</v>
      </c>
      <c r="P54" s="419">
        <v>0.91807000000000005</v>
      </c>
      <c r="Q54" s="419">
        <v>0.94508499999999995</v>
      </c>
      <c r="R54" s="419">
        <v>0.97486200000000001</v>
      </c>
      <c r="S54" s="419">
        <v>1.006856</v>
      </c>
      <c r="T54" s="419">
        <v>1.040808</v>
      </c>
      <c r="U54" s="419">
        <v>1.076967</v>
      </c>
      <c r="V54" s="419">
        <v>1.114436</v>
      </c>
      <c r="W54" s="419">
        <v>1.155824</v>
      </c>
      <c r="X54" s="419">
        <v>1.1991369999999999</v>
      </c>
      <c r="Y54" s="419">
        <v>1.245441</v>
      </c>
      <c r="Z54" s="419">
        <v>1.295606</v>
      </c>
      <c r="AA54" s="419">
        <v>1.3485290000000001</v>
      </c>
      <c r="AB54" s="419">
        <v>1.4040109999999999</v>
      </c>
      <c r="AC54" s="419">
        <v>1.462934</v>
      </c>
      <c r="AD54" s="419">
        <v>1.54965</v>
      </c>
      <c r="AE54" s="419">
        <v>1.64133</v>
      </c>
      <c r="AF54" s="419">
        <v>1.737611</v>
      </c>
      <c r="AG54" s="419">
        <v>1.83805</v>
      </c>
      <c r="AH54" s="419">
        <v>1.942564</v>
      </c>
      <c r="AI54" s="419">
        <v>2.051129</v>
      </c>
      <c r="AJ54" s="419">
        <v>2.164005</v>
      </c>
      <c r="AK54" s="421">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row>
    <row r="57" spans="1:39" s="217" customFormat="1">
      <c r="A57" s="217" t="s">
        <v>356</v>
      </c>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row>
    <row r="58" spans="1:39" s="217" customFormat="1">
      <c r="A58" s="216" t="s">
        <v>355</v>
      </c>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row>
    <row r="59" spans="1:39">
      <c r="A59" s="6"/>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row>
    <row r="60" spans="1:39">
      <c r="A60" s="6" t="s">
        <v>49</v>
      </c>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row>
    <row r="61" spans="1:39">
      <c r="A61" s="6" t="s">
        <v>50</v>
      </c>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row>
    <row r="62" spans="1:39">
      <c r="A62" s="6" t="s">
        <v>51</v>
      </c>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row>
    <row r="63" spans="1:39">
      <c r="A63" s="6" t="s">
        <v>52</v>
      </c>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row>
    <row r="64" spans="1:39">
      <c r="A64" s="6" t="s">
        <v>53</v>
      </c>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row>
    <row r="65" spans="1:39">
      <c r="A65" s="6" t="s">
        <v>669</v>
      </c>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row>
    <row r="66" spans="1:39">
      <c r="A66" s="6" t="s">
        <v>670</v>
      </c>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row>
    <row r="67" spans="1:39">
      <c r="A67" s="6" t="s">
        <v>55</v>
      </c>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row>
    <row r="68" spans="1:39">
      <c r="A68" s="6" t="s">
        <v>56</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39">
      <c r="A69" s="6"/>
      <c r="B69" s="385"/>
      <c r="C69" s="385"/>
      <c r="D69" s="385"/>
      <c r="E69" s="385"/>
      <c r="F69" s="385"/>
      <c r="G69" s="287"/>
      <c r="H69" s="287"/>
      <c r="I69" s="287"/>
      <c r="J69" s="287"/>
      <c r="K69" s="287"/>
      <c r="L69" s="287"/>
      <c r="M69" s="287"/>
      <c r="N69" s="287"/>
      <c r="O69" s="287"/>
      <c r="P69" s="287"/>
      <c r="Q69" s="287"/>
      <c r="R69" s="287"/>
      <c r="S69" s="287"/>
      <c r="T69" s="287"/>
      <c r="U69" s="287"/>
      <c r="V69" s="287"/>
      <c r="W69" s="287"/>
      <c r="X69" s="287"/>
      <c r="Y69" s="287"/>
      <c r="Z69" s="287"/>
      <c r="AA69" s="287"/>
      <c r="AB69" s="287"/>
      <c r="AC69" s="287"/>
      <c r="AD69" s="287"/>
      <c r="AE69" s="287"/>
      <c r="AF69" s="287"/>
      <c r="AG69" s="287"/>
      <c r="AH69" s="287"/>
      <c r="AI69" s="287"/>
      <c r="AJ69" s="287"/>
      <c r="AK69" s="288"/>
    </row>
    <row r="70" spans="1:39" s="90" customFormat="1">
      <c r="B70" s="386" t="s">
        <v>7</v>
      </c>
      <c r="C70" s="386" t="s">
        <v>8</v>
      </c>
      <c r="D70" s="386" t="s">
        <v>9</v>
      </c>
      <c r="E70" s="386" t="s">
        <v>10</v>
      </c>
      <c r="F70" s="386" t="s">
        <v>11</v>
      </c>
      <c r="G70" s="289" t="s">
        <v>12</v>
      </c>
      <c r="H70" s="289" t="s">
        <v>13</v>
      </c>
      <c r="I70" s="289" t="s">
        <v>14</v>
      </c>
      <c r="J70" s="289" t="s">
        <v>15</v>
      </c>
      <c r="K70" s="289" t="s">
        <v>16</v>
      </c>
      <c r="L70" s="289" t="s">
        <v>17</v>
      </c>
      <c r="M70" s="289" t="s">
        <v>18</v>
      </c>
      <c r="N70" s="289" t="s">
        <v>19</v>
      </c>
      <c r="O70" s="289" t="s">
        <v>20</v>
      </c>
      <c r="P70" s="289" t="s">
        <v>21</v>
      </c>
      <c r="Q70" s="289" t="s">
        <v>22</v>
      </c>
      <c r="R70" s="289" t="s">
        <v>23</v>
      </c>
      <c r="S70" s="289" t="s">
        <v>24</v>
      </c>
      <c r="T70" s="289" t="s">
        <v>25</v>
      </c>
      <c r="U70" s="289" t="s">
        <v>26</v>
      </c>
      <c r="V70" s="289" t="s">
        <v>27</v>
      </c>
      <c r="W70" s="289" t="s">
        <v>28</v>
      </c>
      <c r="X70" s="289" t="s">
        <v>29</v>
      </c>
      <c r="Y70" s="289" t="s">
        <v>30</v>
      </c>
      <c r="Z70" s="289" t="s">
        <v>31</v>
      </c>
      <c r="AA70" s="289" t="s">
        <v>584</v>
      </c>
      <c r="AB70" s="289" t="s">
        <v>585</v>
      </c>
      <c r="AC70" s="289" t="s">
        <v>586</v>
      </c>
      <c r="AD70" s="289" t="s">
        <v>587</v>
      </c>
      <c r="AE70" s="289" t="s">
        <v>588</v>
      </c>
      <c r="AF70" s="289" t="s">
        <v>589</v>
      </c>
      <c r="AG70" s="289" t="s">
        <v>590</v>
      </c>
      <c r="AH70" s="289" t="s">
        <v>591</v>
      </c>
      <c r="AI70" s="289" t="s">
        <v>592</v>
      </c>
      <c r="AJ70" s="289" t="s">
        <v>593</v>
      </c>
      <c r="AK70" s="289" t="s">
        <v>596</v>
      </c>
    </row>
    <row r="71" spans="1:39">
      <c r="B71" s="384"/>
      <c r="C71" s="384"/>
      <c r="D71" s="384"/>
      <c r="E71" s="384"/>
      <c r="F71" s="384"/>
    </row>
    <row r="72" spans="1:39" s="18" customFormat="1">
      <c r="A72" s="17" t="s">
        <v>57</v>
      </c>
      <c r="B72" s="387"/>
      <c r="C72" s="387"/>
      <c r="D72" s="387"/>
      <c r="E72" s="387"/>
      <c r="F72" s="387"/>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0"/>
      <c r="AG72" s="290"/>
      <c r="AH72" s="290"/>
      <c r="AI72" s="290"/>
      <c r="AJ72" s="290"/>
      <c r="AK72" s="290"/>
    </row>
    <row r="73" spans="1:39" s="18" customFormat="1">
      <c r="A73" s="17" t="s">
        <v>51</v>
      </c>
      <c r="B73" s="408">
        <v>0.20300000000000001</v>
      </c>
      <c r="C73" s="408">
        <v>0.154</v>
      </c>
      <c r="D73" s="408">
        <v>0.20599999999999999</v>
      </c>
      <c r="E73" s="408">
        <v>0.20799999999999999</v>
      </c>
      <c r="F73" s="408">
        <v>0.17699999999999999</v>
      </c>
      <c r="G73" s="419">
        <v>5.0000000000000001E-3</v>
      </c>
      <c r="H73" s="419">
        <v>6.0000000000000001E-3</v>
      </c>
      <c r="I73" s="419">
        <v>3.6912E-2</v>
      </c>
      <c r="J73" s="419">
        <v>3.7745000000000001E-2</v>
      </c>
      <c r="K73" s="419">
        <v>3.8419000000000002E-2</v>
      </c>
      <c r="L73" s="419">
        <v>3.9285E-2</v>
      </c>
      <c r="M73" s="419">
        <v>3.9800000000000002E-2</v>
      </c>
      <c r="N73" s="419">
        <v>3.9800000000000002E-2</v>
      </c>
      <c r="O73" s="419">
        <v>3.9800000000000002E-2</v>
      </c>
      <c r="P73" s="419">
        <v>3.9800000000000002E-2</v>
      </c>
      <c r="Q73" s="419">
        <v>3.9800000000000002E-2</v>
      </c>
      <c r="R73" s="419">
        <v>3.9800000000000002E-2</v>
      </c>
      <c r="S73" s="419">
        <v>3.9800000000000002E-2</v>
      </c>
      <c r="T73" s="419">
        <v>3.9800000000000002E-2</v>
      </c>
      <c r="U73" s="419">
        <v>3.9800000000000002E-2</v>
      </c>
      <c r="V73" s="419">
        <v>3.9800000000000002E-2</v>
      </c>
      <c r="W73" s="419">
        <v>3.9800000000000002E-2</v>
      </c>
      <c r="X73" s="419">
        <v>3.9800000000000002E-2</v>
      </c>
      <c r="Y73" s="419">
        <v>3.9800000000000002E-2</v>
      </c>
      <c r="Z73" s="419">
        <v>3.9800000000000002E-2</v>
      </c>
      <c r="AA73" s="419">
        <v>3.9800000000000002E-2</v>
      </c>
      <c r="AB73" s="419">
        <v>3.9800000000000002E-2</v>
      </c>
      <c r="AC73" s="419">
        <v>3.9800000000000002E-2</v>
      </c>
      <c r="AD73" s="419">
        <v>3.9800000000000002E-2</v>
      </c>
      <c r="AE73" s="419">
        <v>3.9800000000000002E-2</v>
      </c>
      <c r="AF73" s="419">
        <v>3.9800000000000002E-2</v>
      </c>
      <c r="AG73" s="419">
        <v>3.9800000000000002E-2</v>
      </c>
      <c r="AH73" s="419">
        <v>3.9800000000000002E-2</v>
      </c>
      <c r="AI73" s="419">
        <v>3.9800000000000002E-2</v>
      </c>
      <c r="AJ73" s="419">
        <v>3.9800000000000002E-2</v>
      </c>
      <c r="AK73" s="402">
        <v>2E-3</v>
      </c>
    </row>
    <row r="74" spans="1:39" s="18" customFormat="1">
      <c r="A74" s="17" t="s">
        <v>52</v>
      </c>
      <c r="B74" s="408">
        <v>1E-4</v>
      </c>
      <c r="C74" s="408">
        <v>1E-4</v>
      </c>
      <c r="D74" s="408">
        <v>1E-4</v>
      </c>
      <c r="E74" s="408">
        <v>1E-4</v>
      </c>
      <c r="F74" s="408">
        <v>1E-4</v>
      </c>
      <c r="G74" s="419">
        <v>1E-4</v>
      </c>
      <c r="H74" s="419">
        <v>1E-4</v>
      </c>
      <c r="I74" s="419">
        <v>1E-4</v>
      </c>
      <c r="J74" s="419">
        <v>1E-4</v>
      </c>
      <c r="K74" s="419">
        <v>1E-4</v>
      </c>
      <c r="L74" s="419">
        <v>1E-4</v>
      </c>
      <c r="M74" s="419">
        <v>1E-4</v>
      </c>
      <c r="N74" s="419">
        <v>1E-4</v>
      </c>
      <c r="O74" s="419">
        <v>1E-4</v>
      </c>
      <c r="P74" s="419">
        <v>1E-4</v>
      </c>
      <c r="Q74" s="419">
        <v>1E-4</v>
      </c>
      <c r="R74" s="419">
        <v>1E-4</v>
      </c>
      <c r="S74" s="419">
        <v>1E-4</v>
      </c>
      <c r="T74" s="419">
        <v>1E-4</v>
      </c>
      <c r="U74" s="419">
        <v>1E-4</v>
      </c>
      <c r="V74" s="419">
        <v>1E-4</v>
      </c>
      <c r="W74" s="419">
        <v>1E-4</v>
      </c>
      <c r="X74" s="419">
        <v>1E-4</v>
      </c>
      <c r="Y74" s="419">
        <v>1E-4</v>
      </c>
      <c r="Z74" s="419">
        <v>1E-4</v>
      </c>
      <c r="AA74" s="419">
        <v>1E-4</v>
      </c>
      <c r="AB74" s="419">
        <v>1E-4</v>
      </c>
      <c r="AC74" s="419">
        <v>1E-4</v>
      </c>
      <c r="AD74" s="419">
        <v>1E-4</v>
      </c>
      <c r="AE74" s="419">
        <v>1E-4</v>
      </c>
      <c r="AF74" s="419">
        <v>1E-4</v>
      </c>
      <c r="AG74" s="419">
        <v>1E-4</v>
      </c>
      <c r="AH74" s="419">
        <v>1E-4</v>
      </c>
      <c r="AI74" s="419">
        <v>1E-4</v>
      </c>
      <c r="AJ74" s="419">
        <v>1E-4</v>
      </c>
      <c r="AK74" s="402">
        <v>5.2999999999999999E-2</v>
      </c>
    </row>
    <row r="75" spans="1:39" s="18" customFormat="1">
      <c r="A75" s="17" t="s">
        <v>53</v>
      </c>
      <c r="B75" s="408">
        <v>1.825</v>
      </c>
      <c r="C75" s="408">
        <v>1.794</v>
      </c>
      <c r="D75" s="408">
        <v>1.726</v>
      </c>
      <c r="E75" s="408">
        <v>1.8460000000000001</v>
      </c>
      <c r="F75" s="408">
        <v>1.8460000000000001</v>
      </c>
      <c r="G75" s="419">
        <v>2.3726219999999998</v>
      </c>
      <c r="H75" s="419">
        <v>2.3636330000000001</v>
      </c>
      <c r="I75" s="419">
        <v>2.7493829999999999</v>
      </c>
      <c r="J75" s="419">
        <v>2.7493829999999999</v>
      </c>
      <c r="K75" s="419">
        <v>2.7493829999999999</v>
      </c>
      <c r="L75" s="419">
        <v>2.3386439999999999</v>
      </c>
      <c r="M75" s="419">
        <v>2.3390620000000002</v>
      </c>
      <c r="N75" s="419">
        <v>2.3389380000000002</v>
      </c>
      <c r="O75" s="419">
        <v>2.339213</v>
      </c>
      <c r="P75" s="419">
        <v>2.3374030000000001</v>
      </c>
      <c r="Q75" s="419">
        <v>2.3368669999999998</v>
      </c>
      <c r="R75" s="419">
        <v>2.3366340000000001</v>
      </c>
      <c r="S75" s="419">
        <v>2.3365140000000002</v>
      </c>
      <c r="T75" s="419">
        <v>2.3364340000000001</v>
      </c>
      <c r="U75" s="419">
        <v>2.3361350000000001</v>
      </c>
      <c r="V75" s="419">
        <v>2.3358319999999999</v>
      </c>
      <c r="W75" s="419">
        <v>2.3355809999999999</v>
      </c>
      <c r="X75" s="419">
        <v>2.335267</v>
      </c>
      <c r="Y75" s="419">
        <v>2.33433</v>
      </c>
      <c r="Z75" s="419">
        <v>2.3329390000000001</v>
      </c>
      <c r="AA75" s="419">
        <v>2.3315199999999998</v>
      </c>
      <c r="AB75" s="419">
        <v>2.33013</v>
      </c>
      <c r="AC75" s="419">
        <v>2.32883</v>
      </c>
      <c r="AD75" s="419">
        <v>2.3276870000000001</v>
      </c>
      <c r="AE75" s="419">
        <v>2.3265159999999998</v>
      </c>
      <c r="AF75" s="419">
        <v>2.325577</v>
      </c>
      <c r="AG75" s="419">
        <v>2.7493829999999999</v>
      </c>
      <c r="AH75" s="419">
        <v>2.7493829999999999</v>
      </c>
      <c r="AI75" s="419">
        <v>2.7493829999999999</v>
      </c>
      <c r="AJ75" s="419">
        <v>2.7493829999999999</v>
      </c>
      <c r="AK75" s="402">
        <v>3.0000000000000001E-3</v>
      </c>
    </row>
    <row r="76" spans="1:39" s="18" customFormat="1">
      <c r="A76" s="17" t="s">
        <v>58</v>
      </c>
      <c r="B76" s="409">
        <v>2.5049999999999999</v>
      </c>
      <c r="C76" s="409">
        <v>2.5089999999999999</v>
      </c>
      <c r="D76" s="409">
        <v>2.577</v>
      </c>
      <c r="E76" s="409">
        <v>2.484</v>
      </c>
      <c r="F76" s="409">
        <v>2.5609999999999999</v>
      </c>
      <c r="G76" s="419">
        <v>1.6055079999999999</v>
      </c>
      <c r="H76" s="419">
        <v>1.5241039999999999</v>
      </c>
      <c r="I76" s="419">
        <v>2.0501510000000001</v>
      </c>
      <c r="J76" s="419">
        <v>2.5422310000000001</v>
      </c>
      <c r="K76" s="419">
        <v>2.6907070000000002</v>
      </c>
      <c r="L76" s="419">
        <v>3.4760420000000001</v>
      </c>
      <c r="M76" s="419">
        <v>3.3282159999999998</v>
      </c>
      <c r="N76" s="419">
        <v>3.3876080000000002</v>
      </c>
      <c r="O76" s="419">
        <v>3.4110520000000002</v>
      </c>
      <c r="P76" s="419">
        <v>3.4546960000000002</v>
      </c>
      <c r="Q76" s="419">
        <v>3.4943789999999999</v>
      </c>
      <c r="R76" s="419">
        <v>3.551739</v>
      </c>
      <c r="S76" s="419">
        <v>3.6377100000000002</v>
      </c>
      <c r="T76" s="419">
        <v>3.6520350000000001</v>
      </c>
      <c r="U76" s="419">
        <v>5.8140919999999996</v>
      </c>
      <c r="V76" s="419">
        <v>5.9660679999999999</v>
      </c>
      <c r="W76" s="419">
        <v>6.0836610000000002</v>
      </c>
      <c r="X76" s="419">
        <v>6.1188539999999998</v>
      </c>
      <c r="Y76" s="419">
        <v>6.151224</v>
      </c>
      <c r="Z76" s="419">
        <v>6.2837709999999998</v>
      </c>
      <c r="AA76" s="419">
        <v>6.3655309999999998</v>
      </c>
      <c r="AB76" s="419">
        <v>6.4095589999999998</v>
      </c>
      <c r="AC76" s="419">
        <v>6.4445050000000004</v>
      </c>
      <c r="AD76" s="419">
        <v>6.4742199999999999</v>
      </c>
      <c r="AE76" s="419">
        <v>6.5054059999999998</v>
      </c>
      <c r="AF76" s="419">
        <v>6.5324470000000003</v>
      </c>
      <c r="AG76" s="419">
        <v>6.5608240000000002</v>
      </c>
      <c r="AH76" s="419">
        <v>6.590509</v>
      </c>
      <c r="AI76" s="419">
        <v>6.6204970000000003</v>
      </c>
      <c r="AJ76" s="419">
        <v>6.6479439999999999</v>
      </c>
      <c r="AK76" s="402">
        <v>0.03</v>
      </c>
    </row>
    <row r="77" spans="1:39" s="18" customFormat="1">
      <c r="A77" s="17" t="s">
        <v>54</v>
      </c>
      <c r="B77" s="408">
        <v>1E-4</v>
      </c>
      <c r="C77" s="408">
        <v>1E-4</v>
      </c>
      <c r="D77" s="408">
        <v>1E-4</v>
      </c>
      <c r="E77" s="408">
        <v>8.9999999999999993E-3</v>
      </c>
      <c r="F77" s="408">
        <v>0.08</v>
      </c>
      <c r="G77" s="419">
        <v>0.19530900000000001</v>
      </c>
      <c r="H77" s="419">
        <v>0.36857499999999999</v>
      </c>
      <c r="I77" s="419">
        <v>0.40488600000000002</v>
      </c>
      <c r="J77" s="419">
        <v>0.57438100000000003</v>
      </c>
      <c r="K77" s="419">
        <v>0.826295</v>
      </c>
      <c r="L77" s="419">
        <v>1.047191</v>
      </c>
      <c r="M77" s="419">
        <v>1.0532699999999999</v>
      </c>
      <c r="N77" s="419">
        <v>1.060287</v>
      </c>
      <c r="O77" s="419">
        <v>1.0724860000000001</v>
      </c>
      <c r="P77" s="419">
        <v>1.095065</v>
      </c>
      <c r="Q77" s="419">
        <v>1.122047</v>
      </c>
      <c r="R77" s="419">
        <v>1.1517729999999999</v>
      </c>
      <c r="S77" s="419">
        <v>1.183802</v>
      </c>
      <c r="T77" s="419">
        <v>1.2177420000000001</v>
      </c>
      <c r="U77" s="419">
        <v>1.2537130000000001</v>
      </c>
      <c r="V77" s="419">
        <v>1.2913760000000001</v>
      </c>
      <c r="W77" s="419">
        <v>1.332792</v>
      </c>
      <c r="X77" s="419">
        <v>1.4136610000000001</v>
      </c>
      <c r="Y77" s="419">
        <v>1.5351779999999999</v>
      </c>
      <c r="Z77" s="419">
        <v>1.654549</v>
      </c>
      <c r="AA77" s="419">
        <v>1.7808170000000001</v>
      </c>
      <c r="AB77" s="419">
        <v>1.8695809999999999</v>
      </c>
      <c r="AC77" s="419">
        <v>2.0209060000000001</v>
      </c>
      <c r="AD77" s="419">
        <v>2.2473640000000001</v>
      </c>
      <c r="AE77" s="419">
        <v>2.4728409999999998</v>
      </c>
      <c r="AF77" s="419">
        <v>2.6233599999999999</v>
      </c>
      <c r="AG77" s="419">
        <v>2.7238910000000001</v>
      </c>
      <c r="AH77" s="419">
        <v>2.8284050000000001</v>
      </c>
      <c r="AI77" s="419">
        <v>2.9373420000000001</v>
      </c>
      <c r="AJ77" s="419">
        <v>3.0507919999999999</v>
      </c>
      <c r="AK77" s="402">
        <v>7.2999999999999995E-2</v>
      </c>
    </row>
    <row r="78" spans="1:39" s="18" customFormat="1">
      <c r="A78" s="17" t="s">
        <v>55</v>
      </c>
      <c r="B78" s="408">
        <v>1E-4</v>
      </c>
      <c r="C78" s="408">
        <v>1E-4</v>
      </c>
      <c r="D78" s="408">
        <v>1E-4</v>
      </c>
      <c r="E78" s="408">
        <v>1E-4</v>
      </c>
      <c r="F78" s="408">
        <v>1E-4</v>
      </c>
      <c r="G78" s="419">
        <v>5.0000000000000004E-6</v>
      </c>
      <c r="H78" s="419">
        <v>5.0000000000000004E-6</v>
      </c>
      <c r="I78" s="419">
        <v>5.0000000000000004E-6</v>
      </c>
      <c r="J78" s="419">
        <v>5.0000000000000004E-6</v>
      </c>
      <c r="K78" s="419">
        <v>5.0000000000000004E-6</v>
      </c>
      <c r="L78" s="419">
        <v>5.0000000000000004E-6</v>
      </c>
      <c r="M78" s="419">
        <v>5.0000000000000004E-6</v>
      </c>
      <c r="N78" s="419">
        <v>5.0000000000000004E-6</v>
      </c>
      <c r="O78" s="419">
        <v>5.0000000000000004E-6</v>
      </c>
      <c r="P78" s="419">
        <v>5.0000000000000004E-6</v>
      </c>
      <c r="Q78" s="419">
        <v>5.0000000000000004E-6</v>
      </c>
      <c r="R78" s="419">
        <v>5.0000000000000004E-6</v>
      </c>
      <c r="S78" s="419">
        <v>5.0000000000000004E-6</v>
      </c>
      <c r="T78" s="419">
        <v>5.0000000000000004E-6</v>
      </c>
      <c r="U78" s="419">
        <v>5.0000000000000004E-6</v>
      </c>
      <c r="V78" s="419">
        <v>5.0000000000000004E-6</v>
      </c>
      <c r="W78" s="419">
        <v>5.0000000000000004E-6</v>
      </c>
      <c r="X78" s="419">
        <v>6.0000000000000002E-6</v>
      </c>
      <c r="Y78" s="419">
        <v>6.0000000000000002E-6</v>
      </c>
      <c r="Z78" s="419">
        <v>6.0000000000000002E-6</v>
      </c>
      <c r="AA78" s="419">
        <v>6.9999999999999999E-6</v>
      </c>
      <c r="AB78" s="419">
        <v>7.9999999999999996E-6</v>
      </c>
      <c r="AC78" s="419">
        <v>1.0000000000000001E-5</v>
      </c>
      <c r="AD78" s="419">
        <v>1.5999999999999999E-5</v>
      </c>
      <c r="AE78" s="419">
        <v>2.8E-5</v>
      </c>
      <c r="AF78" s="419">
        <v>4.5000000000000003E-5</v>
      </c>
      <c r="AG78" s="419">
        <v>7.2000000000000002E-5</v>
      </c>
      <c r="AH78" s="419">
        <v>1.1900000000000001E-4</v>
      </c>
      <c r="AI78" s="419">
        <v>2.03E-4</v>
      </c>
      <c r="AJ78" s="419">
        <v>3.5599999999999998E-4</v>
      </c>
      <c r="AK78" s="402">
        <v>2.1000000000000001E-2</v>
      </c>
    </row>
    <row r="79" spans="1:39" s="18" customFormat="1">
      <c r="A79" s="17" t="s">
        <v>56</v>
      </c>
      <c r="B79" s="410">
        <v>4.5339999999999998</v>
      </c>
      <c r="C79" s="410">
        <v>4.4569999999999999</v>
      </c>
      <c r="D79" s="410">
        <v>4.5090000000000003</v>
      </c>
      <c r="E79" s="410">
        <v>4.5490000000000004</v>
      </c>
      <c r="F79" s="410">
        <v>4.6639999999999997</v>
      </c>
      <c r="G79" s="420">
        <v>4.1784439999999998</v>
      </c>
      <c r="H79" s="420">
        <v>4.2623170000000004</v>
      </c>
      <c r="I79" s="420">
        <v>5.2413369999999997</v>
      </c>
      <c r="J79" s="420">
        <v>5.9037459999999999</v>
      </c>
      <c r="K79" s="420">
        <v>6.3048109999999999</v>
      </c>
      <c r="L79" s="420">
        <v>6.9011670000000001</v>
      </c>
      <c r="M79" s="420">
        <v>6.7603540000000004</v>
      </c>
      <c r="N79" s="420">
        <v>6.826638</v>
      </c>
      <c r="O79" s="420">
        <v>6.8625559999999997</v>
      </c>
      <c r="P79" s="420">
        <v>6.9269689999999997</v>
      </c>
      <c r="Q79" s="420">
        <v>6.9930979999999998</v>
      </c>
      <c r="R79" s="420">
        <v>7.0799500000000002</v>
      </c>
      <c r="S79" s="420">
        <v>7.1978309999999999</v>
      </c>
      <c r="T79" s="420">
        <v>7.246016</v>
      </c>
      <c r="U79" s="420">
        <v>9.4437470000000001</v>
      </c>
      <c r="V79" s="420">
        <v>9.6330799999999996</v>
      </c>
      <c r="W79" s="420">
        <v>9.7918400000000005</v>
      </c>
      <c r="X79" s="420">
        <v>9.9075869999999995</v>
      </c>
      <c r="Y79" s="420">
        <v>10.060537999999999</v>
      </c>
      <c r="Z79" s="420">
        <v>10.311064</v>
      </c>
      <c r="AA79" s="420">
        <v>10.517674</v>
      </c>
      <c r="AB79" s="420">
        <v>10.649077</v>
      </c>
      <c r="AC79" s="420">
        <v>10.83405</v>
      </c>
      <c r="AD79" s="420">
        <v>11.089086999999999</v>
      </c>
      <c r="AE79" s="420">
        <v>11.34459</v>
      </c>
      <c r="AF79" s="420">
        <v>11.521229</v>
      </c>
      <c r="AG79" s="420">
        <v>12.073971999999999</v>
      </c>
      <c r="AH79" s="420">
        <v>12.208216999999999</v>
      </c>
      <c r="AI79" s="420">
        <v>12.347225999999999</v>
      </c>
      <c r="AJ79" s="420">
        <v>12.488276000000001</v>
      </c>
      <c r="AK79" s="403">
        <v>2.9000000000000001E-2</v>
      </c>
    </row>
    <row r="80" spans="1:39" s="221" customFormat="1">
      <c r="A80" s="220" t="s">
        <v>59</v>
      </c>
      <c r="B80" s="388">
        <f>B79*1000</f>
        <v>4534</v>
      </c>
      <c r="C80" s="388">
        <f t="shared" ref="C80:AJ80" si="0">C79*1000</f>
        <v>4457</v>
      </c>
      <c r="D80" s="388">
        <f t="shared" si="0"/>
        <v>4509</v>
      </c>
      <c r="E80" s="388">
        <f t="shared" si="0"/>
        <v>4549</v>
      </c>
      <c r="F80" s="388">
        <f t="shared" si="0"/>
        <v>4664</v>
      </c>
      <c r="G80" s="242">
        <f t="shared" si="0"/>
        <v>4178.4439999999995</v>
      </c>
      <c r="H80" s="242">
        <f t="shared" si="0"/>
        <v>4262.317</v>
      </c>
      <c r="I80" s="242">
        <f t="shared" si="0"/>
        <v>5241.3369999999995</v>
      </c>
      <c r="J80" s="242">
        <f t="shared" si="0"/>
        <v>5903.7460000000001</v>
      </c>
      <c r="K80" s="242">
        <f t="shared" si="0"/>
        <v>6304.8109999999997</v>
      </c>
      <c r="L80" s="242">
        <f t="shared" si="0"/>
        <v>6901.1670000000004</v>
      </c>
      <c r="M80" s="242">
        <f t="shared" si="0"/>
        <v>6760.3540000000003</v>
      </c>
      <c r="N80" s="242">
        <f t="shared" si="0"/>
        <v>6826.6379999999999</v>
      </c>
      <c r="O80" s="242">
        <f t="shared" si="0"/>
        <v>6862.5559999999996</v>
      </c>
      <c r="P80" s="242">
        <f t="shared" si="0"/>
        <v>6926.9690000000001</v>
      </c>
      <c r="Q80" s="242">
        <f t="shared" si="0"/>
        <v>6993.098</v>
      </c>
      <c r="R80" s="242">
        <f t="shared" si="0"/>
        <v>7079.95</v>
      </c>
      <c r="S80" s="242">
        <f t="shared" si="0"/>
        <v>7197.8310000000001</v>
      </c>
      <c r="T80" s="242">
        <f t="shared" si="0"/>
        <v>7246.0159999999996</v>
      </c>
      <c r="U80" s="242">
        <f t="shared" si="0"/>
        <v>9443.7469999999994</v>
      </c>
      <c r="V80" s="242">
        <f t="shared" si="0"/>
        <v>9633.08</v>
      </c>
      <c r="W80" s="242">
        <f t="shared" si="0"/>
        <v>9791.84</v>
      </c>
      <c r="X80" s="242">
        <f t="shared" si="0"/>
        <v>9907.5869999999995</v>
      </c>
      <c r="Y80" s="242">
        <f t="shared" si="0"/>
        <v>10060.537999999999</v>
      </c>
      <c r="Z80" s="242">
        <f t="shared" si="0"/>
        <v>10311.064</v>
      </c>
      <c r="AA80" s="242">
        <f t="shared" si="0"/>
        <v>10517.673999999999</v>
      </c>
      <c r="AB80" s="242">
        <f t="shared" si="0"/>
        <v>10649.076999999999</v>
      </c>
      <c r="AC80" s="242">
        <f t="shared" si="0"/>
        <v>10834.05</v>
      </c>
      <c r="AD80" s="242">
        <f t="shared" si="0"/>
        <v>11089.087</v>
      </c>
      <c r="AE80" s="242">
        <f t="shared" si="0"/>
        <v>11344.59</v>
      </c>
      <c r="AF80" s="242">
        <f t="shared" si="0"/>
        <v>11521.228999999999</v>
      </c>
      <c r="AG80" s="242">
        <f t="shared" si="0"/>
        <v>12073.972</v>
      </c>
      <c r="AH80" s="242">
        <f t="shared" si="0"/>
        <v>12208.216999999999</v>
      </c>
      <c r="AI80" s="242">
        <f t="shared" si="0"/>
        <v>12347.225999999999</v>
      </c>
      <c r="AJ80" s="242">
        <f t="shared" si="0"/>
        <v>12488.276000000002</v>
      </c>
      <c r="AK80" s="291"/>
    </row>
    <row r="81" spans="1:37" s="222" customFormat="1">
      <c r="A81" s="223" t="s">
        <v>345</v>
      </c>
      <c r="B81" s="226">
        <f t="shared" ref="B81:Q82" si="1">B74/SUM(B$74:B$78)</f>
        <v>2.3093088238690166E-5</v>
      </c>
      <c r="C81" s="226">
        <f>C74/SUM(C$74:C$78)</f>
        <v>2.3237980154764953E-5</v>
      </c>
      <c r="D81" s="226">
        <f t="shared" si="1"/>
        <v>2.3237980154764953E-5</v>
      </c>
      <c r="E81" s="226">
        <f t="shared" si="1"/>
        <v>2.304572271386431E-5</v>
      </c>
      <c r="F81" s="226">
        <f t="shared" si="1"/>
        <v>2.228561240862899E-5</v>
      </c>
      <c r="G81" s="226">
        <f t="shared" si="1"/>
        <v>2.3960451836616558E-5</v>
      </c>
      <c r="H81" s="226">
        <f t="shared" si="1"/>
        <v>2.3493938681289924E-5</v>
      </c>
      <c r="I81" s="226">
        <f t="shared" si="1"/>
        <v>1.9214049312857562E-5</v>
      </c>
      <c r="J81" s="226">
        <f t="shared" si="1"/>
        <v>1.7047101140451067E-5</v>
      </c>
      <c r="K81" s="226">
        <f t="shared" si="1"/>
        <v>1.5957896685385279E-5</v>
      </c>
      <c r="L81" s="226">
        <f t="shared" si="1"/>
        <v>1.4573049011204054E-5</v>
      </c>
      <c r="M81" s="226">
        <f t="shared" si="1"/>
        <v>1.4879506500335606E-5</v>
      </c>
      <c r="N81" s="226">
        <f t="shared" si="1"/>
        <v>1.473418498887127E-5</v>
      </c>
      <c r="O81" s="226">
        <f t="shared" si="1"/>
        <v>1.4656618870455423E-5</v>
      </c>
      <c r="P81" s="226">
        <f t="shared" si="1"/>
        <v>1.4519543232593355E-5</v>
      </c>
      <c r="Q81" s="226">
        <f t="shared" si="1"/>
        <v>1.4381457813863093E-5</v>
      </c>
      <c r="R81" s="226">
        <f t="shared" ref="R81:AJ82" si="2">R74/SUM(R$74:R$78)</f>
        <v>1.42040390321311E-5</v>
      </c>
      <c r="S81" s="226">
        <f t="shared" si="2"/>
        <v>1.3970127118377687E-5</v>
      </c>
      <c r="T81" s="226">
        <f t="shared" si="2"/>
        <v>1.3876715925307745E-5</v>
      </c>
      <c r="U81" s="226">
        <f t="shared" si="2"/>
        <v>1.0633721978148765E-5</v>
      </c>
      <c r="V81" s="226">
        <f t="shared" si="2"/>
        <v>1.0423853696626874E-5</v>
      </c>
      <c r="W81" s="226">
        <f t="shared" si="2"/>
        <v>1.0254160651319676E-5</v>
      </c>
      <c r="X81" s="226">
        <f t="shared" si="2"/>
        <v>1.0133880725034577E-5</v>
      </c>
      <c r="Y81" s="226">
        <f t="shared" si="2"/>
        <v>9.9792053319293248E-6</v>
      </c>
      <c r="Z81" s="226">
        <f t="shared" si="2"/>
        <v>9.7358043453815536E-6</v>
      </c>
      <c r="AA81" s="226">
        <f t="shared" si="2"/>
        <v>9.5438288409735666E-6</v>
      </c>
      <c r="AB81" s="226">
        <f t="shared" si="2"/>
        <v>9.4256232551993155E-6</v>
      </c>
      <c r="AC81" s="226">
        <f t="shared" si="2"/>
        <v>9.2641049007948696E-6</v>
      </c>
      <c r="AD81" s="226">
        <f t="shared" si="2"/>
        <v>9.0502758207310499E-6</v>
      </c>
      <c r="AE81" s="226">
        <f t="shared" si="2"/>
        <v>8.8457288088845779E-6</v>
      </c>
      <c r="AF81" s="226">
        <f t="shared" si="2"/>
        <v>8.7096413726778027E-6</v>
      </c>
      <c r="AG81" s="226">
        <f t="shared" si="2"/>
        <v>8.3096024935455168E-6</v>
      </c>
      <c r="AH81" s="226">
        <f t="shared" si="2"/>
        <v>8.2179289569903189E-6</v>
      </c>
      <c r="AI81" s="226">
        <f t="shared" si="2"/>
        <v>8.1251104507201905E-6</v>
      </c>
      <c r="AJ81" s="226">
        <f t="shared" si="2"/>
        <v>8.0330479593045787E-6</v>
      </c>
      <c r="AK81" s="292"/>
    </row>
    <row r="82" spans="1:37" s="222" customFormat="1">
      <c r="A82" s="223" t="s">
        <v>346</v>
      </c>
      <c r="B82" s="226">
        <f t="shared" si="1"/>
        <v>0.42144886035609547</v>
      </c>
      <c r="C82" s="226">
        <f t="shared" ref="C82:AA82" si="3">C75/SUM(C$74:C$78)</f>
        <v>0.41688936397648324</v>
      </c>
      <c r="D82" s="226">
        <f t="shared" si="3"/>
        <v>0.40108753747124304</v>
      </c>
      <c r="E82" s="226">
        <f t="shared" si="3"/>
        <v>0.42542404129793515</v>
      </c>
      <c r="F82" s="226">
        <f t="shared" si="3"/>
        <v>0.41139240506329117</v>
      </c>
      <c r="G82" s="226">
        <f t="shared" si="3"/>
        <v>0.56849095157496843</v>
      </c>
      <c r="H82" s="226">
        <f t="shared" si="3"/>
        <v>0.55531048767073343</v>
      </c>
      <c r="I82" s="226">
        <f t="shared" si="3"/>
        <v>0.52826780541932261</v>
      </c>
      <c r="J82" s="226">
        <f t="shared" si="3"/>
        <v>0.4686901007483677</v>
      </c>
      <c r="K82" s="226">
        <f t="shared" si="3"/>
        <v>0.43874369862554635</v>
      </c>
      <c r="L82" s="226">
        <f t="shared" si="3"/>
        <v>0.34081173631758288</v>
      </c>
      <c r="M82" s="226">
        <f t="shared" si="3"/>
        <v>0.34804088233688008</v>
      </c>
      <c r="N82" s="226">
        <f t="shared" si="3"/>
        <v>0.34462345169500591</v>
      </c>
      <c r="O82" s="226">
        <f t="shared" si="3"/>
        <v>0.34284953397814638</v>
      </c>
      <c r="P82" s="227">
        <f t="shared" si="3"/>
        <v>0.33938023910493409</v>
      </c>
      <c r="Q82" s="226">
        <f t="shared" si="3"/>
        <v>0.336075541771088</v>
      </c>
      <c r="R82" s="226">
        <f t="shared" si="3"/>
        <v>0.33189640539804621</v>
      </c>
      <c r="S82" s="226">
        <f t="shared" si="3"/>
        <v>0.32641397593869126</v>
      </c>
      <c r="T82" s="226">
        <f t="shared" si="3"/>
        <v>0.32422030896230475</v>
      </c>
      <c r="U82" s="226">
        <f t="shared" si="3"/>
        <v>0.24841810093422564</v>
      </c>
      <c r="V82" s="226">
        <f t="shared" si="3"/>
        <v>0.2434837102789934</v>
      </c>
      <c r="W82" s="226">
        <f t="shared" si="3"/>
        <v>0.23949422788169858</v>
      </c>
      <c r="X82" s="226">
        <f t="shared" si="3"/>
        <v>0.23665317239109318</v>
      </c>
      <c r="Y82" s="226">
        <f t="shared" si="3"/>
        <v>0.2329475838248258</v>
      </c>
      <c r="Z82" s="226">
        <f t="shared" si="3"/>
        <v>0.22713037653710094</v>
      </c>
      <c r="AA82" s="226">
        <f t="shared" si="3"/>
        <v>0.22251627819306685</v>
      </c>
      <c r="AB82" s="226">
        <f t="shared" si="2"/>
        <v>0.21962927515637581</v>
      </c>
      <c r="AC82" s="226">
        <f t="shared" si="2"/>
        <v>0.21574525416118115</v>
      </c>
      <c r="AD82" s="226">
        <f t="shared" si="2"/>
        <v>0.21066209374329994</v>
      </c>
      <c r="AE82" s="226">
        <f t="shared" si="2"/>
        <v>0.20579729605530911</v>
      </c>
      <c r="AF82" s="226">
        <f t="shared" si="2"/>
        <v>0.20254941654547926</v>
      </c>
      <c r="AG82" s="226">
        <f t="shared" si="2"/>
        <v>0.22846279832511654</v>
      </c>
      <c r="AH82" s="226">
        <f t="shared" si="2"/>
        <v>0.22594234169556912</v>
      </c>
      <c r="AI82" s="226">
        <f t="shared" si="2"/>
        <v>0.22339040546332425</v>
      </c>
      <c r="AJ82" s="226">
        <f t="shared" si="2"/>
        <v>0.220859254974967</v>
      </c>
      <c r="AK82" s="292"/>
    </row>
    <row r="83" spans="1:37" s="222" customFormat="1">
      <c r="A83" s="223" t="s">
        <v>342</v>
      </c>
      <c r="B83" s="226">
        <f>B76/SUM(B$74:B$78)</f>
        <v>0.57848186037918858</v>
      </c>
      <c r="C83" s="226">
        <f t="shared" ref="C83:AJ83" si="4">C76/SUM(C$74:C$78)</f>
        <v>0.58304092208305258</v>
      </c>
      <c r="D83" s="226">
        <f t="shared" si="4"/>
        <v>0.59884274858829278</v>
      </c>
      <c r="E83" s="226">
        <f t="shared" si="4"/>
        <v>0.57245575221238942</v>
      </c>
      <c r="F83" s="226">
        <f t="shared" si="4"/>
        <v>0.5707345337849884</v>
      </c>
      <c r="G83" s="226">
        <f t="shared" si="4"/>
        <v>0.38468697107302574</v>
      </c>
      <c r="H83" s="226">
        <f t="shared" si="4"/>
        <v>0.35807205919908691</v>
      </c>
      <c r="I83" s="226">
        <f t="shared" si="4"/>
        <v>0.39391702412804241</v>
      </c>
      <c r="J83" s="226">
        <f t="shared" si="4"/>
        <v>0.43337668979390054</v>
      </c>
      <c r="K83" s="226">
        <f t="shared" si="4"/>
        <v>0.4293802431664297</v>
      </c>
      <c r="L83" s="226">
        <f t="shared" si="4"/>
        <v>0.50656530431003755</v>
      </c>
      <c r="M83" s="226">
        <f t="shared" si="4"/>
        <v>0.49522211606520966</v>
      </c>
      <c r="N83" s="226">
        <f t="shared" si="4"/>
        <v>0.49913642941780229</v>
      </c>
      <c r="O83" s="226">
        <f t="shared" si="4"/>
        <v>0.49994489111304713</v>
      </c>
      <c r="P83" s="227">
        <f t="shared" si="4"/>
        <v>0.50160607927467338</v>
      </c>
      <c r="Q83" s="226">
        <f t="shared" si="4"/>
        <v>0.50254264174149099</v>
      </c>
      <c r="R83" s="226">
        <f t="shared" si="4"/>
        <v>0.50449039387942274</v>
      </c>
      <c r="S83" s="226">
        <f t="shared" si="4"/>
        <v>0.50819271119793696</v>
      </c>
      <c r="T83" s="226">
        <f t="shared" si="4"/>
        <v>0.50678252244281263</v>
      </c>
      <c r="U83" s="226">
        <f t="shared" si="4"/>
        <v>0.61825437883378909</v>
      </c>
      <c r="V83" s="226">
        <f t="shared" si="4"/>
        <v>0.62189419976127291</v>
      </c>
      <c r="W83" s="226">
        <f t="shared" si="4"/>
        <v>0.6238283724216811</v>
      </c>
      <c r="X83" s="226">
        <f t="shared" si="4"/>
        <v>0.6200773660990071</v>
      </c>
      <c r="Y83" s="226">
        <f t="shared" si="4"/>
        <v>0.61384327338691624</v>
      </c>
      <c r="Z83" s="226">
        <f t="shared" si="4"/>
        <v>0.61177565007182577</v>
      </c>
      <c r="AA83" s="226">
        <f t="shared" si="4"/>
        <v>0.60751538345911293</v>
      </c>
      <c r="AB83" s="226">
        <f t="shared" si="4"/>
        <v>0.60414088365972063</v>
      </c>
      <c r="AC83" s="226">
        <f t="shared" si="4"/>
        <v>0.59702570353697038</v>
      </c>
      <c r="AD83" s="226">
        <f t="shared" si="4"/>
        <v>0.58593476724093374</v>
      </c>
      <c r="AE83" s="226">
        <f t="shared" si="4"/>
        <v>0.57545057267690591</v>
      </c>
      <c r="AF83" s="226">
        <f t="shared" si="4"/>
        <v>0.56895270656024999</v>
      </c>
      <c r="AG83" s="226">
        <f t="shared" si="4"/>
        <v>0.54517839470113272</v>
      </c>
      <c r="AH83" s="226">
        <f t="shared" si="4"/>
        <v>0.54160334752405304</v>
      </c>
      <c r="AI83" s="226">
        <f t="shared" si="4"/>
        <v>0.5379226936366166</v>
      </c>
      <c r="AJ83" s="226">
        <f t="shared" si="4"/>
        <v>0.53403252982771121</v>
      </c>
      <c r="AK83" s="292"/>
    </row>
    <row r="84" spans="1:37" s="222" customFormat="1">
      <c r="A84" s="223" t="s">
        <v>344</v>
      </c>
      <c r="B84" s="226">
        <f>B77/SUM(B$74:B$78)</f>
        <v>2.3093088238690166E-5</v>
      </c>
      <c r="C84" s="226">
        <f t="shared" ref="C84:AJ84" si="5">C77/SUM(C$74:C$78)</f>
        <v>2.3237980154764953E-5</v>
      </c>
      <c r="D84" s="226">
        <f t="shared" si="5"/>
        <v>2.3237980154764953E-5</v>
      </c>
      <c r="E84" s="226">
        <f t="shared" si="5"/>
        <v>2.0741150442477874E-3</v>
      </c>
      <c r="F84" s="226">
        <f t="shared" si="5"/>
        <v>1.7828489926903193E-2</v>
      </c>
      <c r="G84" s="226">
        <f t="shared" si="5"/>
        <v>4.6796918877577434E-2</v>
      </c>
      <c r="H84" s="226">
        <f t="shared" si="5"/>
        <v>8.6592784494564326E-2</v>
      </c>
      <c r="I84" s="226">
        <f t="shared" si="5"/>
        <v>7.7794995700856462E-2</v>
      </c>
      <c r="J84" s="226">
        <f t="shared" si="5"/>
        <v>9.7915310001534236E-2</v>
      </c>
      <c r="K84" s="226">
        <f t="shared" si="5"/>
        <v>0.13185930241650429</v>
      </c>
      <c r="L84" s="226">
        <f t="shared" si="5"/>
        <v>0.15260765767091783</v>
      </c>
      <c r="M84" s="226">
        <f t="shared" si="5"/>
        <v>0.15672137811608483</v>
      </c>
      <c r="N84" s="226">
        <f t="shared" si="5"/>
        <v>0.15622464799295352</v>
      </c>
      <c r="O84" s="226">
        <f t="shared" si="5"/>
        <v>0.15719018545899255</v>
      </c>
      <c r="P84" s="227">
        <f t="shared" si="5"/>
        <v>0.15899843609999842</v>
      </c>
      <c r="Q84" s="226">
        <f t="shared" si="5"/>
        <v>0.16136671595671642</v>
      </c>
      <c r="R84" s="226">
        <f t="shared" si="5"/>
        <v>0.16359828648154731</v>
      </c>
      <c r="S84" s="226">
        <f t="shared" si="5"/>
        <v>0.16537864422989743</v>
      </c>
      <c r="T84" s="226">
        <f t="shared" si="5"/>
        <v>0.16898259804316104</v>
      </c>
      <c r="U84" s="226">
        <f t="shared" si="5"/>
        <v>0.13331635482390822</v>
      </c>
      <c r="V84" s="226">
        <f t="shared" si="5"/>
        <v>0.13461114491335227</v>
      </c>
      <c r="W84" s="226">
        <f t="shared" si="5"/>
        <v>0.13666663282793651</v>
      </c>
      <c r="X84" s="226">
        <f t="shared" si="5"/>
        <v>0.14325871959633105</v>
      </c>
      <c r="Y84" s="226">
        <f t="shared" si="5"/>
        <v>0.15319856483060595</v>
      </c>
      <c r="Z84" s="226">
        <f t="shared" si="5"/>
        <v>0.16108365343846703</v>
      </c>
      <c r="AA84" s="226">
        <f t="shared" si="5"/>
        <v>0.16995812645096023</v>
      </c>
      <c r="AB84" s="226">
        <f t="shared" si="5"/>
        <v>0.17621966151078791</v>
      </c>
      <c r="AC84" s="226">
        <f t="shared" si="5"/>
        <v>0.18721885178645756</v>
      </c>
      <c r="AD84" s="226">
        <f t="shared" si="5"/>
        <v>0.20339264069581417</v>
      </c>
      <c r="AE84" s="226">
        <f t="shared" si="5"/>
        <v>0.21874080873490948</v>
      </c>
      <c r="AF84" s="226">
        <f t="shared" si="5"/>
        <v>0.2284852479142804</v>
      </c>
      <c r="AG84" s="226">
        <f t="shared" si="5"/>
        <v>0.22634451445746193</v>
      </c>
      <c r="AH84" s="226">
        <f t="shared" si="5"/>
        <v>0.232436313515962</v>
      </c>
      <c r="AI84" s="226">
        <f t="shared" si="5"/>
        <v>0.23866228181539342</v>
      </c>
      <c r="AJ84" s="226">
        <f t="shared" si="5"/>
        <v>0.24507158449862734</v>
      </c>
      <c r="AK84" s="292"/>
    </row>
    <row r="85" spans="1:37" s="222" customFormat="1">
      <c r="A85" s="223" t="s">
        <v>343</v>
      </c>
      <c r="B85" s="226">
        <f>B78/SUM(B$74:B$78)</f>
        <v>2.3093088238690166E-5</v>
      </c>
      <c r="C85" s="226">
        <f t="shared" ref="C85:AJ85" si="6">C78/SUM(C$74:C$78)</f>
        <v>2.3237980154764953E-5</v>
      </c>
      <c r="D85" s="226">
        <f t="shared" si="6"/>
        <v>2.3237980154764953E-5</v>
      </c>
      <c r="E85" s="226">
        <f t="shared" si="6"/>
        <v>2.304572271386431E-5</v>
      </c>
      <c r="F85" s="226">
        <f t="shared" si="6"/>
        <v>2.228561240862899E-5</v>
      </c>
      <c r="G85" s="226">
        <f t="shared" si="6"/>
        <v>1.1980225918308278E-6</v>
      </c>
      <c r="H85" s="226">
        <f t="shared" si="6"/>
        <v>1.1746969340644961E-6</v>
      </c>
      <c r="I85" s="226">
        <f t="shared" si="6"/>
        <v>9.6070246564287801E-7</v>
      </c>
      <c r="J85" s="226">
        <f t="shared" si="6"/>
        <v>8.5235505702255332E-7</v>
      </c>
      <c r="K85" s="226">
        <f t="shared" si="6"/>
        <v>7.9789483426926406E-7</v>
      </c>
      <c r="L85" s="226">
        <f t="shared" si="6"/>
        <v>7.2865245056020271E-7</v>
      </c>
      <c r="M85" s="226">
        <f t="shared" si="6"/>
        <v>7.4397532501678042E-7</v>
      </c>
      <c r="N85" s="226">
        <f t="shared" si="6"/>
        <v>7.3670924944356359E-7</v>
      </c>
      <c r="O85" s="226">
        <f t="shared" si="6"/>
        <v>7.3283094352277117E-7</v>
      </c>
      <c r="P85" s="227">
        <f t="shared" si="6"/>
        <v>7.2597716162966785E-7</v>
      </c>
      <c r="Q85" s="226">
        <f t="shared" si="6"/>
        <v>7.1907289069315474E-7</v>
      </c>
      <c r="R85" s="226">
        <f t="shared" si="6"/>
        <v>7.1020195160655508E-7</v>
      </c>
      <c r="S85" s="226">
        <f t="shared" si="6"/>
        <v>6.9850635591888436E-7</v>
      </c>
      <c r="T85" s="226">
        <f t="shared" si="6"/>
        <v>6.9383579626538725E-7</v>
      </c>
      <c r="U85" s="226">
        <f t="shared" si="6"/>
        <v>5.3168609890743825E-7</v>
      </c>
      <c r="V85" s="226">
        <f t="shared" si="6"/>
        <v>5.2119268483134369E-7</v>
      </c>
      <c r="W85" s="226">
        <f t="shared" si="6"/>
        <v>5.1270803256598381E-7</v>
      </c>
      <c r="X85" s="226">
        <f t="shared" si="6"/>
        <v>6.0803284350207461E-7</v>
      </c>
      <c r="Y85" s="226">
        <f t="shared" si="6"/>
        <v>5.9875231991575943E-7</v>
      </c>
      <c r="Z85" s="226">
        <f t="shared" si="6"/>
        <v>5.8414826072289316E-7</v>
      </c>
      <c r="AA85" s="226">
        <f t="shared" si="6"/>
        <v>6.6806801886814951E-7</v>
      </c>
      <c r="AB85" s="226">
        <f t="shared" si="6"/>
        <v>7.5404986041594519E-7</v>
      </c>
      <c r="AC85" s="226">
        <f t="shared" si="6"/>
        <v>9.2641049007948692E-7</v>
      </c>
      <c r="AD85" s="226">
        <f t="shared" si="6"/>
        <v>1.4480441313169678E-6</v>
      </c>
      <c r="AE85" s="226">
        <f t="shared" si="6"/>
        <v>2.4768040664876821E-6</v>
      </c>
      <c r="AF85" s="226">
        <f t="shared" si="6"/>
        <v>3.9193386177050115E-6</v>
      </c>
      <c r="AG85" s="226">
        <f t="shared" si="6"/>
        <v>5.9829137953527724E-6</v>
      </c>
      <c r="AH85" s="226">
        <f t="shared" si="6"/>
        <v>9.7793354588184797E-6</v>
      </c>
      <c r="AI85" s="226">
        <f t="shared" si="6"/>
        <v>1.6493974214961984E-5</v>
      </c>
      <c r="AJ85" s="226">
        <f t="shared" si="6"/>
        <v>2.8597650735124298E-5</v>
      </c>
      <c r="AK85" s="292"/>
    </row>
    <row r="86" spans="1:37" s="222" customFormat="1">
      <c r="A86" s="222" t="s">
        <v>347</v>
      </c>
      <c r="B86" s="226">
        <f>SUM(B81:B85)</f>
        <v>1</v>
      </c>
      <c r="C86" s="226">
        <f t="shared" ref="C86:AJ86" si="7">SUM(C81:C85)</f>
        <v>1.0000000000000002</v>
      </c>
      <c r="D86" s="226">
        <f t="shared" si="7"/>
        <v>1.0000000000000002</v>
      </c>
      <c r="E86" s="226">
        <f t="shared" si="7"/>
        <v>1.0000000000000002</v>
      </c>
      <c r="F86" s="226">
        <f t="shared" si="7"/>
        <v>1</v>
      </c>
      <c r="G86" s="226">
        <f t="shared" si="7"/>
        <v>1</v>
      </c>
      <c r="H86" s="226">
        <f t="shared" si="7"/>
        <v>1</v>
      </c>
      <c r="I86" s="226">
        <f t="shared" si="7"/>
        <v>1</v>
      </c>
      <c r="J86" s="226">
        <f t="shared" si="7"/>
        <v>0.99999999999999989</v>
      </c>
      <c r="K86" s="226">
        <f t="shared" si="7"/>
        <v>1</v>
      </c>
      <c r="L86" s="226">
        <f t="shared" si="7"/>
        <v>1</v>
      </c>
      <c r="M86" s="226">
        <f t="shared" si="7"/>
        <v>0.99999999999999989</v>
      </c>
      <c r="N86" s="226">
        <f t="shared" si="7"/>
        <v>1</v>
      </c>
      <c r="O86" s="226">
        <f t="shared" si="7"/>
        <v>1</v>
      </c>
      <c r="P86" s="226">
        <f t="shared" si="7"/>
        <v>1.0000000000000002</v>
      </c>
      <c r="Q86" s="226">
        <f t="shared" si="7"/>
        <v>0.99999999999999989</v>
      </c>
      <c r="R86" s="226">
        <f t="shared" si="7"/>
        <v>0.99999999999999989</v>
      </c>
      <c r="S86" s="226">
        <f t="shared" si="7"/>
        <v>1</v>
      </c>
      <c r="T86" s="226">
        <f t="shared" si="7"/>
        <v>1</v>
      </c>
      <c r="U86" s="226">
        <f t="shared" si="7"/>
        <v>1</v>
      </c>
      <c r="V86" s="226">
        <f t="shared" si="7"/>
        <v>1</v>
      </c>
      <c r="W86" s="226">
        <f t="shared" si="7"/>
        <v>1</v>
      </c>
      <c r="X86" s="226">
        <f t="shared" si="7"/>
        <v>0.99999999999999989</v>
      </c>
      <c r="Y86" s="226">
        <f t="shared" si="7"/>
        <v>1</v>
      </c>
      <c r="Z86" s="226">
        <f t="shared" si="7"/>
        <v>0.99999999999999989</v>
      </c>
      <c r="AA86" s="226">
        <f t="shared" si="7"/>
        <v>0.99999999999999989</v>
      </c>
      <c r="AB86" s="226">
        <f t="shared" si="7"/>
        <v>1</v>
      </c>
      <c r="AC86" s="226">
        <f t="shared" si="7"/>
        <v>1</v>
      </c>
      <c r="AD86" s="226">
        <f t="shared" si="7"/>
        <v>0.99999999999999989</v>
      </c>
      <c r="AE86" s="226">
        <f t="shared" si="7"/>
        <v>0.99999999999999978</v>
      </c>
      <c r="AF86" s="226">
        <f t="shared" si="7"/>
        <v>0.99999999999999989</v>
      </c>
      <c r="AG86" s="226">
        <f t="shared" si="7"/>
        <v>1</v>
      </c>
      <c r="AH86" s="226">
        <f t="shared" si="7"/>
        <v>1</v>
      </c>
      <c r="AI86" s="226">
        <f t="shared" si="7"/>
        <v>1</v>
      </c>
      <c r="AJ86" s="226">
        <f t="shared" si="7"/>
        <v>1</v>
      </c>
      <c r="AK86" s="292"/>
    </row>
    <row r="87" spans="1:37">
      <c r="A87" s="433" t="s">
        <v>636</v>
      </c>
      <c r="B87" s="433"/>
      <c r="C87" s="433"/>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row>
    <row r="88" spans="1:37">
      <c r="A88" s="432" t="s">
        <v>671</v>
      </c>
      <c r="B88" s="432"/>
      <c r="C88" s="432"/>
      <c r="D88" s="432"/>
      <c r="E88" s="432"/>
      <c r="F88" s="432"/>
      <c r="G88" s="432"/>
      <c r="H88" s="432"/>
      <c r="I88" s="432"/>
      <c r="J88" s="432"/>
      <c r="K88" s="432"/>
      <c r="L88" s="432"/>
      <c r="M88" s="432"/>
      <c r="N88" s="432"/>
      <c r="O88" s="432"/>
      <c r="P88" s="432"/>
      <c r="Q88" s="432"/>
      <c r="R88" s="432"/>
      <c r="S88" s="432"/>
      <c r="T88" s="432"/>
      <c r="U88" s="432"/>
      <c r="V88" s="432"/>
      <c r="W88" s="432"/>
      <c r="X88" s="432"/>
      <c r="Y88" s="432"/>
      <c r="Z88" s="432"/>
      <c r="AA88" s="432"/>
      <c r="AB88" s="432"/>
      <c r="AC88" s="432"/>
      <c r="AD88" s="432"/>
      <c r="AE88" s="432"/>
      <c r="AF88" s="432"/>
    </row>
    <row r="89" spans="1:37">
      <c r="A89" s="432" t="s">
        <v>672</v>
      </c>
      <c r="B89" s="432"/>
      <c r="C89" s="432"/>
      <c r="D89" s="432"/>
      <c r="E89" s="432"/>
      <c r="F89" s="432"/>
      <c r="G89" s="432"/>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row>
    <row r="90" spans="1:37">
      <c r="A90" s="432" t="s">
        <v>673</v>
      </c>
      <c r="B90" s="432"/>
      <c r="C90" s="432"/>
      <c r="D90" s="432"/>
      <c r="E90" s="432"/>
      <c r="F90" s="432"/>
      <c r="G90" s="432"/>
      <c r="H90" s="432"/>
      <c r="I90" s="432"/>
      <c r="J90" s="432"/>
      <c r="K90" s="432"/>
      <c r="L90" s="432"/>
      <c r="M90" s="432"/>
      <c r="N90" s="432"/>
      <c r="O90" s="432"/>
      <c r="P90" s="432"/>
      <c r="Q90" s="432"/>
      <c r="R90" s="432"/>
      <c r="S90" s="432"/>
      <c r="T90" s="432"/>
      <c r="U90" s="432"/>
      <c r="V90" s="432"/>
      <c r="W90" s="432"/>
      <c r="X90" s="432"/>
      <c r="Y90" s="432"/>
      <c r="Z90" s="432"/>
      <c r="AA90" s="432"/>
      <c r="AB90" s="432"/>
      <c r="AC90" s="432"/>
      <c r="AD90" s="432"/>
      <c r="AE90" s="432"/>
      <c r="AF90" s="432"/>
    </row>
    <row r="91" spans="1:37">
      <c r="A91" s="432" t="s">
        <v>674</v>
      </c>
      <c r="B91" s="432"/>
      <c r="C91" s="432"/>
      <c r="D91" s="432"/>
      <c r="E91" s="432"/>
      <c r="F91" s="432"/>
      <c r="G91" s="432"/>
      <c r="H91" s="432"/>
      <c r="I91" s="432"/>
      <c r="J91" s="432"/>
      <c r="K91" s="432"/>
      <c r="L91" s="432"/>
      <c r="M91" s="432"/>
      <c r="N91" s="432"/>
      <c r="O91" s="432"/>
      <c r="P91" s="432"/>
      <c r="Q91" s="432"/>
      <c r="R91" s="432"/>
      <c r="S91" s="432"/>
      <c r="T91" s="432"/>
      <c r="U91" s="432"/>
      <c r="V91" s="432"/>
      <c r="W91" s="432"/>
      <c r="X91" s="432"/>
      <c r="Y91" s="432"/>
      <c r="Z91" s="432"/>
      <c r="AA91" s="432"/>
      <c r="AB91" s="432"/>
      <c r="AC91" s="432"/>
      <c r="AD91" s="432"/>
      <c r="AE91" s="432"/>
      <c r="AF91" s="432"/>
    </row>
    <row r="92" spans="1:37">
      <c r="A92" s="432" t="s">
        <v>675</v>
      </c>
      <c r="B92" s="432"/>
      <c r="C92" s="432"/>
      <c r="D92" s="432"/>
      <c r="E92" s="432"/>
      <c r="F92" s="432"/>
      <c r="G92" s="432"/>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row>
    <row r="93" spans="1:37">
      <c r="A93" s="432" t="s">
        <v>676</v>
      </c>
      <c r="B93" s="432"/>
      <c r="C93" s="432"/>
      <c r="D93" s="432"/>
      <c r="E93" s="432"/>
      <c r="F93" s="432"/>
      <c r="G93" s="432"/>
      <c r="H93" s="432"/>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32"/>
    </row>
    <row r="94" spans="1:37">
      <c r="A94" s="432" t="s">
        <v>677</v>
      </c>
      <c r="B94" s="432"/>
      <c r="C94" s="432"/>
      <c r="D94" s="432"/>
      <c r="E94" s="432"/>
      <c r="F94" s="432"/>
      <c r="G94" s="432"/>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2"/>
    </row>
    <row r="95" spans="1:37">
      <c r="A95" s="432" t="s">
        <v>678</v>
      </c>
      <c r="B95" s="432"/>
      <c r="C95" s="432"/>
      <c r="D95" s="432"/>
      <c r="E95" s="432"/>
      <c r="F95" s="432"/>
      <c r="G95" s="432"/>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row>
    <row r="96" spans="1:37">
      <c r="A96" s="432" t="s">
        <v>679</v>
      </c>
      <c r="B96" s="432"/>
      <c r="C96" s="432"/>
      <c r="D96" s="432"/>
      <c r="E96" s="432"/>
      <c r="F96" s="432"/>
      <c r="G96" s="432"/>
      <c r="H96" s="432"/>
      <c r="I96" s="432"/>
      <c r="J96" s="432"/>
      <c r="K96" s="432"/>
      <c r="L96" s="432"/>
      <c r="M96" s="432"/>
      <c r="N96" s="432"/>
      <c r="O96" s="432"/>
      <c r="P96" s="432"/>
      <c r="Q96" s="432"/>
      <c r="R96" s="432"/>
      <c r="S96" s="432"/>
      <c r="T96" s="432"/>
      <c r="U96" s="432"/>
      <c r="V96" s="432"/>
      <c r="W96" s="432"/>
      <c r="X96" s="432"/>
      <c r="Y96" s="432"/>
      <c r="Z96" s="432"/>
      <c r="AA96" s="432"/>
      <c r="AB96" s="432"/>
      <c r="AC96" s="432"/>
      <c r="AD96" s="432"/>
      <c r="AE96" s="432"/>
      <c r="AF96" s="432"/>
    </row>
    <row r="97" spans="1:32">
      <c r="A97" s="432" t="s">
        <v>680</v>
      </c>
      <c r="B97" s="432"/>
      <c r="C97" s="432"/>
      <c r="D97" s="432"/>
      <c r="E97" s="432"/>
      <c r="F97" s="432"/>
      <c r="G97" s="432"/>
      <c r="H97" s="432"/>
      <c r="I97" s="432"/>
      <c r="J97" s="432"/>
      <c r="K97" s="432"/>
      <c r="L97" s="432"/>
      <c r="M97" s="432"/>
      <c r="N97" s="432"/>
      <c r="O97" s="432"/>
      <c r="P97" s="432"/>
      <c r="Q97" s="432"/>
      <c r="R97" s="432"/>
      <c r="S97" s="432"/>
      <c r="T97" s="432"/>
      <c r="U97" s="432"/>
      <c r="V97" s="432"/>
      <c r="W97" s="432"/>
      <c r="X97" s="432"/>
      <c r="Y97" s="432"/>
      <c r="Z97" s="432"/>
      <c r="AA97" s="432"/>
      <c r="AB97" s="432"/>
      <c r="AC97" s="432"/>
      <c r="AD97" s="432"/>
      <c r="AE97" s="432"/>
      <c r="AF97" s="432"/>
    </row>
    <row r="98" spans="1:32">
      <c r="A98" s="432" t="s">
        <v>681</v>
      </c>
      <c r="B98" s="432"/>
      <c r="C98" s="432"/>
      <c r="D98" s="432"/>
      <c r="E98" s="432"/>
      <c r="F98" s="432"/>
      <c r="G98" s="432"/>
      <c r="H98" s="432"/>
      <c r="I98" s="432"/>
      <c r="J98" s="432"/>
      <c r="K98" s="432"/>
      <c r="L98" s="432"/>
      <c r="M98" s="432"/>
      <c r="N98" s="432"/>
      <c r="O98" s="432"/>
      <c r="P98" s="432"/>
      <c r="Q98" s="432"/>
      <c r="R98" s="432"/>
      <c r="S98" s="432"/>
      <c r="T98" s="432"/>
      <c r="U98" s="432"/>
      <c r="V98" s="432"/>
      <c r="W98" s="432"/>
      <c r="X98" s="432"/>
      <c r="Y98" s="432"/>
      <c r="Z98" s="432"/>
      <c r="AA98" s="432"/>
      <c r="AB98" s="432"/>
      <c r="AC98" s="432"/>
      <c r="AD98" s="432"/>
      <c r="AE98" s="432"/>
      <c r="AF98" s="432"/>
    </row>
    <row r="99" spans="1:32">
      <c r="A99" s="432" t="s">
        <v>682</v>
      </c>
      <c r="B99" s="432"/>
      <c r="C99" s="432"/>
      <c r="D99" s="432"/>
      <c r="E99" s="432"/>
      <c r="F99" s="432"/>
      <c r="G99" s="432"/>
      <c r="H99" s="432"/>
      <c r="I99" s="432"/>
      <c r="J99" s="432"/>
      <c r="K99" s="432"/>
      <c r="L99" s="432"/>
      <c r="M99" s="432"/>
      <c r="N99" s="432"/>
      <c r="O99" s="432"/>
      <c r="P99" s="432"/>
      <c r="Q99" s="432"/>
      <c r="R99" s="432"/>
      <c r="S99" s="432"/>
      <c r="T99" s="432"/>
      <c r="U99" s="432"/>
      <c r="V99" s="432"/>
      <c r="W99" s="432"/>
      <c r="X99" s="432"/>
      <c r="Y99" s="432"/>
      <c r="Z99" s="432"/>
      <c r="AA99" s="432"/>
      <c r="AB99" s="432"/>
      <c r="AC99" s="432"/>
      <c r="AD99" s="432"/>
      <c r="AE99" s="432"/>
      <c r="AF99" s="432"/>
    </row>
    <row r="100" spans="1:32">
      <c r="A100" s="432" t="s">
        <v>683</v>
      </c>
      <c r="B100" s="432"/>
      <c r="C100" s="432"/>
      <c r="D100" s="432"/>
      <c r="E100" s="432"/>
      <c r="F100" s="432"/>
      <c r="G100" s="432"/>
      <c r="H100" s="432"/>
      <c r="I100" s="432"/>
      <c r="J100" s="432"/>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row>
    <row r="101" spans="1:32">
      <c r="A101" s="432" t="s">
        <v>684</v>
      </c>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row>
    <row r="102" spans="1:32">
      <c r="A102" s="432" t="s">
        <v>685</v>
      </c>
      <c r="B102" s="432"/>
      <c r="C102" s="432"/>
      <c r="D102" s="432"/>
      <c r="E102" s="432"/>
      <c r="F102" s="432"/>
      <c r="G102" s="432"/>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row>
    <row r="103" spans="1:32">
      <c r="A103" s="432" t="s">
        <v>686</v>
      </c>
      <c r="B103" s="432"/>
      <c r="C103" s="432"/>
      <c r="D103" s="432"/>
      <c r="E103" s="432"/>
      <c r="F103" s="432"/>
      <c r="G103" s="432"/>
      <c r="H103" s="432"/>
      <c r="I103" s="432"/>
      <c r="J103" s="432"/>
      <c r="K103" s="432"/>
      <c r="L103" s="432"/>
      <c r="M103" s="432"/>
      <c r="N103" s="432"/>
      <c r="O103" s="432"/>
      <c r="P103" s="432"/>
      <c r="Q103" s="432"/>
      <c r="R103" s="432"/>
      <c r="S103" s="432"/>
      <c r="T103" s="432"/>
      <c r="U103" s="432"/>
      <c r="V103" s="432"/>
      <c r="W103" s="432"/>
      <c r="X103" s="432"/>
      <c r="Y103" s="432"/>
      <c r="Z103" s="432"/>
      <c r="AA103" s="432"/>
      <c r="AB103" s="432"/>
      <c r="AC103" s="432"/>
      <c r="AD103" s="432"/>
      <c r="AE103" s="432"/>
      <c r="AF103" s="432"/>
    </row>
    <row r="104" spans="1:32">
      <c r="A104" s="432" t="s">
        <v>687</v>
      </c>
      <c r="B104" s="432"/>
      <c r="C104" s="432"/>
      <c r="D104" s="432"/>
      <c r="E104" s="432"/>
      <c r="F104" s="432"/>
      <c r="G104" s="432"/>
      <c r="H104" s="432"/>
      <c r="I104" s="432"/>
      <c r="J104" s="432"/>
      <c r="K104" s="432"/>
      <c r="L104" s="432"/>
      <c r="M104" s="432"/>
      <c r="N104" s="432"/>
      <c r="O104" s="432"/>
      <c r="P104" s="432"/>
      <c r="Q104" s="432"/>
      <c r="R104" s="432"/>
      <c r="S104" s="432"/>
      <c r="T104" s="432"/>
      <c r="U104" s="432"/>
      <c r="V104" s="432"/>
      <c r="W104" s="432"/>
      <c r="X104" s="432"/>
      <c r="Y104" s="432"/>
      <c r="Z104" s="432"/>
      <c r="AA104" s="432"/>
      <c r="AB104" s="432"/>
      <c r="AC104" s="432"/>
      <c r="AD104" s="432"/>
      <c r="AE104" s="432"/>
      <c r="AF104" s="432"/>
    </row>
    <row r="105" spans="1:32">
      <c r="A105" s="432" t="s">
        <v>688</v>
      </c>
      <c r="B105" s="432"/>
      <c r="C105" s="432"/>
      <c r="D105" s="432"/>
      <c r="E105" s="432"/>
      <c r="F105" s="432"/>
      <c r="G105" s="432"/>
      <c r="H105" s="432"/>
      <c r="I105" s="432"/>
      <c r="J105" s="432"/>
      <c r="K105" s="432"/>
      <c r="L105" s="432"/>
      <c r="M105" s="432"/>
      <c r="N105" s="432"/>
      <c r="O105" s="432"/>
      <c r="P105" s="432"/>
      <c r="Q105" s="432"/>
      <c r="R105" s="432"/>
      <c r="S105" s="432"/>
      <c r="T105" s="432"/>
      <c r="U105" s="432"/>
      <c r="V105" s="432"/>
      <c r="W105" s="432"/>
      <c r="X105" s="432"/>
      <c r="Y105" s="432"/>
      <c r="Z105" s="432"/>
      <c r="AA105" s="432"/>
      <c r="AB105" s="432"/>
      <c r="AC105" s="432"/>
      <c r="AD105" s="432"/>
      <c r="AE105" s="432"/>
      <c r="AF105" s="432"/>
    </row>
    <row r="106" spans="1:32">
      <c r="A106" s="432" t="s">
        <v>689</v>
      </c>
      <c r="B106" s="432"/>
      <c r="C106" s="432"/>
      <c r="D106" s="432"/>
      <c r="E106" s="432"/>
      <c r="F106" s="432"/>
      <c r="G106" s="432"/>
      <c r="H106" s="432"/>
      <c r="I106" s="432"/>
      <c r="J106" s="432"/>
      <c r="K106" s="432"/>
      <c r="L106" s="432"/>
      <c r="M106" s="432"/>
      <c r="N106" s="432"/>
      <c r="O106" s="432"/>
      <c r="P106" s="432"/>
      <c r="Q106" s="432"/>
      <c r="R106" s="432"/>
      <c r="S106" s="432"/>
      <c r="T106" s="432"/>
      <c r="U106" s="432"/>
      <c r="V106" s="432"/>
      <c r="W106" s="432"/>
      <c r="X106" s="432"/>
      <c r="Y106" s="432"/>
      <c r="Z106" s="432"/>
      <c r="AA106" s="432"/>
      <c r="AB106" s="432"/>
      <c r="AC106" s="432"/>
      <c r="AD106" s="432"/>
      <c r="AE106" s="432"/>
      <c r="AF106" s="432"/>
    </row>
    <row r="107" spans="1:32">
      <c r="A107" s="432" t="s">
        <v>690</v>
      </c>
      <c r="B107" s="432"/>
      <c r="C107" s="432"/>
      <c r="D107" s="432"/>
      <c r="E107" s="432"/>
      <c r="F107" s="432"/>
      <c r="G107" s="432"/>
      <c r="H107" s="432"/>
      <c r="I107" s="432"/>
      <c r="J107" s="432"/>
      <c r="K107" s="432"/>
      <c r="L107" s="432"/>
      <c r="M107" s="432"/>
      <c r="N107" s="432"/>
      <c r="O107" s="432"/>
      <c r="P107" s="432"/>
      <c r="Q107" s="432"/>
      <c r="R107" s="432"/>
      <c r="S107" s="432"/>
      <c r="T107" s="432"/>
      <c r="U107" s="432"/>
      <c r="V107" s="432"/>
      <c r="W107" s="432"/>
      <c r="X107" s="432"/>
      <c r="Y107" s="432"/>
      <c r="Z107" s="432"/>
      <c r="AA107" s="432"/>
      <c r="AB107" s="432"/>
      <c r="AC107" s="432"/>
      <c r="AD107" s="432"/>
      <c r="AE107" s="432"/>
      <c r="AF107" s="432"/>
    </row>
    <row r="108" spans="1:32">
      <c r="A108" s="432" t="s">
        <v>640</v>
      </c>
      <c r="B108" s="432"/>
      <c r="C108" s="432"/>
      <c r="D108" s="432"/>
      <c r="E108" s="432"/>
      <c r="F108" s="432"/>
      <c r="G108" s="432"/>
      <c r="H108" s="432"/>
      <c r="I108" s="432"/>
      <c r="J108" s="432"/>
      <c r="K108" s="432"/>
      <c r="L108" s="432"/>
      <c r="M108" s="432"/>
      <c r="N108" s="432"/>
      <c r="O108" s="432"/>
      <c r="P108" s="432"/>
      <c r="Q108" s="432"/>
      <c r="R108" s="432"/>
      <c r="S108" s="432"/>
      <c r="T108" s="432"/>
      <c r="U108" s="432"/>
      <c r="V108" s="432"/>
      <c r="W108" s="432"/>
      <c r="X108" s="432"/>
      <c r="Y108" s="432"/>
      <c r="Z108" s="432"/>
      <c r="AA108" s="432"/>
      <c r="AB108" s="432"/>
      <c r="AC108" s="432"/>
      <c r="AD108" s="432"/>
      <c r="AE108" s="432"/>
      <c r="AF108" s="432"/>
    </row>
    <row r="109" spans="1:32">
      <c r="A109" s="432" t="s">
        <v>691</v>
      </c>
      <c r="B109" s="432"/>
      <c r="C109" s="432"/>
      <c r="D109" s="432"/>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32"/>
      <c r="AD109" s="432"/>
      <c r="AE109" s="432"/>
      <c r="AF109" s="432"/>
    </row>
    <row r="110" spans="1:32">
      <c r="A110" s="432" t="s">
        <v>692</v>
      </c>
      <c r="B110" s="432"/>
      <c r="C110" s="432"/>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2"/>
      <c r="AD110" s="432"/>
      <c r="AE110" s="432"/>
      <c r="AF110" s="432"/>
    </row>
    <row r="111" spans="1:32">
      <c r="A111" s="432" t="s">
        <v>647</v>
      </c>
      <c r="B111" s="432"/>
      <c r="C111" s="432"/>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2"/>
      <c r="AE111" s="432"/>
      <c r="AF111" s="432"/>
    </row>
    <row r="112" spans="1:32">
      <c r="A112" s="432" t="s">
        <v>648</v>
      </c>
      <c r="B112" s="432"/>
      <c r="C112" s="432"/>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row>
    <row r="113" spans="1:32">
      <c r="A113" s="432" t="s">
        <v>649</v>
      </c>
      <c r="B113" s="432"/>
      <c r="C113" s="432"/>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32"/>
      <c r="AA113" s="432"/>
      <c r="AB113" s="432"/>
      <c r="AC113" s="432"/>
      <c r="AD113" s="432"/>
      <c r="AE113" s="432"/>
      <c r="AF113" s="432"/>
    </row>
    <row r="114" spans="1:32">
      <c r="A114" s="432" t="s">
        <v>693</v>
      </c>
      <c r="B114" s="432"/>
      <c r="C114" s="432"/>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32"/>
      <c r="AA114" s="432"/>
      <c r="AB114" s="432"/>
      <c r="AC114" s="432"/>
      <c r="AD114" s="432"/>
      <c r="AE114" s="432"/>
      <c r="AF114" s="432"/>
    </row>
    <row r="115" spans="1:32">
      <c r="A115" s="432" t="s">
        <v>694</v>
      </c>
      <c r="B115" s="432"/>
      <c r="C115" s="432"/>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432"/>
      <c r="AD115" s="432"/>
      <c r="AE115" s="432"/>
      <c r="AF115" s="432"/>
    </row>
    <row r="116" spans="1:32">
      <c r="A116" s="432" t="s">
        <v>622</v>
      </c>
      <c r="B116" s="432"/>
      <c r="C116" s="432"/>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432"/>
      <c r="AD116" s="432"/>
      <c r="AE116" s="432"/>
      <c r="AF116" s="432"/>
    </row>
    <row r="117" spans="1:32">
      <c r="A117" s="432" t="s">
        <v>623</v>
      </c>
      <c r="B117" s="432"/>
      <c r="C117" s="432"/>
      <c r="D117" s="432"/>
      <c r="E117" s="432"/>
      <c r="F117" s="432"/>
      <c r="G117" s="432"/>
      <c r="H117" s="432"/>
      <c r="I117" s="432"/>
      <c r="J117" s="432"/>
      <c r="K117" s="432"/>
      <c r="L117" s="432"/>
      <c r="M117" s="432"/>
      <c r="N117" s="432"/>
      <c r="O117" s="432"/>
      <c r="P117" s="432"/>
      <c r="Q117" s="432"/>
      <c r="R117" s="432"/>
      <c r="S117" s="432"/>
      <c r="T117" s="432"/>
      <c r="U117" s="432"/>
      <c r="V117" s="432"/>
      <c r="W117" s="432"/>
      <c r="X117" s="432"/>
      <c r="Y117" s="432"/>
      <c r="Z117" s="432"/>
      <c r="AA117" s="432"/>
      <c r="AB117" s="432"/>
      <c r="AC117" s="432"/>
      <c r="AD117" s="432"/>
      <c r="AE117" s="432"/>
      <c r="AF117" s="432"/>
    </row>
    <row r="118" spans="1:32">
      <c r="A118" s="432" t="s">
        <v>624</v>
      </c>
      <c r="B118" s="432"/>
      <c r="C118" s="432"/>
      <c r="D118" s="432"/>
      <c r="E118" s="432"/>
      <c r="F118" s="432"/>
      <c r="G118" s="432"/>
      <c r="H118" s="432"/>
      <c r="I118" s="432"/>
      <c r="J118" s="432"/>
      <c r="K118" s="432"/>
      <c r="L118" s="432"/>
      <c r="M118" s="432"/>
      <c r="N118" s="432"/>
      <c r="O118" s="432"/>
      <c r="P118" s="432"/>
      <c r="Q118" s="432"/>
      <c r="R118" s="432"/>
      <c r="S118" s="432"/>
      <c r="T118" s="432"/>
      <c r="U118" s="432"/>
      <c r="V118" s="432"/>
      <c r="W118" s="432"/>
      <c r="X118" s="432"/>
      <c r="Y118" s="432"/>
      <c r="Z118" s="432"/>
      <c r="AA118" s="432"/>
      <c r="AB118" s="432"/>
      <c r="AC118" s="432"/>
      <c r="AD118" s="432"/>
      <c r="AE118" s="432"/>
      <c r="AF118" s="432"/>
    </row>
    <row r="119" spans="1:32">
      <c r="A119" s="432" t="s">
        <v>695</v>
      </c>
      <c r="B119" s="432"/>
      <c r="C119" s="432"/>
      <c r="D119" s="432"/>
      <c r="E119" s="432"/>
      <c r="F119" s="432"/>
      <c r="G119" s="432"/>
      <c r="H119" s="432"/>
      <c r="I119" s="432"/>
      <c r="J119" s="432"/>
      <c r="K119" s="432"/>
      <c r="L119" s="432"/>
      <c r="M119" s="432"/>
      <c r="N119" s="432"/>
      <c r="O119" s="432"/>
      <c r="P119" s="432"/>
      <c r="Q119" s="432"/>
      <c r="R119" s="432"/>
      <c r="S119" s="432"/>
      <c r="T119" s="432"/>
      <c r="U119" s="432"/>
      <c r="V119" s="432"/>
      <c r="W119" s="432"/>
      <c r="X119" s="432"/>
      <c r="Y119" s="432"/>
      <c r="Z119" s="432"/>
      <c r="AA119" s="432"/>
      <c r="AB119" s="432"/>
      <c r="AC119" s="432"/>
      <c r="AD119" s="432"/>
      <c r="AE119" s="432"/>
      <c r="AF119" s="432"/>
    </row>
    <row r="120" spans="1:32">
      <c r="A120" s="432" t="s">
        <v>696</v>
      </c>
      <c r="B120" s="432"/>
      <c r="C120" s="432"/>
      <c r="D120" s="432"/>
      <c r="E120" s="432"/>
      <c r="F120" s="432"/>
      <c r="G120" s="432"/>
      <c r="H120" s="432"/>
      <c r="I120" s="432"/>
      <c r="J120" s="432"/>
      <c r="K120" s="432"/>
      <c r="L120" s="432"/>
      <c r="M120" s="432"/>
      <c r="N120" s="432"/>
      <c r="O120" s="432"/>
      <c r="P120" s="432"/>
      <c r="Q120" s="432"/>
      <c r="R120" s="432"/>
      <c r="S120" s="432"/>
      <c r="T120" s="432"/>
      <c r="U120" s="432"/>
      <c r="V120" s="432"/>
      <c r="W120" s="432"/>
      <c r="X120" s="432"/>
      <c r="Y120" s="432"/>
      <c r="Z120" s="432"/>
      <c r="AA120" s="432"/>
      <c r="AB120" s="432"/>
      <c r="AC120" s="432"/>
      <c r="AD120" s="432"/>
      <c r="AE120" s="432"/>
      <c r="AF120" s="432"/>
    </row>
    <row r="121" spans="1:32">
      <c r="A121" s="432" t="s">
        <v>626</v>
      </c>
      <c r="B121" s="432"/>
      <c r="C121" s="432"/>
      <c r="D121" s="432"/>
      <c r="E121" s="432"/>
      <c r="F121" s="432"/>
      <c r="G121" s="432"/>
      <c r="H121" s="432"/>
      <c r="I121" s="432"/>
      <c r="J121" s="432"/>
      <c r="K121" s="432"/>
      <c r="L121" s="432"/>
      <c r="M121" s="432"/>
      <c r="N121" s="432"/>
      <c r="O121" s="432"/>
      <c r="P121" s="432"/>
      <c r="Q121" s="432"/>
      <c r="R121" s="432"/>
      <c r="S121" s="432"/>
      <c r="T121" s="432"/>
      <c r="U121" s="432"/>
      <c r="V121" s="432"/>
      <c r="W121" s="432"/>
      <c r="X121" s="432"/>
      <c r="Y121" s="432"/>
      <c r="Z121" s="432"/>
      <c r="AA121" s="432"/>
      <c r="AB121" s="432"/>
      <c r="AC121" s="432"/>
      <c r="AD121" s="432"/>
      <c r="AE121" s="432"/>
      <c r="AF121" s="432"/>
    </row>
    <row r="122" spans="1:32">
      <c r="A122" s="432" t="s">
        <v>629</v>
      </c>
      <c r="B122" s="432"/>
      <c r="C122" s="432"/>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32"/>
      <c r="AD122" s="432"/>
      <c r="AE122" s="432"/>
      <c r="AF122" s="432"/>
    </row>
  </sheetData>
  <mergeCells count="3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2:AF102"/>
    <mergeCell ref="A103:AF103"/>
    <mergeCell ref="A104:AF104"/>
    <mergeCell ref="A105:AF105"/>
    <mergeCell ref="A106:AF106"/>
    <mergeCell ref="A107:AF107"/>
    <mergeCell ref="A108:AF108"/>
    <mergeCell ref="A109:AF109"/>
    <mergeCell ref="A110:AF110"/>
    <mergeCell ref="A111:AF111"/>
    <mergeCell ref="A112:AF112"/>
    <mergeCell ref="A113:AF113"/>
    <mergeCell ref="A114:AF114"/>
    <mergeCell ref="A115:AF115"/>
    <mergeCell ref="A116:AF116"/>
    <mergeCell ref="A122:AF122"/>
    <mergeCell ref="A117:AF117"/>
    <mergeCell ref="A118:AF118"/>
    <mergeCell ref="A119:AF119"/>
    <mergeCell ref="A120:AF120"/>
    <mergeCell ref="A121:AF12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251</v>
      </c>
      <c r="AB12" s="53" t="s">
        <v>250</v>
      </c>
      <c r="AC12" s="72">
        <v>0.06</v>
      </c>
      <c r="AW12" s="53" t="s">
        <v>249</v>
      </c>
      <c r="BB12" s="54"/>
      <c r="BC12" s="55" t="s">
        <v>251</v>
      </c>
    </row>
    <row r="13" spans="1:55">
      <c r="A13" s="58"/>
      <c r="B13" s="73" t="s">
        <v>257</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255</v>
      </c>
    </row>
    <row r="14" spans="1:55">
      <c r="AX14" s="54" t="s">
        <v>248</v>
      </c>
      <c r="BB14" s="54"/>
    </row>
    <row r="15" spans="1:55" s="67" customFormat="1">
      <c r="A15" s="71" t="s">
        <v>150</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243</v>
      </c>
      <c r="AL15" s="67" t="s">
        <v>242</v>
      </c>
      <c r="AM15" s="67" t="s">
        <v>241</v>
      </c>
      <c r="AN15" s="67" t="s">
        <v>240</v>
      </c>
      <c r="AO15" s="67">
        <v>1995</v>
      </c>
      <c r="AP15" s="67">
        <v>1996</v>
      </c>
      <c r="AQ15" s="67">
        <v>1997</v>
      </c>
      <c r="AR15" s="67">
        <v>1998</v>
      </c>
      <c r="AS15" s="67">
        <v>1999</v>
      </c>
      <c r="AT15" s="67">
        <v>2000</v>
      </c>
      <c r="AU15" s="67">
        <v>2001</v>
      </c>
      <c r="AV15" s="67">
        <v>2002</v>
      </c>
      <c r="AW15" s="67">
        <v>2003</v>
      </c>
      <c r="AX15" s="68">
        <v>2004</v>
      </c>
      <c r="BB15" s="68"/>
    </row>
    <row r="16" spans="1:55">
      <c r="A16" s="55" t="s">
        <v>247</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245</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244</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246</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245</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244</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299</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243</v>
      </c>
      <c r="AL24" s="67" t="s">
        <v>242</v>
      </c>
      <c r="AM24" s="67" t="s">
        <v>241</v>
      </c>
      <c r="AN24" s="67" t="s">
        <v>240</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239</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256</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264</v>
      </c>
      <c r="B27" s="60"/>
      <c r="C27" s="60"/>
      <c r="D27" s="60"/>
      <c r="E27" s="60"/>
      <c r="F27" s="66">
        <v>0.2</v>
      </c>
      <c r="G27" s="61" t="s">
        <v>254</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297</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298</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289</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290</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238</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236</v>
      </c>
      <c r="C39" s="60"/>
      <c r="D39" s="60"/>
      <c r="F39" s="60"/>
      <c r="G39" s="60"/>
      <c r="H39" s="60"/>
      <c r="I39" s="60"/>
      <c r="J39" s="61" t="s">
        <v>237</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235</v>
      </c>
    </row>
    <row r="52" spans="1:50">
      <c r="A52" s="55" t="s">
        <v>234</v>
      </c>
      <c r="B52" s="55"/>
    </row>
    <row r="53" spans="1:50">
      <c r="A53" s="55" t="s">
        <v>233</v>
      </c>
      <c r="B53" s="55"/>
    </row>
    <row r="54" spans="1:50">
      <c r="A54" s="55" t="s">
        <v>232</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2015-02-18T22:44:50Z</dcterms:modified>
</cp:coreProperties>
</file>