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9" i="27" l="1"/>
  <c r="E38" i="27"/>
  <c r="H38" i="27"/>
  <c r="J38" i="27"/>
  <c r="L38" i="27"/>
  <c r="F38" i="27"/>
  <c r="I38" i="27"/>
  <c r="K38" i="27"/>
  <c r="M38" i="27"/>
  <c r="N38" i="27"/>
  <c r="O36" i="27"/>
  <c r="H35" i="27"/>
  <c r="J35" i="27"/>
  <c r="L35" i="27"/>
  <c r="I35" i="27"/>
  <c r="K35" i="27"/>
  <c r="M35" i="27"/>
  <c r="N35" i="27"/>
  <c r="O35" i="27"/>
  <c r="H34" i="27"/>
  <c r="J34" i="27"/>
  <c r="L34" i="27"/>
  <c r="K34" i="27"/>
  <c r="M34" i="27"/>
  <c r="N34" i="27"/>
  <c r="O34" i="27"/>
  <c r="H33" i="27"/>
  <c r="J33" i="27"/>
  <c r="L33" i="27"/>
  <c r="I33" i="27"/>
  <c r="K33" i="27"/>
  <c r="M33" i="27"/>
  <c r="N33" i="27"/>
  <c r="O33" i="27"/>
  <c r="O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H27" i="27"/>
  <c r="J27" i="27"/>
  <c r="L27" i="27"/>
  <c r="I27" i="27"/>
  <c r="K27" i="27"/>
  <c r="M27" i="27"/>
  <c r="N27" i="27"/>
  <c r="O27" i="27"/>
  <c r="H26" i="27"/>
  <c r="J26" i="27"/>
  <c r="L26" i="27"/>
  <c r="I26" i="27"/>
  <c r="K26" i="27"/>
  <c r="M26" i="27"/>
  <c r="N26" i="27"/>
  <c r="H25" i="27"/>
  <c r="J25" i="27"/>
  <c r="L25" i="27"/>
  <c r="I25" i="27"/>
  <c r="K25" i="27"/>
  <c r="M25" i="27"/>
  <c r="N25" i="27"/>
  <c r="E24" i="27"/>
  <c r="H24" i="27"/>
  <c r="J24" i="27"/>
  <c r="L24" i="27"/>
  <c r="I24" i="27"/>
  <c r="K24" i="27"/>
  <c r="M24" i="27"/>
  <c r="N24" i="27"/>
  <c r="O24" i="27"/>
  <c r="H23" i="27"/>
  <c r="J23" i="27"/>
  <c r="L23" i="27"/>
  <c r="I23" i="27"/>
  <c r="K23" i="27"/>
  <c r="M23" i="27"/>
  <c r="N23" i="27"/>
  <c r="H22" i="27"/>
  <c r="J22" i="27"/>
  <c r="L22" i="27"/>
  <c r="I22" i="27"/>
  <c r="K22" i="27"/>
  <c r="M22" i="27"/>
  <c r="N22" i="27"/>
  <c r="O21" i="27"/>
  <c r="H21" i="27"/>
  <c r="J21" i="27"/>
  <c r="L21" i="27"/>
  <c r="I21" i="27"/>
  <c r="K21" i="27"/>
  <c r="M21" i="27"/>
  <c r="N21" i="27"/>
  <c r="H20" i="27"/>
  <c r="J20" i="27"/>
  <c r="L20" i="27"/>
  <c r="I20" i="27"/>
  <c r="K20" i="27"/>
  <c r="M20" i="27"/>
  <c r="N20" i="27"/>
  <c r="O20" i="27"/>
  <c r="H19" i="27"/>
  <c r="J19" i="27"/>
  <c r="L19" i="27"/>
  <c r="I19" i="27"/>
  <c r="K19" i="27"/>
  <c r="M19" i="27"/>
  <c r="N19" i="27"/>
  <c r="H18" i="27"/>
  <c r="J18" i="27"/>
  <c r="L18" i="27"/>
  <c r="I18" i="27"/>
  <c r="K18" i="27"/>
  <c r="M18" i="27"/>
  <c r="N18" i="27"/>
  <c r="O18" i="27"/>
  <c r="H17" i="27"/>
  <c r="J17" i="27"/>
  <c r="L17" i="27"/>
  <c r="I17" i="27"/>
  <c r="K17" i="27"/>
  <c r="M17" i="27"/>
  <c r="N17" i="27"/>
  <c r="H16" i="27"/>
  <c r="J16" i="27"/>
  <c r="L16" i="27"/>
  <c r="I16" i="27"/>
  <c r="K16" i="27"/>
  <c r="M16" i="27"/>
  <c r="N16" i="27"/>
  <c r="E15" i="27"/>
  <c r="H15" i="27"/>
  <c r="J15" i="27"/>
  <c r="L15" i="27"/>
  <c r="F15" i="27"/>
  <c r="I15" i="27"/>
  <c r="K15" i="27"/>
  <c r="M15" i="27"/>
  <c r="N15" i="27"/>
  <c r="O15" i="27"/>
  <c r="H14" i="27"/>
  <c r="J14" i="27"/>
  <c r="L14" i="27"/>
  <c r="I14" i="27"/>
  <c r="K14" i="27"/>
  <c r="M14" i="27"/>
  <c r="N14" i="27"/>
  <c r="H13" i="27"/>
  <c r="J13" i="27"/>
  <c r="L13" i="27"/>
  <c r="I13" i="27"/>
  <c r="K13" i="27"/>
  <c r="M13" i="27"/>
  <c r="N13" i="27"/>
  <c r="O13" i="27"/>
  <c r="H108" i="15"/>
  <c r="H113" i="15"/>
  <c r="H118" i="15"/>
  <c r="H135" i="15"/>
  <c r="H140" i="15"/>
  <c r="H145" i="15"/>
  <c r="H179" i="15"/>
  <c r="H47" i="9"/>
  <c r="H52" i="9"/>
  <c r="H55" i="9"/>
  <c r="H65" i="9"/>
  <c r="H70" i="9"/>
  <c r="H73" i="9"/>
  <c r="H176" i="15"/>
  <c r="H182" i="15"/>
  <c r="H185" i="15"/>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P73" i="8"/>
  <c r="N7" i="9"/>
  <c r="P74" i="8"/>
  <c r="P75" i="8"/>
  <c r="P76" i="8"/>
  <c r="P77" i="8"/>
  <c r="P78" i="8"/>
  <c r="P79" i="8"/>
  <c r="P54" i="11"/>
  <c r="P58" i="11"/>
  <c r="N13" i="15"/>
  <c r="N14" i="15"/>
  <c r="D35" i="5"/>
  <c r="C35" i="5"/>
  <c r="Z73" i="8"/>
  <c r="X7" i="9"/>
  <c r="Z74" i="8"/>
  <c r="Z75" i="8"/>
  <c r="Z76" i="8"/>
  <c r="Z77" i="8"/>
  <c r="Z78" i="8"/>
  <c r="Z79" i="8"/>
  <c r="Z54" i="11"/>
  <c r="Z58" i="11"/>
  <c r="X13" i="15"/>
  <c r="X14" i="15"/>
  <c r="D29" i="5"/>
  <c r="C29" i="5"/>
  <c r="D28" i="5"/>
  <c r="C28" i="5"/>
  <c r="F35" i="5"/>
  <c r="AJ73" i="8"/>
  <c r="AH7" i="9"/>
  <c r="AJ74" i="8"/>
  <c r="AJ75" i="8"/>
  <c r="AJ76" i="8"/>
  <c r="AJ77" i="8"/>
  <c r="AJ78" i="8"/>
  <c r="AJ79" i="8"/>
  <c r="AJ54" i="11"/>
  <c r="AJ58" i="11"/>
  <c r="AH13" i="15"/>
  <c r="AH14" i="15"/>
  <c r="D30" i="5"/>
  <c r="C30" i="5"/>
  <c r="H35" i="5"/>
  <c r="AH26" i="15"/>
  <c r="AH31" i="15"/>
  <c r="D36" i="5"/>
  <c r="C36" i="5"/>
  <c r="F36" i="5"/>
  <c r="H36" i="5"/>
  <c r="AH18" i="15"/>
  <c r="AH32" i="15"/>
  <c r="N10" i="9"/>
  <c r="D17" i="5"/>
  <c r="N11" i="9"/>
  <c r="N12" i="9"/>
  <c r="N16" i="9"/>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AH43" i="15"/>
  <c r="F34" i="5"/>
  <c r="H34" i="5"/>
  <c r="AH24" i="15"/>
  <c r="AH30" i="15"/>
  <c r="AH46" i="15"/>
  <c r="AH47" i="15"/>
  <c r="AH48" i="15"/>
  <c r="AH49" i="15"/>
  <c r="AH93" i="15"/>
  <c r="X26" i="15"/>
  <c r="X31" i="15"/>
  <c r="X18" i="15"/>
  <c r="X32" i="15"/>
  <c r="X34" i="15"/>
  <c r="X35" i="15"/>
  <c r="X37" i="15"/>
  <c r="X38" i="15"/>
  <c r="X39" i="15"/>
  <c r="X40" i="15"/>
  <c r="X42" i="15"/>
  <c r="X43" i="15"/>
  <c r="X24" i="15"/>
  <c r="X30" i="15"/>
  <c r="X46" i="15"/>
  <c r="X47" i="15"/>
  <c r="X48" i="15"/>
  <c r="X49" i="15"/>
  <c r="X93" i="15"/>
  <c r="AH78" i="15"/>
  <c r="AH94" i="15"/>
  <c r="X94" i="15"/>
  <c r="AH79" i="15"/>
  <c r="AH87" i="15"/>
  <c r="X87" i="15"/>
  <c r="AH72" i="15"/>
  <c r="N26" i="15"/>
  <c r="N31" i="15"/>
  <c r="N18" i="15"/>
  <c r="N32" i="15"/>
  <c r="C24" i="5"/>
  <c r="E17" i="5"/>
  <c r="N16" i="15"/>
  <c r="N19" i="15"/>
  <c r="N20" i="15"/>
  <c r="N21" i="15"/>
  <c r="N34" i="15"/>
  <c r="E19" i="5"/>
  <c r="N35" i="15"/>
  <c r="E20" i="5"/>
  <c r="N37" i="15"/>
  <c r="E21" i="5"/>
  <c r="N38" i="15"/>
  <c r="E22" i="5"/>
  <c r="N39" i="15"/>
  <c r="E18" i="5"/>
  <c r="N40" i="15"/>
  <c r="E23" i="5"/>
  <c r="N42" i="15"/>
  <c r="N43" i="15"/>
  <c r="N30" i="15"/>
  <c r="N46" i="15"/>
  <c r="N47" i="15"/>
  <c r="N48" i="15"/>
  <c r="N49" i="15"/>
  <c r="N93" i="15"/>
  <c r="X78" i="15"/>
  <c r="N94" i="15"/>
  <c r="X79" i="15"/>
  <c r="N87" i="15"/>
  <c r="X72" i="15"/>
  <c r="J73" i="8"/>
  <c r="H7" i="9"/>
  <c r="H31" i="15"/>
  <c r="J76" i="8"/>
  <c r="H10" i="9"/>
  <c r="H34" i="15"/>
  <c r="J74" i="8"/>
  <c r="H11" i="9"/>
  <c r="H35" i="15"/>
  <c r="J75" i="8"/>
  <c r="H12" i="9"/>
  <c r="H37" i="15"/>
  <c r="J78" i="8"/>
  <c r="H16" i="9"/>
  <c r="H42" i="15"/>
  <c r="H43" i="15"/>
  <c r="J77" i="8"/>
  <c r="J79" i="8"/>
  <c r="J54" i="11"/>
  <c r="J58" i="11"/>
  <c r="H14" i="15"/>
  <c r="H30" i="15"/>
  <c r="H46" i="15"/>
  <c r="H47" i="15"/>
  <c r="H48" i="15"/>
  <c r="H49" i="15"/>
  <c r="H93" i="15"/>
  <c r="N78" i="15"/>
  <c r="H94" i="15"/>
  <c r="N79" i="15"/>
  <c r="H87" i="15"/>
  <c r="N72" i="15"/>
  <c r="H73" i="8"/>
  <c r="H74" i="8"/>
  <c r="H75" i="8"/>
  <c r="H76" i="8"/>
  <c r="H77" i="8"/>
  <c r="H78" i="8"/>
  <c r="H79" i="8"/>
  <c r="I73" i="8"/>
  <c r="I74" i="8"/>
  <c r="I75" i="8"/>
  <c r="I76" i="8"/>
  <c r="I77" i="8"/>
  <c r="I78" i="8"/>
  <c r="I79" i="8"/>
  <c r="K73" i="8"/>
  <c r="K74" i="8"/>
  <c r="K75" i="8"/>
  <c r="K76" i="8"/>
  <c r="K77" i="8"/>
  <c r="K78" i="8"/>
  <c r="K79" i="8"/>
  <c r="L73" i="8"/>
  <c r="L74" i="8"/>
  <c r="L75" i="8"/>
  <c r="L76" i="8"/>
  <c r="L77" i="8"/>
  <c r="L78" i="8"/>
  <c r="L79" i="8"/>
  <c r="M73" i="8"/>
  <c r="M74" i="8"/>
  <c r="M75" i="8"/>
  <c r="M76" i="8"/>
  <c r="M77" i="8"/>
  <c r="M78" i="8"/>
  <c r="M79" i="8"/>
  <c r="N73" i="8"/>
  <c r="N74" i="8"/>
  <c r="N75" i="8"/>
  <c r="N76" i="8"/>
  <c r="N77" i="8"/>
  <c r="N78" i="8"/>
  <c r="N79" i="8"/>
  <c r="O73" i="8"/>
  <c r="O74" i="8"/>
  <c r="O75" i="8"/>
  <c r="O76" i="8"/>
  <c r="O77" i="8"/>
  <c r="O78" i="8"/>
  <c r="O79" i="8"/>
  <c r="Q73" i="8"/>
  <c r="Q74" i="8"/>
  <c r="Q75" i="8"/>
  <c r="Q76" i="8"/>
  <c r="Q77" i="8"/>
  <c r="Q78" i="8"/>
  <c r="Q79" i="8"/>
  <c r="R73" i="8"/>
  <c r="R74" i="8"/>
  <c r="R75" i="8"/>
  <c r="R76" i="8"/>
  <c r="R77" i="8"/>
  <c r="R78" i="8"/>
  <c r="R79" i="8"/>
  <c r="S73" i="8"/>
  <c r="S74" i="8"/>
  <c r="S75" i="8"/>
  <c r="S76" i="8"/>
  <c r="S77" i="8"/>
  <c r="S78" i="8"/>
  <c r="S79" i="8"/>
  <c r="T73" i="8"/>
  <c r="T74" i="8"/>
  <c r="T75" i="8"/>
  <c r="T76" i="8"/>
  <c r="T77" i="8"/>
  <c r="T78" i="8"/>
  <c r="T79" i="8"/>
  <c r="U73" i="8"/>
  <c r="U74" i="8"/>
  <c r="U75" i="8"/>
  <c r="U76" i="8"/>
  <c r="U77" i="8"/>
  <c r="U78" i="8"/>
  <c r="U79" i="8"/>
  <c r="V73" i="8"/>
  <c r="V74" i="8"/>
  <c r="V75" i="8"/>
  <c r="V76" i="8"/>
  <c r="V77" i="8"/>
  <c r="V78" i="8"/>
  <c r="V79" i="8"/>
  <c r="W73" i="8"/>
  <c r="W74" i="8"/>
  <c r="W75" i="8"/>
  <c r="W76" i="8"/>
  <c r="W77" i="8"/>
  <c r="W78" i="8"/>
  <c r="W79" i="8"/>
  <c r="X73" i="8"/>
  <c r="X74" i="8"/>
  <c r="X75" i="8"/>
  <c r="X76" i="8"/>
  <c r="X77" i="8"/>
  <c r="X78" i="8"/>
  <c r="X79" i="8"/>
  <c r="Y73" i="8"/>
  <c r="Y74" i="8"/>
  <c r="Y75" i="8"/>
  <c r="Y76" i="8"/>
  <c r="Y77" i="8"/>
  <c r="Y78" i="8"/>
  <c r="Y79" i="8"/>
  <c r="AA73" i="8"/>
  <c r="AA74" i="8"/>
  <c r="AA75" i="8"/>
  <c r="AA76" i="8"/>
  <c r="AA77" i="8"/>
  <c r="AA78" i="8"/>
  <c r="AA79" i="8"/>
  <c r="AB73" i="8"/>
  <c r="AB74" i="8"/>
  <c r="AB75" i="8"/>
  <c r="AB76" i="8"/>
  <c r="AB77" i="8"/>
  <c r="AB78" i="8"/>
  <c r="AB79" i="8"/>
  <c r="AC73" i="8"/>
  <c r="AC74" i="8"/>
  <c r="AC75" i="8"/>
  <c r="AC76" i="8"/>
  <c r="AC77" i="8"/>
  <c r="AC78" i="8"/>
  <c r="AC79" i="8"/>
  <c r="AD73" i="8"/>
  <c r="AD74" i="8"/>
  <c r="AD75" i="8"/>
  <c r="AD76" i="8"/>
  <c r="AD77" i="8"/>
  <c r="AD78" i="8"/>
  <c r="AD79" i="8"/>
  <c r="AE73" i="8"/>
  <c r="AE74" i="8"/>
  <c r="AE75" i="8"/>
  <c r="AE76" i="8"/>
  <c r="AE77" i="8"/>
  <c r="AE78" i="8"/>
  <c r="AE79" i="8"/>
  <c r="AF73" i="8"/>
  <c r="AF74" i="8"/>
  <c r="AF75" i="8"/>
  <c r="AF76" i="8"/>
  <c r="AF77" i="8"/>
  <c r="AF78" i="8"/>
  <c r="AF79" i="8"/>
  <c r="AG73" i="8"/>
  <c r="AG74" i="8"/>
  <c r="AG75" i="8"/>
  <c r="AG76" i="8"/>
  <c r="AG77" i="8"/>
  <c r="AG78" i="8"/>
  <c r="AG79" i="8"/>
  <c r="AH73" i="8"/>
  <c r="AH74" i="8"/>
  <c r="AH75" i="8"/>
  <c r="AH76" i="8"/>
  <c r="AH77" i="8"/>
  <c r="AH78" i="8"/>
  <c r="AH79" i="8"/>
  <c r="AI73" i="8"/>
  <c r="AI74" i="8"/>
  <c r="AI75" i="8"/>
  <c r="AI76" i="8"/>
  <c r="AI77" i="8"/>
  <c r="AI78" i="8"/>
  <c r="AI79" i="8"/>
  <c r="G73" i="8"/>
  <c r="G74" i="8"/>
  <c r="G75" i="8"/>
  <c r="G76" i="8"/>
  <c r="G77" i="8"/>
  <c r="G78" i="8"/>
  <c r="G79" i="8"/>
  <c r="H54" i="11"/>
  <c r="I54" i="11"/>
  <c r="K54" i="11"/>
  <c r="L54" i="11"/>
  <c r="M54" i="11"/>
  <c r="N54" i="11"/>
  <c r="O54" i="11"/>
  <c r="Q54" i="11"/>
  <c r="R54" i="11"/>
  <c r="S54" i="11"/>
  <c r="T54" i="11"/>
  <c r="U54" i="11"/>
  <c r="V54" i="11"/>
  <c r="W54" i="11"/>
  <c r="X54" i="11"/>
  <c r="Y54" i="11"/>
  <c r="AA54" i="11"/>
  <c r="AB54" i="11"/>
  <c r="AC54" i="11"/>
  <c r="AD54" i="11"/>
  <c r="AE54" i="11"/>
  <c r="AF54" i="11"/>
  <c r="AG54" i="11"/>
  <c r="AH54" i="11"/>
  <c r="AI54" i="11"/>
  <c r="G54" i="11"/>
  <c r="H58" i="11"/>
  <c r="H56" i="11"/>
  <c r="I58" i="11"/>
  <c r="I56" i="11"/>
  <c r="J56" i="11"/>
  <c r="K58" i="11"/>
  <c r="K56" i="11"/>
  <c r="L58" i="11"/>
  <c r="L56" i="11"/>
  <c r="M58" i="11"/>
  <c r="M56" i="11"/>
  <c r="N58" i="11"/>
  <c r="N56" i="11"/>
  <c r="O58" i="11"/>
  <c r="O56" i="11"/>
  <c r="P56" i="11"/>
  <c r="Q58" i="11"/>
  <c r="Q56" i="11"/>
  <c r="R58" i="11"/>
  <c r="R56" i="11"/>
  <c r="S58" i="11"/>
  <c r="S56" i="11"/>
  <c r="T58" i="11"/>
  <c r="T56" i="11"/>
  <c r="U58" i="11"/>
  <c r="U56" i="11"/>
  <c r="V58" i="11"/>
  <c r="V56" i="11"/>
  <c r="W58" i="11"/>
  <c r="W56" i="11"/>
  <c r="X58" i="11"/>
  <c r="X56" i="11"/>
  <c r="Y58" i="11"/>
  <c r="Y56" i="11"/>
  <c r="Z56" i="11"/>
  <c r="AA58" i="11"/>
  <c r="AA56" i="11"/>
  <c r="AB58" i="11"/>
  <c r="AB56" i="11"/>
  <c r="AC58" i="11"/>
  <c r="AC56" i="11"/>
  <c r="AD58" i="11"/>
  <c r="AD56" i="11"/>
  <c r="AE58" i="11"/>
  <c r="AE56" i="11"/>
  <c r="AF58" i="11"/>
  <c r="AF56" i="11"/>
  <c r="AG58" i="11"/>
  <c r="AG56" i="11"/>
  <c r="AH58" i="11"/>
  <c r="AH56" i="11"/>
  <c r="AI58" i="11"/>
  <c r="AI56" i="11"/>
  <c r="AJ56" i="11"/>
  <c r="G58" i="11"/>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I49" i="11"/>
  <c r="I50" i="11"/>
  <c r="I51" i="11"/>
  <c r="J49" i="11"/>
  <c r="J50" i="11"/>
  <c r="J51" i="11"/>
  <c r="K49" i="11"/>
  <c r="K50" i="11"/>
  <c r="K51" i="11"/>
  <c r="L49" i="11"/>
  <c r="L50" i="11"/>
  <c r="L51" i="11"/>
  <c r="M49" i="11"/>
  <c r="M50" i="11"/>
  <c r="M51" i="11"/>
  <c r="N49" i="11"/>
  <c r="N50" i="11"/>
  <c r="N51" i="11"/>
  <c r="O49" i="11"/>
  <c r="O50" i="11"/>
  <c r="O51" i="11"/>
  <c r="P49" i="11"/>
  <c r="P50" i="11"/>
  <c r="P51"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49" i="11"/>
  <c r="Z50" i="11"/>
  <c r="Z51"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49" i="11"/>
  <c r="AJ50" i="11"/>
  <c r="AJ51" i="11"/>
  <c r="AH16" i="15"/>
  <c r="Z13" i="15"/>
  <c r="Z14" i="15"/>
  <c r="N8" i="9"/>
  <c r="N13" i="9"/>
  <c r="N14" i="9"/>
  <c r="X8" i="9"/>
  <c r="Z60" i="11"/>
  <c r="X58" i="15"/>
  <c r="AJ60" i="11"/>
  <c r="AH86" i="15"/>
  <c r="X86" i="15"/>
  <c r="AH71" i="15"/>
  <c r="Y58" i="15"/>
  <c r="Z58" i="15"/>
  <c r="Z10" i="9"/>
  <c r="Z34" i="15"/>
  <c r="Y26" i="15"/>
  <c r="Z26" i="15"/>
  <c r="Z31" i="15"/>
  <c r="Y18" i="15"/>
  <c r="Z18" i="15"/>
  <c r="Z32" i="15"/>
  <c r="X59" i="15"/>
  <c r="Y59" i="15"/>
  <c r="Z59" i="15"/>
  <c r="Z11" i="9"/>
  <c r="Z35" i="15"/>
  <c r="X61" i="15"/>
  <c r="AH89" i="15"/>
  <c r="X89" i="15"/>
  <c r="AH74" i="15"/>
  <c r="Y61" i="15"/>
  <c r="Z61" i="15"/>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G50" i="11"/>
  <c r="G51" i="11"/>
  <c r="G49" i="11"/>
  <c r="B58" i="11"/>
  <c r="C58" i="11"/>
  <c r="D58" i="11"/>
  <c r="E58" i="11"/>
  <c r="F58" i="11"/>
  <c r="X10" i="9"/>
  <c r="X11" i="9"/>
  <c r="X12" i="9"/>
  <c r="X13" i="9"/>
  <c r="X14" i="9"/>
  <c r="X16" i="9"/>
  <c r="X18" i="9"/>
  <c r="D12" i="5"/>
  <c r="E12" i="5"/>
  <c r="AH8" i="9"/>
  <c r="AH10" i="9"/>
  <c r="AH11" i="9"/>
  <c r="AH12" i="9"/>
  <c r="AH13"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H64" i="11"/>
  <c r="I64" i="11"/>
  <c r="J64" i="11"/>
  <c r="K64" i="11"/>
  <c r="L64" i="11"/>
  <c r="M64" i="11"/>
  <c r="N64" i="11"/>
  <c r="O64" i="11"/>
  <c r="P64" i="11"/>
  <c r="Q64" i="11"/>
  <c r="R64" i="11"/>
  <c r="S64" i="11"/>
  <c r="T64" i="11"/>
  <c r="U64" i="11"/>
  <c r="I65" i="11"/>
  <c r="J65" i="11"/>
  <c r="K65" i="11"/>
  <c r="L65" i="11"/>
  <c r="M65" i="11"/>
  <c r="N65" i="11"/>
  <c r="O65" i="11"/>
  <c r="P65" i="11"/>
  <c r="Q65" i="11"/>
  <c r="R65" i="11"/>
  <c r="S65" i="11"/>
  <c r="T65" i="11"/>
  <c r="U65" i="11"/>
  <c r="B66" i="11"/>
  <c r="C66" i="11"/>
  <c r="D66" i="11"/>
  <c r="E66" i="11"/>
  <c r="F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3" i="9"/>
  <c r="H38" i="15"/>
  <c r="H14" i="9"/>
  <c r="H39"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26" i="15"/>
  <c r="E18" i="15"/>
  <c r="E58" i="15"/>
  <c r="E10" i="9"/>
  <c r="E59" i="15"/>
  <c r="E11" i="9"/>
  <c r="E61" i="15"/>
  <c r="E12" i="9"/>
  <c r="E62" i="15"/>
  <c r="E13" i="9"/>
  <c r="E63" i="15"/>
  <c r="E14" i="9"/>
  <c r="E64" i="15"/>
  <c r="E66" i="15"/>
  <c r="E16" i="9"/>
  <c r="E46"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52" i="9"/>
  <c r="E55" i="9"/>
  <c r="E176"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Q141" i="15"/>
  <c r="Q218" i="15"/>
  <c r="Q239" i="15"/>
  <c r="Q238" i="15"/>
  <c r="O216" i="15"/>
  <c r="O237" i="15"/>
  <c r="J238" i="15"/>
  <c r="N216" i="15"/>
  <c r="F128" i="15"/>
  <c r="F114" i="15"/>
  <c r="F217" i="15"/>
  <c r="N181" i="15"/>
  <c r="N184" i="15"/>
  <c r="N18" i="5"/>
  <c r="J141" i="15"/>
  <c r="J218" i="15"/>
  <c r="J239"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D226" i="15"/>
  <c r="D224" i="15"/>
  <c r="J235" i="15"/>
  <c r="D245" i="15"/>
  <c r="D244" i="15"/>
  <c r="I116" i="15"/>
  <c r="I25" i="15"/>
  <c r="I48" i="15"/>
  <c r="I117" i="15"/>
  <c r="I144" i="15"/>
  <c r="K47" i="15"/>
  <c r="I235" i="15"/>
  <c r="J25" i="15"/>
  <c r="J116" i="15"/>
  <c r="J48" i="15"/>
  <c r="J117" i="15"/>
  <c r="J144" i="15"/>
  <c r="K113" i="15"/>
  <c r="K115" i="15"/>
  <c r="K214" i="15"/>
  <c r="K137" i="15"/>
  <c r="G67" i="15"/>
  <c r="G68" i="15"/>
  <c r="G40" i="15"/>
  <c r="D220" i="15"/>
  <c r="K51" i="15"/>
  <c r="K45"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J223" i="15"/>
  <c r="N67" i="15"/>
  <c r="N68" i="15"/>
  <c r="D221" i="15"/>
  <c r="D242" i="15"/>
  <c r="I119" i="15"/>
  <c r="I49" i="15"/>
  <c r="L45" i="15"/>
  <c r="L51" i="15"/>
  <c r="M44" i="15"/>
  <c r="M110" i="15"/>
  <c r="M43" i="15"/>
  <c r="J56" i="15"/>
  <c r="J88" i="15"/>
  <c r="J89" i="15"/>
  <c r="J57" i="15"/>
  <c r="J94" i="15"/>
  <c r="J93" i="15"/>
  <c r="I213" i="15"/>
  <c r="K140" i="15"/>
  <c r="K142" i="15"/>
  <c r="K215" i="15"/>
  <c r="K236" i="15"/>
  <c r="J143" i="15"/>
  <c r="J221" i="15"/>
  <c r="J242" i="15"/>
  <c r="J220" i="15"/>
  <c r="K235" i="15"/>
  <c r="F45" i="15"/>
  <c r="L47" i="15"/>
  <c r="L115" i="15"/>
  <c r="L214" i="15"/>
  <c r="L113" i="15"/>
  <c r="L137" i="15"/>
  <c r="D119" i="15"/>
  <c r="D180" i="15"/>
  <c r="D183" i="15"/>
  <c r="D186" i="15"/>
  <c r="G44" i="15"/>
  <c r="G43" i="15"/>
  <c r="G110" i="15"/>
  <c r="K116" i="15"/>
  <c r="K25" i="15"/>
  <c r="K48" i="15"/>
  <c r="I143" i="15"/>
  <c r="I221" i="15"/>
  <c r="I242" i="15"/>
  <c r="I220" i="15"/>
  <c r="J180" i="15"/>
  <c r="J183" i="15"/>
  <c r="J92" i="15"/>
  <c r="J84" i="15"/>
  <c r="J85" i="15"/>
  <c r="J91" i="15"/>
  <c r="J86" i="15"/>
  <c r="J90" i="15"/>
  <c r="J87" i="15"/>
  <c r="J95" i="15"/>
  <c r="J224" i="15"/>
  <c r="K213"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M142" i="15"/>
  <c r="M215" i="15"/>
  <c r="M236" i="15"/>
  <c r="M140" i="15"/>
  <c r="L213" i="15"/>
  <c r="G25" i="15"/>
  <c r="G144" i="15"/>
  <c r="L143" i="15"/>
  <c r="L220" i="15"/>
  <c r="J246" i="15"/>
  <c r="K221" i="15"/>
  <c r="K95" i="15"/>
  <c r="K96" i="15"/>
  <c r="M213" i="15"/>
  <c r="M234" i="15"/>
  <c r="L224" i="15"/>
  <c r="L223" i="15"/>
  <c r="L234" i="15"/>
  <c r="O47" i="15"/>
  <c r="O115" i="15"/>
  <c r="O214" i="15"/>
  <c r="O137" i="15"/>
  <c r="O113" i="15"/>
  <c r="P44" i="15"/>
  <c r="P110" i="15"/>
  <c r="P43" i="15"/>
  <c r="K146" i="15"/>
  <c r="K181" i="15"/>
  <c r="K184" i="15"/>
  <c r="G143" i="15"/>
  <c r="G221" i="15"/>
  <c r="G242" i="15"/>
  <c r="G220" i="15"/>
  <c r="L144" i="15"/>
  <c r="L221" i="15"/>
  <c r="L118" i="15"/>
  <c r="F241" i="15"/>
  <c r="F87" i="15"/>
  <c r="F90" i="15"/>
  <c r="F57" i="15"/>
  <c r="F56" i="15"/>
  <c r="F89" i="15"/>
  <c r="F93" i="15"/>
  <c r="F50" i="15"/>
  <c r="F88" i="15"/>
  <c r="F94" i="15"/>
  <c r="F85" i="15"/>
  <c r="F91" i="15"/>
  <c r="F84" i="15"/>
  <c r="F86" i="15"/>
  <c r="F92" i="15"/>
  <c r="G49" i="15"/>
  <c r="G180" i="15"/>
  <c r="G183" i="15"/>
  <c r="G119" i="15"/>
  <c r="F245" i="15"/>
  <c r="F244" i="15"/>
  <c r="G213" i="15"/>
  <c r="M143" i="15"/>
  <c r="D228" i="15"/>
  <c r="K179" i="15"/>
  <c r="K182" i="15"/>
  <c r="K180" i="15"/>
  <c r="K183" i="15"/>
  <c r="K119" i="15"/>
  <c r="L85" i="15"/>
  <c r="L56" i="15"/>
  <c r="L89" i="15"/>
  <c r="L91" i="15"/>
  <c r="L88" i="15"/>
  <c r="L90" i="15"/>
  <c r="L50" i="15"/>
  <c r="L94" i="15"/>
  <c r="L93" i="15"/>
  <c r="L87" i="15"/>
  <c r="L57" i="15"/>
  <c r="L86" i="15"/>
  <c r="L84" i="15"/>
  <c r="L92" i="15"/>
  <c r="L241" i="15"/>
  <c r="I96" i="15"/>
  <c r="I16" i="15"/>
  <c r="J17" i="15"/>
  <c r="O45" i="15"/>
  <c r="O51" i="15"/>
  <c r="M117" i="15"/>
  <c r="M144" i="15"/>
  <c r="M49" i="15"/>
  <c r="F144" i="15"/>
  <c r="F145" i="15"/>
  <c r="F118" i="15"/>
  <c r="J19" i="15"/>
  <c r="J21" i="15"/>
  <c r="D247" i="15"/>
  <c r="M118" i="15"/>
  <c r="M119" i="15"/>
  <c r="M223" i="15"/>
  <c r="G145"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79" i="15"/>
  <c r="F182" i="15"/>
  <c r="F119" i="15"/>
  <c r="L119" i="15"/>
  <c r="L180" i="15"/>
  <c r="L183" i="15"/>
  <c r="F221" i="15"/>
  <c r="P45" i="15"/>
  <c r="P51" i="15"/>
  <c r="O235" i="15"/>
  <c r="O25" i="15"/>
  <c r="O116" i="15"/>
  <c r="O48" i="15"/>
  <c r="Q44" i="15"/>
  <c r="Q43" i="15"/>
  <c r="Q110" i="15"/>
  <c r="G241" i="15"/>
  <c r="G219" i="15"/>
  <c r="G240" i="15"/>
  <c r="L244" i="15"/>
  <c r="L245" i="15"/>
  <c r="G179" i="15"/>
  <c r="G182" i="15"/>
  <c r="F95" i="15"/>
  <c r="L222" i="15"/>
  <c r="L243" i="15"/>
  <c r="M90" i="15"/>
  <c r="M91" i="15"/>
  <c r="M50" i="15"/>
  <c r="M88" i="15"/>
  <c r="M94" i="15"/>
  <c r="M57" i="15"/>
  <c r="M87" i="15"/>
  <c r="M85" i="15"/>
  <c r="M56" i="15"/>
  <c r="M89" i="15"/>
  <c r="M86" i="15"/>
  <c r="M93" i="15"/>
  <c r="M84" i="15"/>
  <c r="M92" i="15"/>
  <c r="M245" i="15"/>
  <c r="M244" i="15"/>
  <c r="I19" i="15"/>
  <c r="I21" i="15"/>
  <c r="I17" i="15"/>
  <c r="L95" i="15"/>
  <c r="G223" i="15"/>
  <c r="G224" i="15"/>
  <c r="G234" i="15"/>
  <c r="M145" i="15"/>
  <c r="M179" i="15"/>
  <c r="M182" i="15"/>
  <c r="K19" i="15"/>
  <c r="K21" i="15"/>
  <c r="L181" i="15"/>
  <c r="L184" i="15"/>
  <c r="M219" i="15"/>
  <c r="M240" i="15"/>
  <c r="M95" i="15"/>
  <c r="M96" i="15"/>
  <c r="L179" i="15"/>
  <c r="L182" i="15"/>
  <c r="K240" i="15"/>
  <c r="K222" i="15"/>
  <c r="K243" i="15"/>
  <c r="K246" i="15"/>
  <c r="L246" i="15"/>
  <c r="G222" i="15"/>
  <c r="G243"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F16" i="15"/>
  <c r="Q47" i="15"/>
  <c r="O213" i="15"/>
  <c r="F242" i="15"/>
  <c r="F219" i="15"/>
  <c r="P235" i="15"/>
  <c r="M222" i="15"/>
  <c r="M243" i="15"/>
  <c r="M16" i="15"/>
  <c r="M17" i="15"/>
  <c r="N96" i="15"/>
  <c r="M246" i="15"/>
  <c r="N246" i="15"/>
  <c r="O145" i="15"/>
  <c r="O146" i="15"/>
  <c r="F240" i="15"/>
  <c r="F222" i="15"/>
  <c r="F243" i="15"/>
  <c r="L19" i="15"/>
  <c r="L21" i="15"/>
  <c r="L17" i="15"/>
  <c r="Q140" i="15"/>
  <c r="Q142" i="15"/>
  <c r="Q215" i="15"/>
  <c r="Q236" i="15"/>
  <c r="R47" i="15"/>
  <c r="O224" i="15"/>
  <c r="O234" i="15"/>
  <c r="O223" i="15"/>
  <c r="P143" i="15"/>
  <c r="Q235" i="15"/>
  <c r="R45" i="15"/>
  <c r="R51" i="15"/>
  <c r="N17" i="15"/>
  <c r="P117" i="15"/>
  <c r="P49" i="15"/>
  <c r="O221" i="15"/>
  <c r="O242" i="15"/>
  <c r="O118" i="15"/>
  <c r="F19" i="15"/>
  <c r="F21" i="15"/>
  <c r="P213" i="15"/>
  <c r="Q25" i="15"/>
  <c r="Q116" i="15"/>
  <c r="Q48" i="15"/>
  <c r="S44" i="15"/>
  <c r="S110" i="15"/>
  <c r="S43"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R49" i="15"/>
  <c r="O241" i="15"/>
  <c r="O219" i="15"/>
  <c r="O95" i="15"/>
  <c r="Q143" i="15"/>
  <c r="P144" i="15"/>
  <c r="P145" i="15"/>
  <c r="P118" i="15"/>
  <c r="P220" i="15"/>
  <c r="S51" i="15"/>
  <c r="S45" i="15"/>
  <c r="O119" i="15"/>
  <c r="O180" i="15"/>
  <c r="O183" i="15"/>
  <c r="O179" i="15"/>
  <c r="O182" i="15"/>
  <c r="Q223" i="15"/>
  <c r="Q224" i="15"/>
  <c r="P67" i="15"/>
  <c r="P68" i="15"/>
  <c r="R213" i="15"/>
  <c r="P180" i="15"/>
  <c r="P183" i="15"/>
  <c r="P119" i="15"/>
  <c r="P179" i="15"/>
  <c r="P182" i="15"/>
  <c r="Q90" i="15"/>
  <c r="Q91" i="15"/>
  <c r="Q88" i="15"/>
  <c r="Q94" i="15"/>
  <c r="Q50" i="15"/>
  <c r="Q93" i="15"/>
  <c r="Q57" i="15"/>
  <c r="Q65" i="15"/>
  <c r="Q89" i="15"/>
  <c r="Q84" i="15"/>
  <c r="Q86" i="15"/>
  <c r="Q56" i="15"/>
  <c r="Q87" i="15"/>
  <c r="Q60" i="15"/>
  <c r="Q85" i="15"/>
  <c r="Q92" i="15"/>
  <c r="S235" i="15"/>
  <c r="R143" i="15"/>
  <c r="R221" i="15"/>
  <c r="R242" i="15"/>
  <c r="R220" i="15"/>
  <c r="T47" i="15"/>
  <c r="T45" i="15"/>
  <c r="T51" i="15"/>
  <c r="P146" i="15"/>
  <c r="P181" i="15"/>
  <c r="P184"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U51" i="15"/>
  <c r="U45" i="15"/>
  <c r="S117" i="15"/>
  <c r="S220" i="15"/>
  <c r="S49" i="15"/>
  <c r="O17" i="15"/>
  <c r="O19" i="15"/>
  <c r="O21" i="15"/>
  <c r="Q180" i="15"/>
  <c r="Q183" i="15"/>
  <c r="Q179" i="15"/>
  <c r="Q182" i="15"/>
  <c r="Q119" i="15"/>
  <c r="Q95" i="15"/>
  <c r="U113" i="15"/>
  <c r="U137" i="15"/>
  <c r="U115" i="15"/>
  <c r="U214" i="15"/>
  <c r="S143" i="15"/>
  <c r="P16" i="15"/>
  <c r="P96" i="15"/>
  <c r="T235" i="15"/>
  <c r="Q181" i="15"/>
  <c r="Q184" i="15"/>
  <c r="Q146" i="15"/>
  <c r="R95" i="15"/>
  <c r="S213" i="15"/>
  <c r="Q67" i="15"/>
  <c r="Q68" i="15"/>
  <c r="R181" i="15"/>
  <c r="R184" i="15"/>
  <c r="R179" i="15"/>
  <c r="R182" i="15"/>
  <c r="T118" i="15"/>
  <c r="T213" i="15"/>
  <c r="T224" i="15"/>
  <c r="Q219" i="15"/>
  <c r="Q240" i="15"/>
  <c r="S241" i="15"/>
  <c r="U235"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R96" i="15"/>
  <c r="R16" i="15"/>
  <c r="Q96" i="15"/>
  <c r="Q16" i="15"/>
  <c r="S144" i="15"/>
  <c r="S145" i="15"/>
  <c r="S118" i="15"/>
  <c r="R68" i="15"/>
  <c r="W115" i="15"/>
  <c r="W214" i="15"/>
  <c r="W137" i="15"/>
  <c r="W113" i="15"/>
  <c r="V47" i="15"/>
  <c r="T223" i="15"/>
  <c r="T234" i="15"/>
  <c r="T145" i="15"/>
  <c r="T179" i="15"/>
  <c r="T182" i="15"/>
  <c r="Q222" i="15"/>
  <c r="Q243" i="15"/>
  <c r="Q246" i="15"/>
  <c r="R246" i="15"/>
  <c r="U213" i="15"/>
  <c r="U224" i="15"/>
  <c r="S221" i="15"/>
  <c r="S242" i="15"/>
  <c r="S146" i="15"/>
  <c r="S181" i="15"/>
  <c r="S184" i="15"/>
  <c r="V25" i="15"/>
  <c r="V116" i="15"/>
  <c r="V48" i="15"/>
  <c r="W235" i="15"/>
  <c r="S180" i="15"/>
  <c r="S183"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Q17" i="15"/>
  <c r="Q19" i="15"/>
  <c r="Q21" i="15"/>
  <c r="S95" i="15"/>
  <c r="W142" i="15"/>
  <c r="W215" i="15"/>
  <c r="W236" i="15"/>
  <c r="W140" i="15"/>
  <c r="T245" i="15"/>
  <c r="T244" i="15"/>
  <c r="T219" i="15"/>
  <c r="T241" i="15"/>
  <c r="U223" i="15"/>
  <c r="T146" i="15"/>
  <c r="V213" i="15"/>
  <c r="S219" i="15"/>
  <c r="S240" i="15"/>
  <c r="U234" i="15"/>
  <c r="U245" i="15"/>
  <c r="T181" i="15"/>
  <c r="T184" i="15"/>
  <c r="W213" i="15"/>
  <c r="W224" i="15"/>
  <c r="T240" i="15"/>
  <c r="T222" i="15"/>
  <c r="T243" i="15"/>
  <c r="V117" i="15"/>
  <c r="V144" i="15"/>
  <c r="V49"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V223" i="15"/>
  <c r="V224" i="15"/>
  <c r="V234" i="15"/>
  <c r="W143" i="15"/>
  <c r="U244" i="15"/>
  <c r="V145" i="15"/>
  <c r="S222" i="15"/>
  <c r="S243" i="15"/>
  <c r="S246" i="15"/>
  <c r="T246" i="15"/>
  <c r="W234" i="15"/>
  <c r="W244" i="15"/>
  <c r="W223" i="15"/>
  <c r="V220" i="15"/>
  <c r="V241" i="15"/>
  <c r="V118" i="15"/>
  <c r="V179" i="15"/>
  <c r="V182" i="15"/>
  <c r="V221" i="15"/>
  <c r="V242" i="15"/>
  <c r="W241" i="15"/>
  <c r="S19" i="15"/>
  <c r="S21" i="15"/>
  <c r="S17" i="15"/>
  <c r="V245" i="15"/>
  <c r="V244" i="15"/>
  <c r="U180" i="15"/>
  <c r="U183" i="15"/>
  <c r="U179" i="15"/>
  <c r="U182" i="15"/>
  <c r="U119" i="15"/>
  <c r="T96" i="15"/>
  <c r="T16" i="15"/>
  <c r="U146" i="15"/>
  <c r="U181" i="15"/>
  <c r="U184"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W67" i="15"/>
  <c r="W68" i="15"/>
  <c r="W221" i="15"/>
  <c r="W242" i="15"/>
  <c r="V68" i="15"/>
  <c r="U16" i="15"/>
  <c r="U96" i="15"/>
  <c r="W95" i="15"/>
  <c r="V222" i="15"/>
  <c r="V243" i="15"/>
  <c r="T19" i="15"/>
  <c r="T21" i="15"/>
  <c r="T17" i="15"/>
  <c r="W119" i="15"/>
  <c r="W180" i="15"/>
  <c r="W183" i="15"/>
  <c r="W179" i="15"/>
  <c r="W182" i="15"/>
  <c r="U242" i="15"/>
  <c r="U219" i="15"/>
  <c r="W181" i="15"/>
  <c r="W184" i="15"/>
  <c r="W146" i="15"/>
  <c r="V95" i="15"/>
  <c r="W219" i="15"/>
  <c r="W240" i="15"/>
  <c r="X68" i="15"/>
  <c r="U17" i="15"/>
  <c r="U19" i="15"/>
  <c r="U21" i="15"/>
  <c r="U240" i="15"/>
  <c r="U222" i="15"/>
  <c r="U243" i="15"/>
  <c r="U246" i="15"/>
  <c r="V246" i="15"/>
  <c r="X96" i="15"/>
  <c r="W16" i="15"/>
  <c r="W96" i="15"/>
  <c r="V96" i="15"/>
  <c r="V16" i="15"/>
  <c r="W222" i="15"/>
  <c r="W243" i="15"/>
  <c r="W246" i="15"/>
  <c r="X246" i="15"/>
  <c r="Y246" i="15"/>
  <c r="Z246" i="15"/>
  <c r="AA246" i="15"/>
  <c r="AB246" i="15"/>
  <c r="AC246" i="15"/>
  <c r="AD246" i="15"/>
  <c r="AE246" i="15"/>
  <c r="AF246" i="15"/>
  <c r="AG246" i="15"/>
  <c r="AH246" i="15"/>
  <c r="W17" i="15"/>
  <c r="X17" i="15"/>
  <c r="W19" i="15"/>
  <c r="W21" i="15"/>
  <c r="V17" i="15"/>
  <c r="V19" i="15"/>
  <c r="V21" i="15"/>
  <c r="E13" i="15"/>
  <c r="E14" i="15"/>
  <c r="E30" i="15"/>
  <c r="E31" i="15"/>
  <c r="E32" i="15"/>
  <c r="E34" i="15"/>
  <c r="E35" i="15"/>
  <c r="E37" i="15"/>
  <c r="E38" i="15"/>
  <c r="E39" i="15"/>
  <c r="E40" i="15"/>
  <c r="E42" i="15"/>
  <c r="E43" i="15"/>
  <c r="E47" i="15"/>
  <c r="E116" i="15"/>
  <c r="E48" i="15"/>
  <c r="E117" i="15"/>
  <c r="E220" i="15"/>
  <c r="E143" i="15"/>
  <c r="E144" i="15"/>
  <c r="E221" i="15"/>
  <c r="E219" i="15"/>
  <c r="E227" i="15"/>
  <c r="F227" i="15"/>
  <c r="G227" i="15"/>
  <c r="H227" i="15"/>
  <c r="I227" i="15"/>
  <c r="J227" i="15"/>
  <c r="K227" i="15"/>
  <c r="L227" i="15"/>
  <c r="M227" i="15"/>
  <c r="N227" i="15"/>
  <c r="O227" i="15"/>
  <c r="P227" i="15"/>
  <c r="Q227" i="15"/>
  <c r="R227" i="15"/>
  <c r="S227" i="15"/>
  <c r="T227" i="15"/>
  <c r="U227" i="15"/>
  <c r="V227" i="15"/>
  <c r="W227" i="15"/>
  <c r="X227" i="15"/>
  <c r="Y227" i="15"/>
  <c r="Z227" i="15"/>
  <c r="AA227" i="15"/>
  <c r="AB227" i="15"/>
  <c r="AC227" i="15"/>
  <c r="AD227" i="15"/>
  <c r="AE227" i="15"/>
  <c r="AF227" i="15"/>
  <c r="AG227" i="15"/>
  <c r="AG228" i="15"/>
  <c r="AH227" i="15"/>
  <c r="AH228" i="15"/>
  <c r="AF228" i="15"/>
  <c r="AE228" i="15"/>
  <c r="E29" i="15"/>
  <c r="E100" i="15"/>
  <c r="E101" i="15"/>
  <c r="E102" i="15"/>
  <c r="E103" i="15"/>
  <c r="E104" i="15"/>
  <c r="E105" i="15"/>
  <c r="E107" i="15"/>
  <c r="E108" i="15"/>
  <c r="E109" i="15"/>
  <c r="E110" i="15"/>
  <c r="E112" i="15"/>
  <c r="E113" i="15"/>
  <c r="E118" i="15"/>
  <c r="E127" i="15"/>
  <c r="E128" i="15"/>
  <c r="E129" i="15"/>
  <c r="E130" i="15"/>
  <c r="E131" i="15"/>
  <c r="E132" i="15"/>
  <c r="E134" i="15"/>
  <c r="E135" i="15"/>
  <c r="E136" i="15"/>
  <c r="E137" i="15"/>
  <c r="E139" i="15"/>
  <c r="E140" i="15"/>
  <c r="E145" i="15"/>
  <c r="E249" i="15"/>
  <c r="E252" i="15"/>
  <c r="E179" i="15"/>
  <c r="E182" i="15"/>
  <c r="E185" i="15"/>
  <c r="F185" i="15"/>
  <c r="G185" i="15"/>
  <c r="I185" i="15"/>
  <c r="J185" i="15"/>
  <c r="K185" i="15"/>
  <c r="L185" i="15"/>
  <c r="M185" i="15"/>
  <c r="N185" i="15"/>
  <c r="O185" i="15"/>
  <c r="P185" i="15"/>
  <c r="Q185" i="15"/>
  <c r="R185" i="15"/>
  <c r="S185" i="15"/>
  <c r="T185" i="15"/>
  <c r="U185" i="15"/>
  <c r="V185" i="15"/>
  <c r="W185" i="15"/>
  <c r="X185" i="15"/>
  <c r="Y185" i="15"/>
  <c r="Z185" i="15"/>
  <c r="AA185" i="15"/>
  <c r="AB185" i="15"/>
  <c r="AC185" i="15"/>
  <c r="AD185" i="15"/>
  <c r="AE185" i="15"/>
  <c r="AF185" i="15"/>
  <c r="AG185" i="15"/>
  <c r="AH185" i="15"/>
  <c r="AH247" i="15"/>
  <c r="P20" i="5"/>
  <c r="AG247" i="15"/>
  <c r="AD228" i="15"/>
  <c r="AC228" i="15"/>
  <c r="AF247" i="15"/>
  <c r="AE247" i="15"/>
  <c r="AB228" i="15"/>
  <c r="AA228" i="15"/>
  <c r="AD247" i="15"/>
  <c r="AC247" i="15"/>
  <c r="Z228" i="15"/>
  <c r="AB247" i="15"/>
  <c r="Y228" i="15"/>
  <c r="AA247" i="15"/>
  <c r="X228" i="15"/>
  <c r="W228" i="15"/>
  <c r="Z247" i="15"/>
  <c r="Q20" i="5"/>
  <c r="Y247" i="15"/>
  <c r="V228" i="15"/>
  <c r="O20" i="5"/>
  <c r="X247" i="15"/>
  <c r="U228" i="15"/>
  <c r="W247" i="15"/>
  <c r="T228" i="15"/>
  <c r="V247" i="15"/>
  <c r="S228" i="15"/>
  <c r="R228" i="15"/>
  <c r="U247" i="15"/>
  <c r="T247" i="15"/>
  <c r="Q228" i="15"/>
  <c r="P228" i="15"/>
  <c r="S247" i="15"/>
  <c r="R247" i="15"/>
  <c r="O228" i="15"/>
  <c r="N228" i="15"/>
  <c r="Q247" i="15"/>
  <c r="E250" i="15"/>
  <c r="E251" i="15"/>
  <c r="E253" i="15"/>
  <c r="E254" i="15"/>
  <c r="E181" i="15"/>
  <c r="E184" i="15"/>
  <c r="E187" i="15"/>
  <c r="F187" i="15"/>
  <c r="G187" i="15"/>
  <c r="H187" i="15"/>
  <c r="I187" i="15"/>
  <c r="J187" i="15"/>
  <c r="K187" i="15"/>
  <c r="L187" i="15"/>
  <c r="M187" i="15"/>
  <c r="N187" i="15"/>
  <c r="O187" i="15"/>
  <c r="P187" i="15"/>
  <c r="Q187" i="15"/>
  <c r="R187" i="15"/>
  <c r="S187" i="15"/>
  <c r="T187" i="15"/>
  <c r="U187" i="15"/>
  <c r="V187" i="15"/>
  <c r="W187" i="15"/>
  <c r="X187" i="15"/>
  <c r="Y187" i="15"/>
  <c r="Z187" i="15"/>
  <c r="AA187" i="15"/>
  <c r="AB187" i="15"/>
  <c r="AC187" i="15"/>
  <c r="AD187" i="15"/>
  <c r="AE187" i="15"/>
  <c r="AF187" i="15"/>
  <c r="AG187" i="15"/>
  <c r="AH187" i="15"/>
  <c r="E180" i="15"/>
  <c r="E183" i="15"/>
  <c r="E186" i="15"/>
  <c r="F186" i="15"/>
  <c r="G186" i="15"/>
  <c r="H186" i="15"/>
  <c r="I186" i="15"/>
  <c r="J186" i="15"/>
  <c r="K186" i="15"/>
  <c r="L186" i="15"/>
  <c r="M186" i="15"/>
  <c r="N186" i="15"/>
  <c r="O186" i="15"/>
  <c r="P186" i="15"/>
  <c r="Q186" i="15"/>
  <c r="R186" i="15"/>
  <c r="S186" i="15"/>
  <c r="T186" i="15"/>
  <c r="U186" i="15"/>
  <c r="V186" i="15"/>
  <c r="W186" i="15"/>
  <c r="X186" i="15"/>
  <c r="Y186" i="15"/>
  <c r="Z186" i="15"/>
  <c r="AA186" i="15"/>
  <c r="AB186" i="15"/>
  <c r="AC186" i="15"/>
  <c r="AD186" i="15"/>
  <c r="AE186" i="15"/>
  <c r="AF186" i="15"/>
  <c r="AG186" i="15"/>
  <c r="AH186" i="15"/>
  <c r="P247" i="15"/>
  <c r="M228" i="15"/>
  <c r="L228" i="15"/>
  <c r="O247" i="15"/>
  <c r="E211" i="15"/>
  <c r="E212" i="15"/>
  <c r="E210" i="15"/>
  <c r="E115" i="15"/>
  <c r="E214" i="15"/>
  <c r="E142" i="15"/>
  <c r="E215" i="15"/>
  <c r="E213" i="15"/>
  <c r="E226" i="15"/>
  <c r="F226" i="15"/>
  <c r="G226" i="15"/>
  <c r="H226" i="15"/>
  <c r="I226" i="15"/>
  <c r="J226" i="15"/>
  <c r="K226" i="15"/>
  <c r="L226" i="15"/>
  <c r="M226" i="15"/>
  <c r="N226" i="15"/>
  <c r="O226" i="15"/>
  <c r="P226" i="15"/>
  <c r="Q226" i="15"/>
  <c r="R226" i="15"/>
  <c r="S226" i="15"/>
  <c r="T226" i="15"/>
  <c r="U226" i="15"/>
  <c r="V226" i="15"/>
  <c r="W226" i="15"/>
  <c r="X226" i="15"/>
  <c r="Y226" i="15"/>
  <c r="Z226" i="15"/>
  <c r="AA226" i="15"/>
  <c r="AB226" i="15"/>
  <c r="AC226" i="15"/>
  <c r="AD226" i="15"/>
  <c r="AE226" i="15"/>
  <c r="AF226" i="15"/>
  <c r="AG226" i="15"/>
  <c r="AH226" i="15"/>
  <c r="N247" i="15"/>
  <c r="N20" i="5"/>
  <c r="K228" i="15"/>
  <c r="M247" i="15"/>
  <c r="J228" i="15"/>
  <c r="L247" i="15"/>
  <c r="I228" i="15"/>
  <c r="H228" i="15"/>
  <c r="K247" i="15"/>
  <c r="G228" i="15"/>
  <c r="J247" i="15"/>
  <c r="F228" i="15"/>
  <c r="I247" i="15"/>
  <c r="E114" i="15"/>
  <c r="E217" i="15"/>
  <c r="E141" i="15"/>
  <c r="E218" i="15"/>
  <c r="E216" i="15"/>
  <c r="E222" i="15"/>
  <c r="E243" i="15"/>
  <c r="E246" i="15"/>
  <c r="F246" i="15"/>
  <c r="F247" i="15"/>
  <c r="G246" i="15"/>
  <c r="G247" i="15"/>
  <c r="E49" i="15"/>
  <c r="E86" i="15"/>
  <c r="E87" i="15"/>
  <c r="E88" i="15"/>
  <c r="E89" i="15"/>
  <c r="E90" i="15"/>
  <c r="E91" i="15"/>
  <c r="E92" i="15"/>
  <c r="E93" i="15"/>
  <c r="E94" i="15"/>
  <c r="E95" i="15"/>
  <c r="E16" i="15"/>
  <c r="F17" i="15"/>
  <c r="E247" i="15"/>
  <c r="E228" i="15"/>
  <c r="F96" i="15"/>
  <c r="E240" i="15"/>
  <c r="E19" i="15"/>
  <c r="E21" i="15"/>
  <c r="E17" i="15"/>
  <c r="E241" i="15"/>
  <c r="E119" i="15"/>
  <c r="E96" i="15"/>
  <c r="E242" i="15"/>
  <c r="E57" i="15"/>
  <c r="E56" i="15"/>
  <c r="E50" i="15"/>
  <c r="E84" i="15"/>
  <c r="E85" i="15"/>
  <c r="E231" i="15"/>
  <c r="E234" i="15"/>
  <c r="E244" i="15"/>
  <c r="E237" i="15"/>
  <c r="E245" i="15"/>
  <c r="E223" i="15"/>
  <c r="E224" i="15"/>
  <c r="E25" i="15"/>
  <c r="E44" i="15"/>
  <c r="F51" i="15"/>
  <c r="E236" i="15"/>
  <c r="E235" i="15"/>
  <c r="E51" i="15"/>
  <c r="E45" i="15"/>
  <c r="AI139" i="15"/>
  <c r="E238" i="15"/>
  <c r="E239" i="15"/>
  <c r="E232" i="15"/>
  <c r="E233" i="15"/>
  <c r="E4" i="9"/>
  <c r="E19" i="9"/>
  <c r="E25" i="9"/>
  <c r="E15" i="15"/>
  <c r="E146" i="15"/>
  <c r="G66" i="11"/>
  <c r="G64" i="11"/>
  <c r="H65" i="11"/>
  <c r="G56" i="11"/>
  <c r="G62" i="11"/>
  <c r="G61" i="11"/>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3" authorId="0">
      <text>
        <r>
          <rPr>
            <b/>
            <sz val="9"/>
            <color indexed="81"/>
            <rFont val="Tahoma"/>
            <family val="2"/>
          </rPr>
          <t>Max:</t>
        </r>
        <r>
          <rPr>
            <sz val="9"/>
            <color indexed="81"/>
            <rFont val="Tahoma"/>
            <family val="2"/>
          </rPr>
          <t xml:space="preserve">
Kammen04 and 08</t>
        </r>
      </text>
    </comment>
    <comment ref="G13" authorId="0">
      <text>
        <r>
          <rPr>
            <b/>
            <sz val="9"/>
            <color indexed="81"/>
            <rFont val="Tahoma"/>
            <family val="2"/>
          </rPr>
          <t>Max:</t>
        </r>
        <r>
          <rPr>
            <sz val="9"/>
            <color indexed="81"/>
            <rFont val="Tahoma"/>
            <family val="2"/>
          </rPr>
          <t xml:space="preserve">
not specified
</t>
        </r>
      </text>
    </comment>
    <comment ref="F14"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5" authorId="0">
      <text>
        <r>
          <rPr>
            <b/>
            <sz val="9"/>
            <color indexed="81"/>
            <rFont val="Tahoma"/>
            <family val="2"/>
          </rPr>
          <t>Max:</t>
        </r>
        <r>
          <rPr>
            <sz val="9"/>
            <color indexed="81"/>
            <rFont val="Tahoma"/>
            <family val="2"/>
          </rPr>
          <t xml:space="preserve">
not sure about this, conservative assumption for jobs
</t>
        </r>
      </text>
    </comment>
    <comment ref="C17" authorId="0">
      <text>
        <r>
          <rPr>
            <b/>
            <sz val="9"/>
            <color indexed="81"/>
            <rFont val="Tahoma"/>
            <family val="2"/>
          </rPr>
          <t>Max:</t>
        </r>
        <r>
          <rPr>
            <sz val="9"/>
            <color indexed="81"/>
            <rFont val="Tahoma"/>
            <family val="2"/>
          </rPr>
          <t xml:space="preserve">
EPRI 01 capacity 90%
</t>
        </r>
      </text>
    </comment>
    <comment ref="C18" authorId="0">
      <text>
        <r>
          <rPr>
            <b/>
            <sz val="9"/>
            <color indexed="81"/>
            <rFont val="Tahoma"/>
            <family val="2"/>
          </rPr>
          <t>Max:</t>
        </r>
        <r>
          <rPr>
            <sz val="9"/>
            <color indexed="81"/>
            <rFont val="Tahoma"/>
            <family val="2"/>
          </rPr>
          <t xml:space="preserve">
Kammen 08 presentation</t>
        </r>
      </text>
    </comment>
    <comment ref="C20" authorId="0">
      <text>
        <r>
          <rPr>
            <b/>
            <sz val="9"/>
            <color indexed="81"/>
            <rFont val="Tahoma"/>
            <family val="2"/>
          </rPr>
          <t>Max:</t>
        </r>
        <r>
          <rPr>
            <sz val="9"/>
            <color indexed="81"/>
            <rFont val="Tahoma"/>
            <family val="2"/>
          </rPr>
          <t xml:space="preserve">
EPRI 01 cap 55%
</t>
        </r>
      </text>
    </comment>
    <comment ref="O21" authorId="0">
      <text>
        <r>
          <rPr>
            <sz val="9"/>
            <color indexed="81"/>
            <rFont val="Tahoma"/>
            <family val="2"/>
          </rPr>
          <t xml:space="preserve">Karim:
New update from the solar foundation assuming that all other jobs are O&amp;M
</t>
        </r>
      </text>
    </comment>
    <comment ref="C22" authorId="0">
      <text>
        <r>
          <rPr>
            <b/>
            <sz val="9"/>
            <color indexed="81"/>
            <rFont val="Tahoma"/>
            <family val="2"/>
          </rPr>
          <t>Max:</t>
        </r>
        <r>
          <rPr>
            <sz val="9"/>
            <color indexed="81"/>
            <rFont val="Tahoma"/>
            <family val="2"/>
          </rPr>
          <t xml:space="preserve">
Kammen 08 presentation</t>
        </r>
      </text>
    </comment>
    <comment ref="C24" authorId="0">
      <text>
        <r>
          <rPr>
            <b/>
            <sz val="9"/>
            <color indexed="81"/>
            <rFont val="Tahoma"/>
            <family val="2"/>
          </rPr>
          <t>Max:</t>
        </r>
        <r>
          <rPr>
            <sz val="9"/>
            <color indexed="81"/>
            <rFont val="Tahoma"/>
            <family val="2"/>
          </rPr>
          <t xml:space="preserve">
NREL08 cap 40%</t>
        </r>
      </text>
    </comment>
    <comment ref="A25" authorId="0">
      <text>
        <r>
          <rPr>
            <b/>
            <sz val="9"/>
            <color indexed="81"/>
            <rFont val="Tahoma"/>
            <family val="2"/>
          </rPr>
          <t>Max:</t>
        </r>
        <r>
          <rPr>
            <sz val="9"/>
            <color indexed="81"/>
            <rFont val="Tahoma"/>
            <family val="2"/>
          </rPr>
          <t xml:space="preserve">
100 MW parabolic trough plant with 6 hours of storage</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E27" authorId="0">
      <text>
        <r>
          <rPr>
            <b/>
            <sz val="9"/>
            <color indexed="81"/>
            <rFont val="Tahoma"/>
            <family val="2"/>
          </rPr>
          <t>Max:</t>
        </r>
        <r>
          <rPr>
            <sz val="9"/>
            <color indexed="81"/>
            <rFont val="Tahoma"/>
            <family val="2"/>
          </rPr>
          <t xml:space="preserve">
direct CIM; Another 5 is indirect manufacturing
</t>
        </r>
      </text>
    </comment>
    <comment ref="F27" authorId="0">
      <text>
        <r>
          <rPr>
            <b/>
            <sz val="9"/>
            <color indexed="81"/>
            <rFont val="Tahoma"/>
            <family val="2"/>
          </rPr>
          <t>Max:</t>
        </r>
        <r>
          <rPr>
            <sz val="9"/>
            <color indexed="81"/>
            <rFont val="Tahoma"/>
            <family val="2"/>
          </rPr>
          <t xml:space="preserve">
includes 0.07 jobs/MWp for consultants, researchers, financial services</t>
        </r>
      </text>
    </comment>
    <comment ref="E28" authorId="0">
      <text>
        <r>
          <rPr>
            <b/>
            <sz val="9"/>
            <color indexed="81"/>
            <rFont val="Tahoma"/>
            <family val="2"/>
          </rPr>
          <t>Max:</t>
        </r>
        <r>
          <rPr>
            <sz val="9"/>
            <color indexed="81"/>
            <rFont val="Tahoma"/>
            <family val="2"/>
          </rPr>
          <t xml:space="preserve">
direct CIM; Another 5 is indirect manufacturing
</t>
        </r>
      </text>
    </comment>
    <comment ref="C32" authorId="0">
      <text>
        <r>
          <rPr>
            <b/>
            <sz val="9"/>
            <color indexed="81"/>
            <rFont val="Tahoma"/>
            <family val="2"/>
          </rPr>
          <t>Max:</t>
        </r>
        <r>
          <rPr>
            <sz val="9"/>
            <color indexed="81"/>
            <rFont val="Tahoma"/>
            <family val="2"/>
          </rPr>
          <t xml:space="preserve">
take same as Coal</t>
        </r>
      </text>
    </comment>
    <comment ref="C34" authorId="0">
      <text>
        <r>
          <rPr>
            <b/>
            <sz val="9"/>
            <color indexed="81"/>
            <rFont val="Tahoma"/>
            <family val="2"/>
          </rPr>
          <t>Max:</t>
        </r>
        <r>
          <rPr>
            <sz val="9"/>
            <color indexed="81"/>
            <rFont val="Tahoma"/>
            <family val="2"/>
          </rPr>
          <t xml:space="preserve">
kammen 08
</t>
        </r>
      </text>
    </comment>
    <comment ref="C35" authorId="0">
      <text>
        <r>
          <rPr>
            <b/>
            <sz val="9"/>
            <color indexed="81"/>
            <rFont val="Tahoma"/>
            <family val="2"/>
          </rPr>
          <t>Max:</t>
        </r>
        <r>
          <rPr>
            <sz val="9"/>
            <color indexed="81"/>
            <rFont val="Tahoma"/>
            <family val="2"/>
          </rPr>
          <t xml:space="preserve">
page 15
Also Kammen08 ref</t>
        </r>
      </text>
    </comment>
    <comment ref="F35" authorId="0">
      <text>
        <r>
          <rPr>
            <b/>
            <sz val="9"/>
            <color indexed="81"/>
            <rFont val="Tahoma"/>
            <family val="2"/>
          </rPr>
          <t>Max:</t>
        </r>
        <r>
          <rPr>
            <sz val="9"/>
            <color indexed="81"/>
            <rFont val="Tahoma"/>
            <family val="2"/>
          </rPr>
          <t xml:space="preserve">
Non-Fuel O&amp;M only
</t>
        </r>
      </text>
    </comment>
    <comment ref="C36"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<sst xmlns="http://schemas.openxmlformats.org/spreadsheetml/2006/main" count="1320" uniqueCount="760">
  <si>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</si>
  <si>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</si>
  <si>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</si>
  <si>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</si>
  <si>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</si>
  <si>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</si>
  <si>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</si>
  <si>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</si>
  <si>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</si>
  <si>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</si>
  <si>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</si>
  <si>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</si>
  <si>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</si>
  <si>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</si>
  <si>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</si>
  <si>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</si>
  <si>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</si>
  <si>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</si>
  <si>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</si>
  <si>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</si>
  <si>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</si>
  <si>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</si>
  <si>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</si>
  <si>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</si>
  <si>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</si>
  <si>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</si>
  <si>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</si>
  <si>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</si>
  <si>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</si>
  <si>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</si>
  <si>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</si>
  <si>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</si>
  <si>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</si>
  <si>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</si>
  <si>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</si>
  <si>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</si>
  <si>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</si>
  <si>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</si>
  <si>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</si>
  <si>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</si>
  <si>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</si>
  <si>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</si>
  <si>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</si>
  <si>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</si>
  <si>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</si>
  <si>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</si>
  <si>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</si>
  <si>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</si>
  <si>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</si>
  <si>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</si>
  <si>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</si>
  <si>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</si>
  <si>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</si>
  <si>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</si>
  <si>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</si>
  <si>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</si>
  <si>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</si>
  <si>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</si>
  <si>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</si>
  <si>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</si>
  <si>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</si>
  <si>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</si>
  <si>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</si>
  <si>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</si>
  <si>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</si>
  <si>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</si>
  <si>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</si>
  <si>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</si>
  <si>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</si>
  <si>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</si>
  <si>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</si>
  <si>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</si>
  <si>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</si>
  <si>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</si>
  <si>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</si>
  <si>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</si>
  <si>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</si>
  <si>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</si>
  <si>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</si>
  <si>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</si>
  <si>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</si>
  <si>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</si>
  <si>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</si>
  <si>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</si>
  <si>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</si>
  <si>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</si>
  <si>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</si>
  <si>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</si>
  <si>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</si>
  <si>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</si>
  <si>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</si>
  <si>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</si>
  <si>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</si>
  <si>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</si>
  <si>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</si>
  <si>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</si>
  <si>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</si>
  <si>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</si>
  <si>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</si>
  <si>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</si>
  <si>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</si>
  <si>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</si>
  <si>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</si>
  <si>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</si>
  <si>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</si>
  <si>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</si>
  <si>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</si>
  <si>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</si>
  <si>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</si>
  <si>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</si>
  <si>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</si>
  <si>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</si>
  <si>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</si>
  <si>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</si>
  <si>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</si>
  <si>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</si>
  <si>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</si>
  <si>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</si>
  <si>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</si>
  <si>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</si>
  <si>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</si>
  <si>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</si>
  <si>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</si>
  <si>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</si>
  <si>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</si>
  <si>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</si>
  <si>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</si>
  <si>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</si>
  <si>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</si>
  <si>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</si>
  <si>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</si>
  <si>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</si>
  <si>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</si>
  <si>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</si>
  <si>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</si>
  <si>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</si>
  <si>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</si>
  <si>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</si>
  <si>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</si>
  <si>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</si>
  <si>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</si>
  <si>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</si>
  <si>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</si>
  <si>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</si>
  <si>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</si>
  <si>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</si>
  <si>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</si>
  <si>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</si>
  <si>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</si>
  <si>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</si>
  <si>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</si>
  <si>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</si>
  <si>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</si>
  <si>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</si>
  <si>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</si>
  <si>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</si>
  <si>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</si>
  <si>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</si>
  <si>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</si>
  <si>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</si>
  <si>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</si>
  <si>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</si>
  <si>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</si>
  <si>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</si>
  <si>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</si>
  <si>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</si>
  <si>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</si>
  <si>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</si>
  <si>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</si>
  <si>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</si>
  <si>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</si>
  <si>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</si>
  <si>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</si>
  <si>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</si>
  <si>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</si>
  <si>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</si>
  <si>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</si>
  <si>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</si>
  <si>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</si>
  <si>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</si>
  <si>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</si>
  <si>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</si>
  <si>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</si>
  <si>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</si>
  <si>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</si>
  <si>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</si>
  <si>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</si>
  <si>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</si>
  <si>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</si>
  <si>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</si>
  <si>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</si>
  <si>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</si>
  <si>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</si>
  <si>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</si>
  <si>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</si>
  <si>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</si>
  <si>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</si>
  <si>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</si>
  <si>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</si>
  <si>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</si>
  <si>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</si>
  <si>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</si>
  <si>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</si>
  <si>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</si>
  <si>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</si>
  <si>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</si>
  <si>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</si>
  <si>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</si>
  <si>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</si>
  <si>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</si>
  <si>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</si>
  <si>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</si>
  <si>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</si>
  <si>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</si>
  <si>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</si>
  <si>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</si>
  <si>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</si>
  <si>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</si>
  <si>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</si>
  <si>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</si>
  <si>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</si>
  <si>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</si>
  <si>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</si>
  <si>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</si>
  <si>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</si>
  <si>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</si>
  <si>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</si>
  <si>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</si>
  <si>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</si>
  <si>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</si>
  <si>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</si>
  <si>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</si>
  <si>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</si>
  <si>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</si>
  <si>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</si>
  <si>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</si>
  <si>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</si>
  <si>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</si>
  <si>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</si>
  <si>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</si>
  <si>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</si>
  <si>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</si>
  <si>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</si>
  <si>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</si>
  <si>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</si>
  <si>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</si>
  <si>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</si>
  <si>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</si>
  <si>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</si>
  <si>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</si>
  <si>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</si>
  <si>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</si>
  <si>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</si>
  <si>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</si>
  <si>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</si>
  <si>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</si>
  <si>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</si>
  <si>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</si>
  <si>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</si>
  <si>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</si>
  <si>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</si>
  <si>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</si>
  <si>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</si>
  <si>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</si>
  <si>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</si>
  <si>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</si>
  <si>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</si>
  <si>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</si>
  <si>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</si>
  <si>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</si>
  <si>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</si>
  <si>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</si>
  <si>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</si>
  <si>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</si>
  <si>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</si>
  <si>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</si>
  <si>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</si>
  <si>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</si>
  <si>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</si>
  <si>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</si>
  <si>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</si>
  <si>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</si>
  <si>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</si>
  <si>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</si>
  <si>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</si>
  <si>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</si>
  <si>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</si>
  <si>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</si>
  <si>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</si>
  <si>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</si>
  <si>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</si>
  <si>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</si>
  <si>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</si>
  <si>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</si>
  <si>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</si>
  <si>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</si>
  <si>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</si>
  <si>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</si>
  <si>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</si>
  <si>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</si>
  <si>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</si>
  <si>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</si>
  <si>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</si>
  <si>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</si>
  <si>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</si>
  <si>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</si>
  <si>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</si>
  <si>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</si>
  <si>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</si>
  <si>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</si>
  <si>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</si>
  <si>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</si>
  <si>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</si>
  <si>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</si>
  <si>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</si>
  <si>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</si>
  <si>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</si>
  <si>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</si>
  <si>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</si>
  <si>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</si>
  <si>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</si>
  <si>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</si>
  <si>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</si>
  <si>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</si>
  <si>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</si>
  <si>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</si>
  <si>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</si>
  <si>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</si>
  <si>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</si>
  <si>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</si>
  <si>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</si>
  <si>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</si>
  <si>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</si>
  <si>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</si>
  <si>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</si>
  <si>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</si>
  <si>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</si>
  <si>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</si>
  <si>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</si>
  <si>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</si>
  <si>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</si>
  <si>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</si>
  <si>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</si>
  <si>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</si>
  <si>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</si>
  <si>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</si>
  <si>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</si>
  <si>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</si>
  <si>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</si>
  <si>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</si>
  <si>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</si>
  <si>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</si>
  <si>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</si>
  <si>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</si>
  <si>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</si>
  <si>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</si>
  <si>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</si>
  <si>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</si>
  <si>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</si>
  <si>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</si>
  <si>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</si>
  <si>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</si>
  <si>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</si>
  <si>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</si>
  <si>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</si>
  <si>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</si>
  <si>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</si>
  <si>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</si>
  <si>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</si>
  <si>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</si>
  <si>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</si>
  <si>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</si>
  <si>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</si>
  <si>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</si>
  <si>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</si>
  <si>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</si>
  <si>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</si>
  <si>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</si>
  <si>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</si>
  <si>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</si>
  <si>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</si>
  <si>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</si>
  <si>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</si>
  <si>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</si>
  <si>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</si>
  <si>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</si>
  <si>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</si>
  <si>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</si>
  <si>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</si>
  <si>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</si>
  <si>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</si>
  <si>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</si>
  <si>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</si>
  <si>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</si>
  <si>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</si>
  <si>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</si>
  <si>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</si>
  <si>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</si>
  <si>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</si>
  <si>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</si>
  <si>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</si>
  <si>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</si>
  <si>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</si>
  <si>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</si>
  <si>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</si>
  <si>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</si>
  <si>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</si>
  <si>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</si>
  <si>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</si>
  <si>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</si>
  <si>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</si>
  <si>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</si>
  <si>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</si>
  <si>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</si>
  <si>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</si>
  <si>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</si>
  <si>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</si>
  <si>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</si>
  <si>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</si>
  <si>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</si>
  <si>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</si>
  <si>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</si>
  <si>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</si>
  <si>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</si>
  <si>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</si>
  <si>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</si>
  <si>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</si>
  <si>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</si>
  <si>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</si>
  <si>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</si>
  <si>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</si>
  <si>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</si>
  <si>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</si>
  <si>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</si>
  <si>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</si>
  <si>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</si>
  <si>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</si>
  <si>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</si>
  <si>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</si>
  <si>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</si>
  <si>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</si>
  <si>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</si>
  <si>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</si>
  <si>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</si>
  <si>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</si>
  <si>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</si>
  <si>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</si>
  <si>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</si>
  <si>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</si>
  <si>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</si>
  <si>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</si>
  <si>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</si>
  <si>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</si>
  <si>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</si>
  <si>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</si>
  <si>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</si>
  <si>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</si>
  <si>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</si>
  <si>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</si>
  <si>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</si>
  <si>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</si>
  <si>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</si>
  <si>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</si>
  <si>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</si>
  <si>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</si>
  <si>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</si>
  <si>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</si>
  <si>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</si>
  <si>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</si>
  <si>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</si>
  <si>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</si>
  <si>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</si>
  <si>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</si>
  <si>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</si>
  <si>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</si>
  <si>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</si>
  <si>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</si>
  <si>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</si>
  <si>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</si>
  <si>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</si>
  <si>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</si>
  <si>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</si>
  <si>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</si>
  <si>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</si>
  <si>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</si>
  <si>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</si>
  <si>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</si>
  <si>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</si>
  <si>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</si>
  <si>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</si>
  <si>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</si>
  <si>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</si>
  <si>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</si>
  <si>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</si>
  <si>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</si>
  <si>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</si>
  <si>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</si>
  <si>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</si>
  <si>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</si>
  <si>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</si>
  <si>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</si>
  <si>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</si>
  <si>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</si>
  <si>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</si>
  <si>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</si>
  <si>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</si>
  <si>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</si>
  <si>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</si>
  <si>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</si>
  <si>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</si>
  <si>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</si>
  <si>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</si>
  <si>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</si>
  <si>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</si>
  <si>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</si>
  <si>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</si>
  <si>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</si>
  <si>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</si>
  <si>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</si>
  <si>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</si>
  <si>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</si>
  <si>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</si>
  <si>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</si>
  <si>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</si>
  <si>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</si>
  <si>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</si>
  <si>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</si>
  <si>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</si>
  <si>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</si>
  <si>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</si>
  <si>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</si>
  <si>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</si>
  <si>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</si>
  <si>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</si>
  <si>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</si>
  <si>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</si>
  <si>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</si>
  <si>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</si>
  <si>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</si>
  <si>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</si>
  <si>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</si>
  <si>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</si>
  <si>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</si>
  <si>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</si>
  <si>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</si>
  <si>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</si>
  <si>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</si>
  <si>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</si>
  <si>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</si>
  <si>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</si>
  <si>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</si>
  <si>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</si>
  <si>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</si>
  <si>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</si>
  <si>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</si>
  <si>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</si>
  <si>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</si>
  <si>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</si>
  <si>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</si>
  <si>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</si>
  <si>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</si>
  <si>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</si>
  <si>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</si>
  <si>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</si>
  <si>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</si>
  <si>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</si>
  <si>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</si>
  <si>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</si>
  <si>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</si>
  <si>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</si>
  <si>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</si>
  <si>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</si>
  <si>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</si>
  <si>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</si>
  <si>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</si>
  <si>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</si>
  <si>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</si>
  <si>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</si>
  <si>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</si>
  <si>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</si>
  <si>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</si>
  <si>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</si>
  <si>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</si>
  <si>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</si>
  <si>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</si>
  <si>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</si>
  <si>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</si>
  <si>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</si>
  <si>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</si>
  <si>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</si>
  <si>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</si>
  <si>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</si>
  <si>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</si>
  <si>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</si>
  <si>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</si>
  <si>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</si>
  <si>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</si>
  <si>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</si>
  <si>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</si>
  <si>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</si>
  <si>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</si>
  <si>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</si>
  <si>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</si>
  <si>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</si>
  <si>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</si>
  <si>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</si>
  <si>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</si>
  <si>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</si>
  <si>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</si>
  <si>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</si>
  <si>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</si>
  <si>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</si>
  <si>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</si>
  <si>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</si>
  <si>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</si>
  <si>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</si>
  <si>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</si>
  <si>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</si>
  <si>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</si>
  <si>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</si>
  <si>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</si>
  <si>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</si>
  <si>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</si>
  <si>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</si>
  <si>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</si>
  <si>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</si>
  <si>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</si>
  <si>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</si>
  <si>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</si>
  <si>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</si>
  <si>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</si>
  <si>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</si>
  <si>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</si>
  <si>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</si>
  <si>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</si>
  <si>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</si>
  <si>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</si>
  <si>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</si>
  <si>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</si>
  <si>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</si>
  <si>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</si>
  <si>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</si>
  <si>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</si>
  <si>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</si>
  <si>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</si>
  <si>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</si>
  <si>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</si>
  <si>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</si>
  <si>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</si>
  <si>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</si>
  <si>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</si>
  <si>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</si>
  <si>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</si>
  <si>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</si>
  <si>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</si>
  <si>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</si>
  <si>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</si>
  <si>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</si>
  <si>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</si>
  <si>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</si>
  <si>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</si>
  <si>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</si>
  <si>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</si>
  <si>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</si>
  <si>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</si>
  <si>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</si>
  <si>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</si>
  <si>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</si>
  <si>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</si>
  <si>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</si>
  <si>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</si>
  <si>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</si>
  <si>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</si>
  <si>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</si>
  <si>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</si>
  <si>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</si>
  <si>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</si>
  <si>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</si>
  <si>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</si>
  <si>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</si>
  <si>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</si>
  <si>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</si>
  <si>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</si>
  <si>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</si>
  <si>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</si>
  <si>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</si>
  <si>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</si>
  <si>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</si>
  <si>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</si>
  <si>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</si>
  <si>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</si>
  <si>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</si>
  <si>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</si>
  <si>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</si>
  <si>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</si>
  <si>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</si>
  <si>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</si>
  <si>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</si>
  <si>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</si>
  <si>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</si>
  <si>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</si>
  <si>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</si>
  <si>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</si>
  <si>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</si>
  <si>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</si>
  <si>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</si>
  <si>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</si>
  <si>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</si>
  <si>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</si>
  <si>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</si>
  <si>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</si>
  <si>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</si>
  <si>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</si>
  <si>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</si>
  <si>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</si>
  <si>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</si>
  <si>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</si>
  <si>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</si>
  <si>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</si>
  <si>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</si>
  <si>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</si>
  <si>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</si>
  <si>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</si>
  <si>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</si>
  <si>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</si>
  <si>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</si>
  <si>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</si>
  <si>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</si>
  <si>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</si>
  <si>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</si>
  <si>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</si>
  <si>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</si>
  <si>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</si>
  <si>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</si>
  <si>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</si>
  <si>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</si>
  <si>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</si>
  <si>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</si>
  <si>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</si>
  <si>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</si>
  <si>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</si>
  <si>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Generation from EIA Midwest region from EIA</t>
  </si>
  <si>
    <t xml:space="preserve">    Natural Ga0</t>
  </si>
  <si>
    <t>Wood/Wood Wa0te</t>
  </si>
  <si>
    <t>Fossil</t>
  </si>
  <si>
    <t xml:space="preserve">    Other Gase0</t>
  </si>
  <si>
    <t>Pumped storage</t>
  </si>
  <si>
    <t>Energy source</t>
  </si>
  <si>
    <t>MSW Biogenic/Landfill Ga0</t>
  </si>
  <si>
    <t>Other Biomass0</t>
  </si>
  <si>
    <t>Total Electricity Generation by Fuel from EIA for Pacific</t>
  </si>
  <si>
    <t>Total Electricity Generation by Fuel by computation for Idaho</t>
  </si>
  <si>
    <t>Contribution of Idaho</t>
  </si>
  <si>
    <t>Proportion for Idaho</t>
  </si>
  <si>
    <t>Solar PV 2015</t>
  </si>
  <si>
    <t>Solar Foundation 2014</t>
  </si>
  <si>
    <t>Average Employment Over Life of Facility</t>
  </si>
  <si>
    <t>CIM (person-years/
MWp)</t>
  </si>
  <si>
    <t>O&amp;M (jobs/
MWp)</t>
  </si>
  <si>
    <t>O&amp;M and fuel process-
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</si>
</sst>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2"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style="thin">
        <color auto="1"/>
      </left>
      <right/>
      <top style="medium">
        <color auto="1"/>
      </top>
      <bottom style="thin">
        <color auto="1"/>
      </bottom>
      <diagonal/>
    </border>
    <border>
      <left/>
      <right/>
      <top style="medium">
        <color auto="1"/>
      </top>
      <bottom style="thin">
        <color auto="1"/>
      </bottom>
      <diagonal/>
    </border>
    <border>
      <left/>
      <right/>
      <top/>
      <bottom style="double">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4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2">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25"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25"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 fillId="0" borderId="0" xfId="6" applyFont="1" applyBorder="1"/>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32" xfId="0" applyFont="1" applyFill="1" applyBorder="1" applyAlignment="1">
      <alignment wrapText="1"/>
    </xf>
    <xf numFmtId="10" fontId="28" fillId="2" borderId="32" xfId="0" applyNumberFormat="1" applyFont="1" applyFill="1" applyBorder="1" applyAlignment="1">
      <alignment wrapText="1"/>
    </xf>
    <xf numFmtId="0" fontId="33" fillId="2" borderId="32" xfId="0" applyFont="1" applyFill="1" applyBorder="1" applyAlignment="1">
      <alignment wrapText="1"/>
    </xf>
    <xf numFmtId="10" fontId="33" fillId="2" borderId="32"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35"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32" xfId="0" applyFont="1" applyBorder="1" applyAlignment="1">
      <alignment wrapText="1"/>
    </xf>
    <xf numFmtId="0" fontId="33" fillId="0" borderId="32"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31" xfId="0" applyNumberFormat="1" applyFont="1" applyFill="1" applyBorder="1" applyAlignment="1">
      <alignment horizontal="right" vertical="center"/>
    </xf>
    <xf numFmtId="2" fontId="43" fillId="2" borderId="34" xfId="0" applyNumberFormat="1" applyFont="1" applyFill="1" applyBorder="1" applyAlignment="1">
      <alignment horizontal="right" vertical="center"/>
    </xf>
    <xf numFmtId="2" fontId="2" fillId="2" borderId="0" xfId="4" applyNumberFormat="1" applyFont="1" applyFill="1" applyProtection="1"/>
    <xf numFmtId="0" fontId="43" fillId="0" borderId="35" xfId="0" applyFont="1" applyBorder="1" applyAlignment="1">
      <alignment horizontal="left" vertical="center"/>
    </xf>
    <xf numFmtId="0" fontId="44" fillId="0" borderId="0" xfId="0" applyFont="1" applyAlignment="1">
      <alignment horizontal="left" vertical="center"/>
    </xf>
    <xf numFmtId="0" fontId="0" fillId="0" borderId="32"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31" xfId="0" applyFont="1" applyBorder="1" applyAlignment="1">
      <alignment horizontal="left" vertical="center"/>
    </xf>
    <xf numFmtId="0" fontId="43" fillId="0" borderId="33" xfId="0" applyFont="1" applyBorder="1" applyAlignment="1">
      <alignment horizontal="left" vertical="center"/>
    </xf>
    <xf numFmtId="0" fontId="43" fillId="0" borderId="34"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0" borderId="0" xfId="0" applyFont="1" applyAlignment="1">
      <alignment wrapText="1"/>
    </xf>
    <xf numFmtId="168" fontId="28" fillId="2" borderId="32" xfId="0" applyNumberFormat="1" applyFont="1" applyFill="1" applyBorder="1" applyAlignment="1">
      <alignment wrapText="1"/>
    </xf>
    <xf numFmtId="0" fontId="1" fillId="0" borderId="0" xfId="0" applyFont="1"/>
    <xf numFmtId="2" fontId="1" fillId="0" borderId="0" xfId="0" applyNumberFormat="1" applyFont="1"/>
    <xf numFmtId="0" fontId="15" fillId="5" borderId="14" xfId="6" applyFont="1" applyFill="1" applyBorder="1" applyAlignment="1">
      <alignment horizontal="center" vertical="center" wrapText="1"/>
    </xf>
    <xf numFmtId="0" fontId="15" fillId="5" borderId="40" xfId="6" applyFont="1" applyFill="1" applyBorder="1" applyAlignment="1">
      <alignment horizontal="center" vertical="center" wrapText="1"/>
    </xf>
    <xf numFmtId="0" fontId="15" fillId="5" borderId="28" xfId="6" applyFont="1" applyFill="1" applyBorder="1" applyAlignment="1">
      <alignment horizontal="center" vertical="center" wrapText="1"/>
    </xf>
    <xf numFmtId="0" fontId="15" fillId="5" borderId="41" xfId="6" applyFont="1" applyFill="1" applyBorder="1" applyAlignment="1">
      <alignment horizontal="center" vertical="center" wrapText="1"/>
    </xf>
    <xf numFmtId="0" fontId="15" fillId="5" borderId="42" xfId="6"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4"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2" fontId="14" fillId="0" borderId="45" xfId="6" applyNumberFormat="1" applyFont="1" applyFill="1" applyBorder="1" applyAlignment="1">
      <alignment horizontal="center" vertical="center" wrapText="1"/>
    </xf>
    <xf numFmtId="2" fontId="14" fillId="0" borderId="44" xfId="6" applyNumberFormat="1" applyFont="1" applyFill="1" applyBorder="1" applyAlignment="1">
      <alignment horizontal="center" vertical="center" wrapText="1"/>
    </xf>
    <xf numFmtId="2" fontId="14" fillId="0" borderId="46" xfId="6" applyNumberFormat="1" applyFont="1" applyFill="1" applyBorder="1" applyAlignment="1">
      <alignment horizontal="center" vertical="center" wrapText="1"/>
    </xf>
    <xf numFmtId="0" fontId="14" fillId="0" borderId="47" xfId="6" applyFont="1" applyFill="1" applyBorder="1" applyAlignment="1">
      <alignment horizontal="center" vertical="center" wrapText="1"/>
    </xf>
    <xf numFmtId="9" fontId="14" fillId="0" borderId="47" xfId="6" quotePrefix="1" applyNumberFormat="1" applyFont="1" applyFill="1" applyBorder="1" applyAlignment="1">
      <alignment horizontal="center" vertical="center" wrapText="1"/>
    </xf>
    <xf numFmtId="1" fontId="14" fillId="0" borderId="47" xfId="6" applyNumberFormat="1" applyFont="1" applyFill="1" applyBorder="1" applyAlignment="1">
      <alignment horizontal="center" vertical="center" wrapText="1"/>
    </xf>
    <xf numFmtId="2" fontId="14" fillId="0" borderId="47" xfId="6"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2" fontId="14" fillId="0" borderId="50" xfId="6" applyNumberFormat="1" applyFont="1" applyFill="1" applyBorder="1" applyAlignment="1">
      <alignment horizontal="center" vertical="center" wrapText="1"/>
    </xf>
    <xf numFmtId="0" fontId="14" fillId="0" borderId="51" xfId="6" applyFont="1" applyBorder="1" applyAlignment="1">
      <alignment horizontal="center" vertical="center" wrapText="1"/>
    </xf>
    <xf numFmtId="9" fontId="14" fillId="0" borderId="51" xfId="6" applyNumberFormat="1" applyFont="1" applyBorder="1" applyAlignment="1">
      <alignment horizontal="center" vertical="center" wrapText="1"/>
    </xf>
    <xf numFmtId="1" fontId="14" fillId="0" borderId="51" xfId="6" applyNumberFormat="1" applyFont="1" applyBorder="1" applyAlignment="1">
      <alignment horizontal="center" vertical="center" wrapText="1"/>
    </xf>
    <xf numFmtId="2" fontId="14" fillId="0" borderId="51" xfId="6" applyNumberFormat="1" applyFont="1" applyBorder="1" applyAlignment="1">
      <alignment horizontal="center" vertical="center" wrapText="1"/>
    </xf>
    <xf numFmtId="2" fontId="14" fillId="0" borderId="27"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27" xfId="6" applyNumberFormat="1" applyFont="1" applyFill="1" applyBorder="1" applyAlignment="1">
      <alignment horizontal="center" vertical="center" wrapText="1"/>
    </xf>
    <xf numFmtId="2" fontId="14" fillId="0" borderId="52" xfId="6" applyNumberFormat="1" applyFont="1" applyFill="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2" fontId="14" fillId="0" borderId="16" xfId="6" applyNumberFormat="1" applyFont="1" applyBorder="1" applyAlignment="1">
      <alignment horizontal="center" vertical="center" wrapText="1"/>
    </xf>
    <xf numFmtId="2" fontId="14" fillId="0" borderId="20" xfId="6" applyNumberFormat="1" applyFont="1" applyBorder="1" applyAlignment="1">
      <alignment horizontal="center" vertical="center" wrapText="1"/>
    </xf>
    <xf numFmtId="2" fontId="14" fillId="0" borderId="19" xfId="6" applyNumberFormat="1" applyFont="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0" fontId="14" fillId="0" borderId="29" xfId="6" applyFont="1" applyBorder="1" applyAlignment="1">
      <alignment horizontal="center" vertical="center" wrapText="1"/>
    </xf>
    <xf numFmtId="9" fontId="14" fillId="0" borderId="29" xfId="6" applyNumberFormat="1" applyFont="1" applyBorder="1" applyAlignment="1">
      <alignment horizontal="center" vertical="center" wrapText="1"/>
    </xf>
    <xf numFmtId="1" fontId="14" fillId="0" borderId="29" xfId="6" applyNumberFormat="1" applyFont="1" applyBorder="1" applyAlignment="1">
      <alignment horizontal="center" vertical="center" wrapText="1"/>
    </xf>
    <xf numFmtId="2" fontId="14" fillId="0" borderId="29" xfId="6" applyNumberFormat="1" applyFont="1" applyBorder="1" applyAlignment="1">
      <alignment horizontal="center" vertical="center" wrapText="1"/>
    </xf>
    <xf numFmtId="2" fontId="14" fillId="0" borderId="13" xfId="6" applyNumberFormat="1" applyFont="1" applyBorder="1" applyAlignment="1">
      <alignment horizontal="center" vertical="center" wrapText="1"/>
    </xf>
    <xf numFmtId="2" fontId="14" fillId="0" borderId="53" xfId="6" applyNumberFormat="1" applyFont="1" applyBorder="1" applyAlignment="1">
      <alignment horizontal="center" vertical="center" wrapText="1"/>
    </xf>
    <xf numFmtId="2" fontId="14" fillId="0" borderId="29"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30" xfId="6" applyNumberFormat="1" applyFont="1" applyFill="1" applyBorder="1" applyAlignment="1">
      <alignment horizontal="center" vertical="center" wrapText="1"/>
    </xf>
    <xf numFmtId="0" fontId="14" fillId="0" borderId="54" xfId="6" applyFont="1" applyBorder="1" applyAlignment="1">
      <alignment horizontal="center" vertical="center" wrapText="1"/>
    </xf>
    <xf numFmtId="9" fontId="14" fillId="0" borderId="54" xfId="6" applyNumberFormat="1" applyFont="1" applyBorder="1" applyAlignment="1">
      <alignment horizontal="center" vertical="center" wrapText="1"/>
    </xf>
    <xf numFmtId="1" fontId="14" fillId="0" borderId="54" xfId="6" applyNumberFormat="1" applyFont="1" applyBorder="1" applyAlignment="1">
      <alignment horizontal="center" vertical="center" wrapText="1"/>
    </xf>
    <xf numFmtId="2" fontId="14" fillId="0" borderId="54" xfId="6" applyNumberFormat="1" applyFont="1" applyBorder="1" applyAlignment="1">
      <alignment horizontal="center" vertical="center" wrapText="1"/>
    </xf>
    <xf numFmtId="2" fontId="14" fillId="0" borderId="55" xfId="6" applyNumberFormat="1" applyFont="1" applyBorder="1" applyAlignment="1">
      <alignment horizontal="center" vertical="center" wrapText="1"/>
    </xf>
    <xf numFmtId="2" fontId="14" fillId="0" borderId="56" xfId="6" applyNumberFormat="1" applyFont="1" applyBorder="1" applyAlignment="1">
      <alignment horizontal="center" vertical="center" wrapText="1"/>
    </xf>
    <xf numFmtId="2" fontId="14" fillId="0" borderId="54" xfId="6" applyNumberFormat="1" applyFont="1" applyFill="1" applyBorder="1" applyAlignment="1">
      <alignment horizontal="center" vertical="center" wrapText="1"/>
    </xf>
    <xf numFmtId="2" fontId="14" fillId="0" borderId="55" xfId="6" applyNumberFormat="1" applyFont="1" applyFill="1" applyBorder="1" applyAlignment="1">
      <alignment horizontal="center" vertical="center" wrapText="1"/>
    </xf>
    <xf numFmtId="2" fontId="14" fillId="0" borderId="57" xfId="6" applyNumberFormat="1" applyFont="1" applyFill="1" applyBorder="1" applyAlignment="1">
      <alignment horizontal="center" vertical="center" wrapText="1"/>
    </xf>
    <xf numFmtId="0" fontId="14" fillId="0" borderId="51" xfId="4" applyFont="1" applyBorder="1" applyAlignment="1">
      <alignment horizontal="center" vertical="center" wrapText="1"/>
    </xf>
    <xf numFmtId="9" fontId="14" fillId="0" borderId="51" xfId="4" applyNumberFormat="1" applyFont="1" applyFill="1" applyBorder="1" applyAlignment="1">
      <alignment horizontal="center" vertical="center" wrapText="1"/>
    </xf>
    <xf numFmtId="1" fontId="14" fillId="0" borderId="51" xfId="4" applyNumberFormat="1" applyFont="1" applyBorder="1" applyAlignment="1">
      <alignment horizontal="center" vertical="center" wrapText="1"/>
    </xf>
    <xf numFmtId="2" fontId="14" fillId="0" borderId="51" xfId="4" applyNumberFormat="1" applyFont="1" applyBorder="1" applyAlignment="1">
      <alignment horizontal="center" vertical="center" wrapText="1"/>
    </xf>
    <xf numFmtId="2" fontId="14" fillId="0" borderId="27" xfId="4" applyNumberFormat="1" applyFont="1" applyBorder="1" applyAlignment="1">
      <alignment horizontal="center" vertical="center" wrapText="1"/>
    </xf>
    <xf numFmtId="2" fontId="14" fillId="0" borderId="26" xfId="4" applyNumberFormat="1" applyFont="1" applyFill="1" applyBorder="1" applyAlignment="1">
      <alignment horizontal="center" vertical="center" wrapText="1"/>
    </xf>
    <xf numFmtId="2" fontId="14" fillId="0" borderId="51" xfId="4" applyNumberFormat="1" applyFont="1" applyFill="1" applyBorder="1" applyAlignment="1">
      <alignment horizontal="center" vertical="center" wrapText="1"/>
    </xf>
    <xf numFmtId="2" fontId="14" fillId="0" borderId="27" xfId="4" applyNumberFormat="1" applyFont="1" applyFill="1" applyBorder="1" applyAlignment="1">
      <alignment horizontal="center" vertical="center" wrapText="1"/>
    </xf>
    <xf numFmtId="2" fontId="14" fillId="0" borderId="52" xfId="4" applyNumberFormat="1" applyFont="1" applyFill="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38" xfId="4" applyNumberFormat="1" applyFont="1" applyFill="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29" xfId="4" applyNumberFormat="1" applyFont="1" applyBorder="1" applyAlignment="1">
      <alignment horizontal="center" vertical="center" wrapText="1"/>
    </xf>
    <xf numFmtId="2" fontId="14" fillId="0" borderId="30" xfId="6" applyNumberFormat="1" applyFont="1" applyBorder="1" applyAlignment="1">
      <alignment horizontal="center" vertical="center" wrapText="1"/>
    </xf>
    <xf numFmtId="9" fontId="14" fillId="0" borderId="51" xfId="6" applyNumberFormat="1" applyFont="1" applyFill="1" applyBorder="1" applyAlignment="1">
      <alignment horizontal="center" vertical="center" wrapText="1"/>
    </xf>
    <xf numFmtId="0" fontId="14" fillId="0" borderId="16" xfId="6" applyFont="1" applyFill="1" applyBorder="1" applyAlignment="1">
      <alignment horizontal="center" vertical="center" wrapText="1"/>
    </xf>
    <xf numFmtId="9" fontId="14" fillId="0" borderId="16" xfId="6" applyNumberFormat="1"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9" xfId="6" applyNumberFormat="1" applyFont="1" applyFill="1" applyBorder="1" applyAlignment="1">
      <alignment horizontal="center" vertical="center" wrapText="1"/>
    </xf>
    <xf numFmtId="0" fontId="14" fillId="0" borderId="29" xfId="6" applyFont="1" applyFill="1" applyBorder="1" applyAlignment="1">
      <alignment horizontal="center" vertical="center" wrapText="1"/>
    </xf>
    <xf numFmtId="9" fontId="14" fillId="0" borderId="29" xfId="6" applyNumberFormat="1" applyFont="1" applyFill="1" applyBorder="1" applyAlignment="1">
      <alignment horizontal="center" vertical="center" wrapText="1"/>
    </xf>
    <xf numFmtId="2" fontId="14" fillId="0" borderId="53" xfId="6" applyNumberFormat="1" applyFont="1" applyFill="1" applyBorder="1" applyAlignment="1">
      <alignment horizontal="center" vertical="center" wrapText="1"/>
    </xf>
    <xf numFmtId="0" fontId="14" fillId="0" borderId="51" xfId="6"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1" fontId="14" fillId="0" borderId="29" xfId="6" applyNumberFormat="1" applyFont="1" applyFill="1" applyBorder="1" applyAlignment="1">
      <alignment horizontal="center" vertical="center" wrapText="1"/>
    </xf>
    <xf numFmtId="2" fontId="14" fillId="0" borderId="56" xfId="6" applyNumberFormat="1" applyFont="1" applyFill="1" applyBorder="1" applyAlignment="1">
      <alignment horizontal="center" vertical="center" wrapText="1"/>
    </xf>
    <xf numFmtId="0" fontId="14" fillId="0" borderId="54" xfId="6" applyFont="1" applyFill="1" applyBorder="1" applyAlignment="1">
      <alignment horizontal="center" vertical="center" wrapText="1"/>
    </xf>
    <xf numFmtId="9" fontId="14" fillId="0" borderId="54" xfId="6" applyNumberFormat="1" applyFont="1" applyFill="1" applyBorder="1" applyAlignment="1">
      <alignment horizontal="center" vertical="center" wrapText="1"/>
    </xf>
    <xf numFmtId="1" fontId="14" fillId="0" borderId="54" xfId="6" applyNumberFormat="1" applyFont="1" applyFill="1" applyBorder="1" applyAlignment="1">
      <alignment horizontal="center" vertical="center" wrapText="1"/>
    </xf>
    <xf numFmtId="0" fontId="14" fillId="0" borderId="15" xfId="6" applyFont="1" applyFill="1" applyBorder="1" applyAlignment="1">
      <alignment horizontal="center" vertical="center" wrapText="1"/>
    </xf>
    <xf numFmtId="9" fontId="14" fillId="0" borderId="15" xfId="11" applyFont="1" applyBorder="1" applyAlignment="1">
      <alignment horizontal="center" vertical="center" wrapText="1"/>
    </xf>
    <xf numFmtId="1" fontId="14" fillId="0" borderId="15" xfId="6" applyNumberFormat="1" applyFont="1" applyBorder="1" applyAlignment="1">
      <alignment horizontal="center" vertical="center" wrapText="1"/>
    </xf>
    <xf numFmtId="2" fontId="14" fillId="0" borderId="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9" fontId="1" fillId="0" borderId="0" xfId="6" applyNumberFormat="1" applyFont="1"/>
    <xf numFmtId="0" fontId="0" fillId="0" borderId="0" xfId="0" applyAlignment="1">
      <alignment horizontal="center"/>
    </xf>
    <xf numFmtId="0" fontId="1" fillId="0" borderId="0" xfId="0"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1"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2" xfId="6" applyFont="1" applyFill="1" applyBorder="1" applyAlignment="1">
      <alignment horizontal="center" vertical="center" textRotation="90" wrapText="1"/>
    </xf>
    <xf numFmtId="0" fontId="15" fillId="5" borderId="39" xfId="6" applyFont="1" applyFill="1" applyBorder="1" applyAlignment="1">
      <alignment horizontal="center" vertical="center" textRotation="90" wrapText="1"/>
    </xf>
    <xf numFmtId="0" fontId="15" fillId="5" borderId="23" xfId="6" applyFont="1" applyFill="1" applyBorder="1" applyAlignment="1">
      <alignment horizontal="center" vertical="center" wrapText="1"/>
    </xf>
    <xf numFmtId="0" fontId="15" fillId="5" borderId="24" xfId="6" applyFont="1" applyFill="1" applyBorder="1" applyAlignment="1">
      <alignment horizontal="center" vertical="center" wrapText="1"/>
    </xf>
    <xf numFmtId="0" fontId="15" fillId="5" borderId="38"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19" xfId="6" applyFont="1" applyFill="1" applyBorder="1" applyAlignment="1">
      <alignment horizontal="center"/>
    </xf>
    <xf numFmtId="0" fontId="15" fillId="5" borderId="20" xfId="6" applyFont="1" applyFill="1" applyBorder="1" applyAlignment="1">
      <alignment horizontal="center"/>
    </xf>
    <xf numFmtId="0" fontId="15" fillId="5" borderId="37" xfId="6" applyFont="1" applyFill="1" applyBorder="1" applyAlignment="1">
      <alignment horizontal="center"/>
    </xf>
    <xf numFmtId="0" fontId="1" fillId="0" borderId="36" xfId="0" applyFont="1" applyBorder="1"/>
    <xf numFmtId="2" fontId="14" fillId="0" borderId="15"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2" borderId="5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47" xfId="4" applyNumberFormat="1" applyFont="1" applyFill="1" applyBorder="1" applyAlignment="1">
      <alignment horizontal="center" vertical="center" wrapText="1"/>
    </xf>
    <xf numFmtId="2" fontId="14" fillId="0" borderId="38"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19" xfId="6" applyNumberFormat="1" applyFont="1" applyBorder="1" applyAlignment="1">
      <alignment horizontal="center" vertical="center" wrapText="1"/>
    </xf>
    <xf numFmtId="2" fontId="14" fillId="0" borderId="20" xfId="6" applyNumberFormat="1" applyFont="1" applyBorder="1" applyAlignment="1">
      <alignment horizontal="center" vertical="center" wrapText="1"/>
    </xf>
    <xf numFmtId="2" fontId="14" fillId="0" borderId="37" xfId="6" applyNumberFormat="1" applyFont="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25" xfId="0" applyBorder="1" applyAlignment="1">
      <alignment wrapText="1"/>
    </xf>
  </cellXfs>
  <cellStyles count="4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96604936"/>
        <c:axId val="2096965624"/>
      </c:lineChart>
      <c:catAx>
        <c:axId val="209660493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6965624"/>
        <c:crosses val="autoZero"/>
        <c:auto val="1"/>
        <c:lblAlgn val="ctr"/>
        <c:lblOffset val="100"/>
        <c:noMultiLvlLbl val="0"/>
      </c:catAx>
      <c:valAx>
        <c:axId val="2096965624"/>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6604936"/>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96657992"/>
        <c:axId val="2096647464"/>
      </c:lineChart>
      <c:catAx>
        <c:axId val="209665799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6647464"/>
        <c:crosses val="autoZero"/>
        <c:auto val="1"/>
        <c:lblAlgn val="ctr"/>
        <c:lblOffset val="100"/>
        <c:noMultiLvlLbl val="0"/>
      </c:catAx>
      <c:valAx>
        <c:axId val="2096647464"/>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665799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406400</xdr:colOff>
      <xdr:row>7</xdr:row>
      <xdr:rowOff>38100</xdr:rowOff>
    </xdr:to>
    <xdr:sp macro="" textlink="">
      <xdr:nvSpPr>
        <xdr:cNvPr id="1838486" name="AutoShape 406"/>
        <xdr:cNvSpPr>
          <a:spLocks noChangeAspect="1" noChangeArrowheads="1"/>
        </xdr:cNvSpPr>
      </xdr:nvSpPr>
      <xdr:spPr bwMode="auto">
        <a:xfrm>
          <a:off x="0" y="0"/>
          <a:ext cx="4711700" cy="11049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419100</xdr:colOff>
      <xdr:row>0</xdr:row>
      <xdr:rowOff>0</xdr:rowOff>
    </xdr:from>
    <xdr:to>
      <xdr:col>11</xdr:col>
      <xdr:colOff>571500</xdr:colOff>
      <xdr:row>7</xdr:row>
      <xdr:rowOff>12700</xdr:rowOff>
    </xdr:to>
    <xdr:sp macro="" textlink="">
      <xdr:nvSpPr>
        <xdr:cNvPr id="1838487" name="AutoShape 407"/>
        <xdr:cNvSpPr>
          <a:spLocks noChangeAspect="1" noChangeArrowheads="1"/>
        </xdr:cNvSpPr>
      </xdr:nvSpPr>
      <xdr:spPr bwMode="auto">
        <a:xfrm>
          <a:off x="472440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1</xdr:col>
      <xdr:colOff>666750</xdr:colOff>
      <xdr:row>0</xdr:row>
      <xdr:rowOff>104775</xdr:rowOff>
    </xdr:from>
    <xdr:to>
      <xdr:col>7</xdr:col>
      <xdr:colOff>333375</xdr:colOff>
      <xdr:row>7</xdr:row>
      <xdr:rowOff>85725</xdr:rowOff>
    </xdr:to>
    <xdr:pic>
      <xdr:nvPicPr>
        <xdr:cNvPr id="5"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406400</xdr:colOff>
      <xdr:row>7</xdr:row>
      <xdr:rowOff>38100</xdr:rowOff>
    </xdr:to>
    <xdr:sp macro="" textlink="">
      <xdr:nvSpPr>
        <xdr:cNvPr id="6" name="AutoShape 406"/>
        <xdr:cNvSpPr>
          <a:spLocks noChangeAspect="1" noChangeArrowheads="1"/>
        </xdr:cNvSpPr>
      </xdr:nvSpPr>
      <xdr:spPr bwMode="auto">
        <a:xfrm>
          <a:off x="0" y="0"/>
          <a:ext cx="4711700" cy="11049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419100</xdr:colOff>
      <xdr:row>0</xdr:row>
      <xdr:rowOff>0</xdr:rowOff>
    </xdr:from>
    <xdr:to>
      <xdr:col>11</xdr:col>
      <xdr:colOff>571500</xdr:colOff>
      <xdr:row>7</xdr:row>
      <xdr:rowOff>12700</xdr:rowOff>
    </xdr:to>
    <xdr:sp macro="" textlink="">
      <xdr:nvSpPr>
        <xdr:cNvPr id="7" name="AutoShape 407"/>
        <xdr:cNvSpPr>
          <a:spLocks noChangeAspect="1" noChangeArrowheads="1"/>
        </xdr:cNvSpPr>
      </xdr:nvSpPr>
      <xdr:spPr bwMode="auto">
        <a:xfrm>
          <a:off x="472440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1</xdr:col>
      <xdr:colOff>666750</xdr:colOff>
      <xdr:row>0</xdr:row>
      <xdr:rowOff>104775</xdr:rowOff>
    </xdr:from>
    <xdr:to>
      <xdr:col>7</xdr:col>
      <xdr:colOff>333375</xdr:colOff>
      <xdr:row>7</xdr:row>
      <xdr:rowOff>85725</xdr:rowOff>
    </xdr:to>
    <xdr:pic>
      <xdr:nvPicPr>
        <xdr:cNvPr id="8"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381000</xdr:colOff>
      <xdr:row>7</xdr:row>
      <xdr:rowOff>12700</xdr:rowOff>
    </xdr:to>
    <xdr:sp macro="" textlink="">
      <xdr:nvSpPr>
        <xdr:cNvPr id="9" name="AutoShape 406"/>
        <xdr:cNvSpPr>
          <a:spLocks noChangeAspect="1" noChangeArrowheads="1"/>
        </xdr:cNvSpPr>
      </xdr:nvSpPr>
      <xdr:spPr bwMode="auto">
        <a:xfrm>
          <a:off x="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abSelected="1" topLeftCell="A4" zoomScale="80" zoomScaleNormal="80" zoomScalePageLayoutView="80" workbookViewId="0">
      <selection activeCell="C14" sqref="C14"/>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7"/>
      <c r="B1" s="537"/>
      <c r="C1" s="537"/>
      <c r="D1" s="537"/>
      <c r="E1" s="537"/>
      <c r="F1" s="537"/>
      <c r="G1" s="537"/>
      <c r="H1" s="537"/>
      <c r="I1" s="537"/>
      <c r="J1" s="537"/>
      <c r="K1" s="537"/>
      <c r="L1" s="537"/>
      <c r="M1" s="537"/>
      <c r="N1" s="537"/>
      <c r="O1" s="537"/>
      <c r="P1" s="537"/>
      <c r="Q1" s="537"/>
      <c r="R1" s="537"/>
      <c r="S1" s="537"/>
      <c r="T1" s="537"/>
    </row>
    <row r="2" spans="1:20" ht="113.25" customHeight="1">
      <c r="A2" s="537"/>
      <c r="B2" s="537"/>
      <c r="C2" s="537"/>
      <c r="D2" s="537"/>
      <c r="E2" s="537"/>
      <c r="F2" s="537"/>
      <c r="G2" s="537"/>
      <c r="H2" s="537"/>
      <c r="I2" s="537"/>
      <c r="J2" s="537"/>
      <c r="K2" s="537"/>
      <c r="L2" s="537"/>
      <c r="M2" s="537"/>
      <c r="N2" s="537"/>
      <c r="O2" s="537"/>
      <c r="P2" s="119"/>
      <c r="Q2" s="119"/>
      <c r="R2" s="119"/>
      <c r="S2" s="119"/>
      <c r="T2" s="119"/>
    </row>
    <row r="3" spans="1:20" ht="15" thickBot="1">
      <c r="C3" s="110"/>
      <c r="D3"/>
      <c r="E3" s="110"/>
      <c r="F3" s="110"/>
      <c r="G3" s="110"/>
      <c r="H3" s="110"/>
      <c r="I3" s="212"/>
      <c r="J3" s="212"/>
      <c r="K3" s="212"/>
      <c r="L3" s="171"/>
      <c r="M3" s="7" t="s">
        <v>0</v>
      </c>
    </row>
    <row r="4" spans="1:20" ht="15" thickBot="1">
      <c r="C4" s="117" t="s">
        <v>141</v>
      </c>
      <c r="D4" s="124"/>
      <c r="E4" s="119"/>
      <c r="F4" s="110"/>
      <c r="G4" s="110"/>
      <c r="H4" s="162" t="s">
        <v>0</v>
      </c>
      <c r="I4" s="212"/>
      <c r="J4" s="212"/>
      <c r="K4" s="212"/>
      <c r="L4" s="171"/>
      <c r="M4" t="s">
        <v>0</v>
      </c>
      <c r="Q4" t="s">
        <v>0</v>
      </c>
      <c r="R4" t="s">
        <v>0</v>
      </c>
    </row>
    <row r="5" spans="1:20">
      <c r="B5" s="1" t="s">
        <v>1</v>
      </c>
      <c r="C5" s="110" t="s">
        <v>704</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6.2899071442823473E-2</v>
      </c>
      <c r="E7" s="92" t="s">
        <v>519</v>
      </c>
      <c r="F7" s="109"/>
      <c r="G7" s="109"/>
      <c r="H7" s="29" t="s">
        <v>0</v>
      </c>
      <c r="I7" s="29"/>
      <c r="J7" s="29"/>
      <c r="K7" s="29"/>
      <c r="L7" s="29"/>
      <c r="M7" s="7" t="s">
        <v>0</v>
      </c>
      <c r="N7" t="s">
        <v>0</v>
      </c>
      <c r="O7" t="s">
        <v>0</v>
      </c>
      <c r="P7" t="s">
        <v>0</v>
      </c>
    </row>
    <row r="8" spans="1:20" ht="15" thickBot="1">
      <c r="B8" s="1" t="s">
        <v>368</v>
      </c>
      <c r="C8" s="109"/>
      <c r="D8" s="104" t="s">
        <v>342</v>
      </c>
      <c r="E8" s="406" t="s">
        <v>714</v>
      </c>
      <c r="F8" s="109"/>
      <c r="G8" s="406" t="s">
        <v>715</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432">
        <v>0.2</v>
      </c>
      <c r="D11" s="125">
        <f>'Output - Jobs vs Yr (BAU)'!N18/'Output -Jobs vs Yr'!N14</f>
        <v>0.14972816674030948</v>
      </c>
      <c r="E11" s="405">
        <f>(7.7/3)^(1/6)</f>
        <v>1.1701141873017888</v>
      </c>
      <c r="F11" s="109"/>
      <c r="G11" s="402">
        <f>(12.5/3)^(1/6)</f>
        <v>1.2685223586294079</v>
      </c>
      <c r="H11"/>
      <c r="I11"/>
      <c r="J11"/>
      <c r="K11"/>
      <c r="L11"/>
      <c r="M11" t="s">
        <v>0</v>
      </c>
      <c r="N11" t="s">
        <v>0</v>
      </c>
      <c r="O11" s="111" t="s">
        <v>0</v>
      </c>
      <c r="P11" s="31" t="s">
        <v>0</v>
      </c>
    </row>
    <row r="12" spans="1:20" ht="15" thickBot="1">
      <c r="B12" t="s">
        <v>381</v>
      </c>
      <c r="C12" s="209">
        <v>0.23</v>
      </c>
      <c r="D12" s="125">
        <f>'Output - Jobs vs Yr (BAU)'!X18/'Output -Jobs vs Yr'!X14</f>
        <v>0.16307178178822193</v>
      </c>
      <c r="E12" s="405">
        <f>(D12/D11)^(1/10)</f>
        <v>1.0085734487555598</v>
      </c>
      <c r="F12" s="109"/>
      <c r="G12" s="403">
        <f>(C12/C11)^(1/10)</f>
        <v>1.0140743178387932</v>
      </c>
      <c r="H12"/>
      <c r="I12"/>
      <c r="J12"/>
      <c r="K12"/>
      <c r="L12"/>
      <c r="M12" t="s">
        <v>0</v>
      </c>
      <c r="N12" t="s">
        <v>0</v>
      </c>
      <c r="O12" s="111" t="s">
        <v>0</v>
      </c>
      <c r="P12" s="31" t="s">
        <v>0</v>
      </c>
    </row>
    <row r="13" spans="1:20" ht="15" thickBot="1">
      <c r="B13" t="s">
        <v>574</v>
      </c>
      <c r="C13" s="432">
        <v>0.28000000000000003</v>
      </c>
      <c r="D13" s="172">
        <f>'Output - Jobs vs Yr (BAU)'!AH18/'Output -Jobs vs Yr'!AH14</f>
        <v>0.20059383283522819</v>
      </c>
      <c r="E13" s="405">
        <f>(D13/D12)^(1/10)</f>
        <v>1.0209250875573952</v>
      </c>
      <c r="F13" s="109"/>
      <c r="G13" s="404">
        <f>(C13/C12)^(1/10)</f>
        <v>1.0198657790027867</v>
      </c>
      <c r="H13"/>
      <c r="I13"/>
      <c r="J13"/>
      <c r="K13"/>
      <c r="L13"/>
      <c r="M13"/>
      <c r="O13" s="111"/>
      <c r="P13" s="31"/>
    </row>
    <row r="14" spans="1:20">
      <c r="B14" t="s">
        <v>575</v>
      </c>
      <c r="C14" s="211"/>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709</v>
      </c>
      <c r="O15" s="31" t="s">
        <v>709</v>
      </c>
      <c r="P15" s="31" t="s">
        <v>710</v>
      </c>
      <c r="Q15" t="s">
        <v>707</v>
      </c>
    </row>
    <row r="16" spans="1:20" ht="15" thickBot="1">
      <c r="B16" s="32" t="s">
        <v>363</v>
      </c>
      <c r="C16" s="106" t="s">
        <v>366</v>
      </c>
      <c r="D16" s="104" t="s">
        <v>535</v>
      </c>
      <c r="E16" s="104" t="s">
        <v>364</v>
      </c>
      <c r="F16" s="104" t="s">
        <v>359</v>
      </c>
      <c r="G16" s="104" t="s">
        <v>545</v>
      </c>
      <c r="H16" s="104" t="s">
        <v>364</v>
      </c>
      <c r="I16" s="104" t="s">
        <v>703</v>
      </c>
      <c r="J16" s="104" t="s">
        <v>702</v>
      </c>
      <c r="K16" s="104" t="s">
        <v>364</v>
      </c>
      <c r="L16" s="104"/>
      <c r="M16" s="44" t="s">
        <v>257</v>
      </c>
      <c r="N16" s="256">
        <v>2020</v>
      </c>
      <c r="O16" s="256">
        <v>2030</v>
      </c>
      <c r="P16" s="256">
        <v>2040</v>
      </c>
      <c r="Q16" s="198">
        <v>2031</v>
      </c>
    </row>
    <row r="17" spans="2:17" ht="15" thickBot="1">
      <c r="B17" t="s">
        <v>353</v>
      </c>
      <c r="C17" s="195">
        <f>D17*$C$11/$D$11</f>
        <v>8.4307573293581253E-2</v>
      </c>
      <c r="D17" s="126">
        <f>'Output - Jobs vs Yr (BAU)'!N10/'Output -Jobs vs Yr'!$N$14</f>
        <v>6.3116091957860984E-2</v>
      </c>
      <c r="E17" s="105">
        <f t="shared" ref="E17:E23" si="0">IF($C$24&lt;&gt;0,C17/$C$24,0)</f>
        <v>0.42153786646790631</v>
      </c>
      <c r="F17" s="172">
        <f>C17*$C$12/$C$11</f>
        <v>9.6953709287618442E-2</v>
      </c>
      <c r="G17" s="105">
        <f>'Output - Jobs vs Yr (BAU)'!X10/'Output - Jobs vs Yr (BAU)'!X24</f>
        <v>7.3476144086309106E-2</v>
      </c>
      <c r="H17" s="105">
        <f t="shared" ref="H17:H23" si="1">G17/$G$24</f>
        <v>0.45057643681214898</v>
      </c>
      <c r="I17" s="172">
        <f>F17*$C$13/$C$12</f>
        <v>0.11803060261101377</v>
      </c>
      <c r="J17" s="105">
        <f>'Output - Jobs vs Yr (BAU)'!AH10/'Output - Jobs vs Yr (BAU)'!AH24</f>
        <v>8.9528103711827123E-2</v>
      </c>
      <c r="K17" s="105">
        <f>J17/$J$24</f>
        <v>0.44631563173557037</v>
      </c>
      <c r="L17" s="105"/>
      <c r="M17" s="45" t="s">
        <v>259</v>
      </c>
      <c r="N17" s="86">
        <f>HLOOKUP(N16,'Output -Jobs vs Yr'!$H$175:$AH$184,9)</f>
        <v>51.631747566043032</v>
      </c>
      <c r="O17" s="86">
        <f>HLOOKUP(O16,'Output -Jobs vs Yr'!$H$175:$AH$184,9)</f>
        <v>62.668745207135544</v>
      </c>
      <c r="P17" s="86">
        <f>HLOOKUP(P16,'Output -Jobs vs Yr'!$H$175:$AH$184,9)</f>
        <v>72.327329612669473</v>
      </c>
      <c r="Q17" s="86">
        <f>HLOOKUP(Q16,'Output -Jobs vs Yr'!$H$175:$AH$184,9)</f>
        <v>72.479378479814386</v>
      </c>
    </row>
    <row r="18" spans="2:17" ht="15" thickBot="1">
      <c r="B18" s="4" t="s">
        <v>354</v>
      </c>
      <c r="C18" s="195">
        <f>D18*$C$11/$D$11</f>
        <v>1.0558110725333983E-6</v>
      </c>
      <c r="D18" s="126">
        <f>'Output - Jobs vs Yr (BAU)'!N15/'Output -Jobs vs Yr'!$N$14</f>
        <v>7.9042328157272826E-7</v>
      </c>
      <c r="E18" s="105">
        <f t="shared" si="0"/>
        <v>5.2790553626669923E-6</v>
      </c>
      <c r="F18" s="172">
        <f t="shared" ref="F18:F23" si="2">C18*$C$12/$C$11</f>
        <v>1.2141827334134079E-6</v>
      </c>
      <c r="G18" s="105">
        <f>'Output - Jobs vs Yr (BAU)'!X15/'Output - Jobs vs Yr (BAU)'!X24</f>
        <v>7.1812920668943359E-7</v>
      </c>
      <c r="H18" s="105">
        <f t="shared" si="1"/>
        <v>4.4037708176517093E-6</v>
      </c>
      <c r="I18" s="172">
        <f t="shared" ref="I18:I24" si="3">F18*$C$13/$C$12</f>
        <v>1.4781355015467574E-6</v>
      </c>
      <c r="J18" s="105">
        <f>'Output - Jobs vs Yr (BAU)'!AH15/'Output - Jobs vs Yr (BAU)'!AH24</f>
        <v>6.6473258260121149E-7</v>
      </c>
      <c r="K18" s="105">
        <f t="shared" ref="K18:K24" si="4">J18/$J$24</f>
        <v>3.3138258294158855E-6</v>
      </c>
      <c r="L18" s="105"/>
      <c r="M18" s="46" t="s">
        <v>260</v>
      </c>
      <c r="N18" s="87">
        <f>HLOOKUP(N16,'Output -Jobs vs Yr'!$H$175:$AH$184,10)</f>
        <v>46.468212155854189</v>
      </c>
      <c r="O18" s="87">
        <f>HLOOKUP(O16,'Output -Jobs vs Yr'!$H$175:$AH$184,10)</f>
        <v>56.401414182733106</v>
      </c>
      <c r="P18" s="87">
        <f>HLOOKUP(P16,'Output -Jobs vs Yr'!$H$175:$AH$184,10)</f>
        <v>65.093996265126407</v>
      </c>
      <c r="Q18" s="87">
        <f>HLOOKUP(Q16,'Output -Jobs vs Yr'!$H$175:$AH$184,10)</f>
        <v>65.230973178402337</v>
      </c>
    </row>
    <row r="19" spans="2:17" ht="15" thickBot="1">
      <c r="B19" s="4" t="s">
        <v>355</v>
      </c>
      <c r="C19" s="195">
        <f>D19*$C$11/$D$11</f>
        <v>1.3844453629105406E-2</v>
      </c>
      <c r="D19" s="126">
        <f>'Output - Jobs vs Yr (BAU)'!N11/'Output -Jobs vs Yr'!$N$14</f>
        <v>1.0364523307035883E-2</v>
      </c>
      <c r="E19" s="105">
        <f t="shared" si="0"/>
        <v>6.9222268145527038E-2</v>
      </c>
      <c r="F19" s="172">
        <f t="shared" si="2"/>
        <v>1.5921121673471216E-2</v>
      </c>
      <c r="G19" s="105">
        <f>'Output - Jobs vs Yr (BAU)'!X11/'Output - Jobs vs Yr (BAU)'!X24</f>
        <v>1.9911895015100996E-2</v>
      </c>
      <c r="H19" s="105">
        <f t="shared" si="1"/>
        <v>0.12210535565860661</v>
      </c>
      <c r="I19" s="172">
        <f t="shared" si="3"/>
        <v>1.9382235080747569E-2</v>
      </c>
      <c r="J19" s="105">
        <f>'Output - Jobs vs Yr (BAU)'!AH11/'Output - Jobs vs Yr (BAU)'!AH24</f>
        <v>3.0622872228174367E-2</v>
      </c>
      <c r="K19" s="105">
        <f t="shared" si="4"/>
        <v>0.15266118679412791</v>
      </c>
      <c r="L19" s="105"/>
      <c r="M19" s="46" t="s">
        <v>261</v>
      </c>
      <c r="N19" s="87">
        <f>HLOOKUP(N16,'Output -Jobs vs Yr'!$H$175:$AH$184,8)</f>
        <v>98.099959721897449</v>
      </c>
      <c r="O19" s="87">
        <f>HLOOKUP(O16,'Output -Jobs vs Yr'!$H$175:$AH$184,8)</f>
        <v>119.07015938986888</v>
      </c>
      <c r="P19" s="87">
        <f>HLOOKUP(P16,'Output -Jobs vs Yr'!$H$175:$AH$184,8)</f>
        <v>137.42132587779633</v>
      </c>
      <c r="Q19" s="87">
        <f>HLOOKUP(Q16,'Output -Jobs vs Yr'!$H$175:$AH$184,8)</f>
        <v>137.71035165821695</v>
      </c>
    </row>
    <row r="20" spans="2:17" ht="15" thickBot="1">
      <c r="B20" s="4" t="s">
        <v>51</v>
      </c>
      <c r="C20" s="195">
        <f>D20*$C$11/$D$11</f>
        <v>1.0308970986548279E-4</v>
      </c>
      <c r="D20" s="126">
        <f>'Output - Jobs vs Yr (BAU)'!N12/'Output -Jobs vs Yr'!$N$14</f>
        <v>7.7177166339745658E-5</v>
      </c>
      <c r="E20" s="105">
        <f t="shared" si="0"/>
        <v>5.1544854932741402E-4</v>
      </c>
      <c r="F20" s="172">
        <f t="shared" si="2"/>
        <v>1.1855316634530521E-4</v>
      </c>
      <c r="G20" s="105">
        <f>'Output - Jobs vs Yr (BAU)'!X12/'Output - Jobs vs Yr (BAU)'!X24</f>
        <v>5.5763810093244548E-5</v>
      </c>
      <c r="H20" s="105">
        <f t="shared" si="1"/>
        <v>3.4195940964688171E-4</v>
      </c>
      <c r="I20" s="172">
        <f t="shared" si="3"/>
        <v>1.4432559381167591E-4</v>
      </c>
      <c r="J20" s="105">
        <f>'Output - Jobs vs Yr (BAU)'!AH12/'Output - Jobs vs Yr (BAU)'!AH24</f>
        <v>5.2187955640246339E-5</v>
      </c>
      <c r="K20" s="105">
        <f t="shared" si="4"/>
        <v>2.6016747171969234E-4</v>
      </c>
      <c r="L20" s="105"/>
      <c r="M20" s="47" t="s">
        <v>459</v>
      </c>
      <c r="N20" s="88">
        <f>HLOOKUP(N16,'Output -Jobs vs Yr'!$H$175:$AH$188,11)-HLOOKUP(N16,'Output -Jobs vs Yr'!$H$175:$AH$188,14)</f>
        <v>205.7450610638225</v>
      </c>
      <c r="O20" s="88">
        <f>HLOOKUP(O16,'Output -Jobs vs Yr'!$H$175:$AH$188,11)-HLOOKUP(O16,'Output -Jobs vs Yr'!$H$175:$AH$188,14)</f>
        <v>1370.8588622864349</v>
      </c>
      <c r="P20" s="88">
        <f>HLOOKUP(P16,'Output -Jobs vs Yr'!$H$175:$AH$188,11)-HLOOKUP(P16,'Output -Jobs vs Yr'!$H$175:$AH$188,14)</f>
        <v>2926.700005591656</v>
      </c>
      <c r="Q20" s="88">
        <f>HLOOKUP(Q16,'Output -Jobs vs Yr'!$H$175:$AH$188,11)-HLOOKUP(Q16,'Output -Jobs vs Yr'!$H$175:$AH$188,14)</f>
        <v>1508.5692139446519</v>
      </c>
    </row>
    <row r="21" spans="2:17" ht="15" thickBot="1">
      <c r="B21" t="s">
        <v>356</v>
      </c>
      <c r="C21" s="195">
        <f t="shared" ref="C21:C23" si="5">D21*$C$11/$D$11</f>
        <v>2.1116221450667966E-6</v>
      </c>
      <c r="D21" s="126">
        <f>'Output - Jobs vs Yr (BAU)'!N13/'Output -Jobs vs Yr'!$N$14</f>
        <v>1.5808465631454565E-6</v>
      </c>
      <c r="E21" s="105">
        <f t="shared" si="0"/>
        <v>1.0558110725333985E-5</v>
      </c>
      <c r="F21" s="172">
        <f t="shared" si="2"/>
        <v>2.4283654668268157E-6</v>
      </c>
      <c r="G21" s="105">
        <f>'Output - Jobs vs Yr (BAU)'!X13/'Output - Jobs vs Yr (BAU)'!X24</f>
        <v>1.4362584133788672E-6</v>
      </c>
      <c r="H21" s="105">
        <f t="shared" si="1"/>
        <v>8.8075416353034185E-6</v>
      </c>
      <c r="I21" s="172">
        <f t="shared" si="3"/>
        <v>2.9562710030935149E-6</v>
      </c>
      <c r="J21" s="105">
        <f>'Output - Jobs vs Yr (BAU)'!AH13/'Output - Jobs vs Yr (BAU)'!AH24</f>
        <v>0</v>
      </c>
      <c r="K21" s="105">
        <f t="shared" si="4"/>
        <v>0</v>
      </c>
      <c r="L21" s="105"/>
      <c r="N21" s="160"/>
    </row>
    <row r="22" spans="2:17" ht="15" thickBot="1">
      <c r="B22" s="4" t="s">
        <v>357</v>
      </c>
      <c r="C22" s="195">
        <f t="shared" si="5"/>
        <v>1.0558110725333983E-6</v>
      </c>
      <c r="D22" s="126">
        <f>'Output - Jobs vs Yr (BAU)'!N14/'Output -Jobs vs Yr'!$N$14</f>
        <v>7.9042328157272826E-7</v>
      </c>
      <c r="E22" s="105">
        <f t="shared" si="0"/>
        <v>5.2790553626669923E-6</v>
      </c>
      <c r="F22" s="172">
        <f t="shared" si="2"/>
        <v>1.2141827334134079E-6</v>
      </c>
      <c r="G22" s="105">
        <f>'Output - Jobs vs Yr (BAU)'!X14/'Output - Jobs vs Yr (BAU)'!X24</f>
        <v>7.1812920668943359E-7</v>
      </c>
      <c r="H22" s="105">
        <f t="shared" si="1"/>
        <v>4.4037708176517093E-6</v>
      </c>
      <c r="I22" s="172">
        <f t="shared" si="3"/>
        <v>1.4781355015467574E-6</v>
      </c>
      <c r="J22" s="105">
        <f>'Output - Jobs vs Yr (BAU)'!AH14/'Output - Jobs vs Yr (BAU)'!AH24</f>
        <v>6.6473258260121149E-7</v>
      </c>
      <c r="K22" s="105">
        <f t="shared" si="4"/>
        <v>3.3138258294158855E-6</v>
      </c>
      <c r="L22" s="105"/>
      <c r="O22" t="s">
        <v>0</v>
      </c>
    </row>
    <row r="23" spans="2:17" ht="15" thickBot="1">
      <c r="B23" t="s">
        <v>358</v>
      </c>
      <c r="C23" s="195">
        <f t="shared" si="5"/>
        <v>0.1017406601231577</v>
      </c>
      <c r="D23" s="126">
        <f>'Output - Jobs vs Yr (BAU)'!N16/'Output -Jobs vs Yr'!$N$14</f>
        <v>7.6167212615946556E-2</v>
      </c>
      <c r="E23" s="105">
        <f t="shared" si="0"/>
        <v>0.50870330061578861</v>
      </c>
      <c r="F23" s="172">
        <f t="shared" si="2"/>
        <v>0.11700175914163136</v>
      </c>
      <c r="G23" s="105">
        <f>'Output - Jobs vs Yr (BAU)'!X16/'Output - Jobs vs Yr (BAU)'!X24</f>
        <v>6.9624755040063963E-2</v>
      </c>
      <c r="H23" s="105">
        <f t="shared" si="1"/>
        <v>0.42695863303632692</v>
      </c>
      <c r="I23" s="172">
        <f t="shared" si="3"/>
        <v>0.14243692417242079</v>
      </c>
      <c r="J23" s="105">
        <f>'Output - Jobs vs Yr (BAU)'!AH16/'Output - Jobs vs Yr (BAU)'!AH24</f>
        <v>8.0389206133164706E-2</v>
      </c>
      <c r="K23" s="105">
        <f t="shared" si="4"/>
        <v>0.40075638634692312</v>
      </c>
      <c r="L23" s="105"/>
      <c r="M23" s="44"/>
      <c r="N23" s="197"/>
      <c r="O23" t="s">
        <v>0</v>
      </c>
    </row>
    <row r="24" spans="2:17">
      <c r="B24" s="108" t="s">
        <v>370</v>
      </c>
      <c r="C24" s="137">
        <f t="shared" ref="C24:H24" si="6">SUM(C17:C23)</f>
        <v>0.19999999999999998</v>
      </c>
      <c r="D24" s="205">
        <f t="shared" si="6"/>
        <v>0.14972816674030948</v>
      </c>
      <c r="E24" s="200">
        <f t="shared" si="6"/>
        <v>1</v>
      </c>
      <c r="F24" s="200">
        <f t="shared" si="6"/>
        <v>0.22999999999999998</v>
      </c>
      <c r="G24" s="200">
        <f t="shared" si="6"/>
        <v>0.16307143046839406</v>
      </c>
      <c r="H24" s="105">
        <f t="shared" si="6"/>
        <v>1</v>
      </c>
      <c r="I24" s="172">
        <f t="shared" si="3"/>
        <v>0.27999999999999997</v>
      </c>
      <c r="J24" s="105">
        <f>SUM(J17:J23)</f>
        <v>0.20059369949397166</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20%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0.77128789260288799</v>
      </c>
      <c r="D28" s="105">
        <f>('Output - Jobs vs Yr (BAU)'!N8+'Output - Jobs vs Yr (BAU)'!N7)/'Output -Jobs vs Yr'!N14</f>
        <v>0.77128789260288799</v>
      </c>
      <c r="E28" s="136" t="s">
        <v>0</v>
      </c>
      <c r="F28" s="98"/>
      <c r="G28" s="98" t="s">
        <v>0</v>
      </c>
      <c r="H28" s="135" t="s">
        <v>0</v>
      </c>
      <c r="I28" s="135"/>
      <c r="J28" s="135"/>
      <c r="K28" s="135"/>
      <c r="L28" s="135"/>
      <c r="M28"/>
    </row>
    <row r="29" spans="2:17" ht="15" thickBot="1">
      <c r="B29" t="s">
        <v>372</v>
      </c>
      <c r="C29" s="243">
        <f>D29</f>
        <v>0.70862362385135036</v>
      </c>
      <c r="D29" s="105">
        <f>('Output - Jobs vs Yr (BAU)'!X8+'Output - Jobs vs Yr (BAU)'!X7)/'Output -Jobs vs Yr'!X14</f>
        <v>0.70862362385135036</v>
      </c>
      <c r="E29" s="107"/>
      <c r="F29" s="98"/>
      <c r="G29" s="96"/>
      <c r="H29"/>
      <c r="I29"/>
      <c r="J29"/>
      <c r="K29"/>
      <c r="L29"/>
    </row>
    <row r="30" spans="2:17" ht="15" thickBot="1">
      <c r="B30" t="s">
        <v>576</v>
      </c>
      <c r="C30" s="210">
        <f>D30</f>
        <v>0.66108105988568011</v>
      </c>
      <c r="D30" s="105">
        <f>('Output - Jobs vs Yr (BAU)'!AH8+'Output - Jobs vs Yr (BAU)'!AH7)/'Output -Jobs vs Yr'!AH14</f>
        <v>0.66108105988568011</v>
      </c>
      <c r="E30" s="107"/>
      <c r="F30" s="98"/>
      <c r="G30" s="96"/>
      <c r="H30"/>
      <c r="I30"/>
      <c r="J30"/>
      <c r="K30"/>
      <c r="L30"/>
    </row>
    <row r="31" spans="2:17">
      <c r="B31" t="s">
        <v>577</v>
      </c>
      <c r="C31" s="211"/>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703</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0.77128789260288799</v>
      </c>
      <c r="D35" s="105">
        <f>'Output - Jobs vs Yr (BAU)'!N7/'Output -Jobs vs Yr'!N14</f>
        <v>0.77128789260288799</v>
      </c>
      <c r="E35" s="203">
        <f>C35</f>
        <v>0.77128789260288799</v>
      </c>
      <c r="F35" s="200">
        <f>C35*$C$29/$C$28</f>
        <v>0.70862362385135036</v>
      </c>
      <c r="G35" s="204">
        <f>'Output - Jobs vs Yr (BAU)'!X7/'Output - Jobs vs Yr (BAU)'!X24</f>
        <v>0.7086220972013878</v>
      </c>
      <c r="H35" s="200">
        <f>F35*$C$30/$C$29</f>
        <v>0.66108105988568011</v>
      </c>
      <c r="I35" s="204">
        <f>'Output - Jobs vs Yr (BAU)'!AH7/'Output - Jobs vs Yr (BAU)'!AH24</f>
        <v>0.66108062044355986</v>
      </c>
      <c r="J35"/>
      <c r="K35"/>
      <c r="L35"/>
    </row>
    <row r="36" spans="1:18" ht="15" thickBot="1">
      <c r="B36" s="4" t="s">
        <v>365</v>
      </c>
      <c r="C36" s="209">
        <f>D36</f>
        <v>0</v>
      </c>
      <c r="D36" s="105">
        <f>'Output - Jobs vs Yr (BAU)'!N8/'Output -Jobs vs Yr'!N14</f>
        <v>0</v>
      </c>
      <c r="E36" s="203">
        <f>C36</f>
        <v>0</v>
      </c>
      <c r="F36" s="200">
        <f>C36*$C$29/$C$28</f>
        <v>0</v>
      </c>
      <c r="G36" s="204">
        <f>'Output - Jobs vs Yr (BAU)'!X8/'Output - Jobs vs Yr (BAU)'!X24</f>
        <v>0</v>
      </c>
      <c r="H36" s="200">
        <f>F36*$C$30/$C$29</f>
        <v>0</v>
      </c>
      <c r="I36" s="204">
        <f>'Output - Jobs vs Yr (BAU)'!AH8/'Output - Jobs vs Yr (BAU)'!AH24</f>
        <v>0</v>
      </c>
      <c r="J36"/>
      <c r="K36"/>
      <c r="L36"/>
    </row>
    <row r="37" spans="1:18">
      <c r="B37" s="4" t="s">
        <v>369</v>
      </c>
      <c r="C37" s="138">
        <f>SUM(C35:C36)+'Output -Jobs vs Yr'!N30/'Output -Jobs vs Yr'!N49</f>
        <v>0.77128789260288799</v>
      </c>
      <c r="D37" s="105">
        <f>SUM(D34:D36)</f>
        <v>0.77128789260288799</v>
      </c>
      <c r="E37" s="203">
        <f>SUM(E34:E36)</f>
        <v>0.77128789260288799</v>
      </c>
      <c r="F37" s="203">
        <f>SUM(F34:F36)</f>
        <v>0.70862362385135036</v>
      </c>
      <c r="G37" s="203">
        <f>SUM(G34:G36)</f>
        <v>0.7086220972013878</v>
      </c>
      <c r="H37" s="200">
        <f>C37*$C$30/$C$28</f>
        <v>0.66108105988568011</v>
      </c>
      <c r="I37" s="203">
        <f>SUM(I34:I36)</f>
        <v>0.66108062044355986</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77,1%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0.19999999999999998</v>
      </c>
      <c r="D40" s="105" t="s">
        <v>0</v>
      </c>
      <c r="E40" s="105" t="s">
        <v>0</v>
      </c>
      <c r="F40" s="105" t="s">
        <v>0</v>
      </c>
      <c r="G40" s="103" t="s">
        <v>0</v>
      </c>
      <c r="H40"/>
      <c r="I40"/>
      <c r="J40"/>
      <c r="K40"/>
      <c r="L40"/>
    </row>
    <row r="41" spans="1:18">
      <c r="B41" s="4" t="s">
        <v>375</v>
      </c>
      <c r="C41" s="105">
        <f>C24+C37</f>
        <v>0.97128789260288795</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42"/>
      <c r="J44" s="242"/>
      <c r="K44" s="242"/>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42"/>
      <c r="J45" s="242"/>
      <c r="K45" s="242"/>
      <c r="L45"/>
      <c r="M45" s="12" t="e">
        <f t="shared" si="7"/>
        <v>#REF!</v>
      </c>
      <c r="N45" s="28" t="s">
        <v>523</v>
      </c>
    </row>
    <row r="46" spans="1:18" s="1" customFormat="1" ht="15" thickBot="1">
      <c r="A46"/>
      <c r="B46" s="4" t="s">
        <v>121</v>
      </c>
      <c r="C46" s="84">
        <v>0.21</v>
      </c>
      <c r="D46" s="4" t="s">
        <v>0</v>
      </c>
      <c r="E46" s="28" t="s">
        <v>524</v>
      </c>
      <c r="F46" s="28"/>
      <c r="H46" s="49">
        <v>0.9</v>
      </c>
      <c r="I46" s="242"/>
      <c r="J46" s="242"/>
      <c r="K46" s="242"/>
      <c r="L46"/>
      <c r="M46" s="12">
        <f t="shared" si="7"/>
        <v>0.39900000000000002</v>
      </c>
      <c r="N46" s="28" t="s">
        <v>524</v>
      </c>
      <c r="O46"/>
      <c r="P46"/>
      <c r="Q46"/>
      <c r="R46"/>
    </row>
    <row r="47" spans="1:18" s="1" customFormat="1" ht="15" thickBot="1">
      <c r="A47"/>
      <c r="B47" s="4" t="s">
        <v>118</v>
      </c>
      <c r="C47" s="42">
        <v>0.18</v>
      </c>
      <c r="D47" s="4"/>
      <c r="E47" s="28" t="s">
        <v>524</v>
      </c>
      <c r="F47" s="28"/>
      <c r="H47" s="49">
        <v>0.9</v>
      </c>
      <c r="I47" s="242"/>
      <c r="J47" s="242"/>
      <c r="K47" s="242"/>
      <c r="L47"/>
      <c r="M47" s="12">
        <f t="shared" si="7"/>
        <v>0.34199999999999997</v>
      </c>
      <c r="N47" s="28" t="s">
        <v>524</v>
      </c>
      <c r="O47"/>
      <c r="P47"/>
      <c r="Q47"/>
    </row>
    <row r="48" spans="1:18" ht="15" thickBot="1">
      <c r="B48" s="4" t="s">
        <v>49</v>
      </c>
      <c r="C48" s="42">
        <v>0.15</v>
      </c>
      <c r="D48" s="4"/>
      <c r="E48" s="28" t="s">
        <v>524</v>
      </c>
      <c r="F48" s="28"/>
      <c r="G48" s="1"/>
      <c r="H48" s="49">
        <v>0.9</v>
      </c>
      <c r="I48" s="242"/>
      <c r="J48" s="242"/>
      <c r="K48" s="242"/>
      <c r="L48"/>
      <c r="M48" s="12">
        <f t="shared" si="7"/>
        <v>0.28500000000000003</v>
      </c>
      <c r="N48" s="28" t="s">
        <v>524</v>
      </c>
    </row>
    <row r="49" spans="1:17" s="1" customFormat="1" ht="15" thickBot="1">
      <c r="A49"/>
      <c r="B49" s="4" t="s">
        <v>50</v>
      </c>
      <c r="C49" s="42">
        <v>0.25</v>
      </c>
      <c r="D49" s="4" t="s">
        <v>0</v>
      </c>
      <c r="E49" s="28" t="s">
        <v>524</v>
      </c>
      <c r="F49" s="28"/>
      <c r="H49" s="49">
        <v>0.9</v>
      </c>
      <c r="I49" s="242"/>
      <c r="J49" s="242"/>
      <c r="K49" s="242"/>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42"/>
      <c r="J50" s="242"/>
      <c r="K50" s="242"/>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42"/>
      <c r="J51" s="242"/>
      <c r="K51" s="242"/>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42"/>
      <c r="J52" s="242"/>
      <c r="K52" s="242"/>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42"/>
      <c r="J53" s="242"/>
      <c r="K53" s="242"/>
      <c r="L53"/>
      <c r="M53" s="161">
        <f t="shared" si="7"/>
        <v>0.26600000000000001</v>
      </c>
      <c r="N53" s="28" t="s">
        <v>524</v>
      </c>
    </row>
    <row r="54" spans="1:17" ht="15" thickBot="1">
      <c r="B54" s="4" t="s">
        <v>347</v>
      </c>
      <c r="C54" s="84">
        <v>0.79</v>
      </c>
      <c r="D54" s="4" t="s">
        <v>0</v>
      </c>
      <c r="E54" s="28" t="s">
        <v>524</v>
      </c>
      <c r="F54" s="28"/>
      <c r="G54" s="110"/>
      <c r="H54" s="49">
        <v>0.9</v>
      </c>
      <c r="I54" s="242"/>
      <c r="J54" s="242"/>
      <c r="K54" s="242"/>
      <c r="L54"/>
      <c r="M54" s="12">
        <f t="shared" si="7"/>
        <v>1.5010000000000001</v>
      </c>
      <c r="N54" s="28" t="s">
        <v>524</v>
      </c>
    </row>
    <row r="55" spans="1:17" ht="15" thickBot="1">
      <c r="B55" s="4" t="s">
        <v>348</v>
      </c>
      <c r="C55" s="84">
        <v>0.23</v>
      </c>
      <c r="D55" s="4"/>
      <c r="E55" s="28" t="s">
        <v>524</v>
      </c>
      <c r="F55" s="28"/>
      <c r="G55" s="110"/>
      <c r="H55" s="49">
        <v>0.9</v>
      </c>
      <c r="I55" s="242"/>
      <c r="J55" s="242"/>
      <c r="K55" s="242"/>
      <c r="L55"/>
      <c r="M55" s="12">
        <f t="shared" si="7"/>
        <v>0.43700000000000006</v>
      </c>
      <c r="N55" s="28" t="s">
        <v>524</v>
      </c>
    </row>
    <row r="56" spans="1:17" ht="15.75" hidden="1" customHeight="1" thickBot="1">
      <c r="B56" s="4" t="s">
        <v>120</v>
      </c>
      <c r="C56" s="42">
        <v>0.11</v>
      </c>
      <c r="D56" s="4"/>
      <c r="E56" s="28" t="s">
        <v>524</v>
      </c>
      <c r="F56" s="28"/>
      <c r="G56" s="110"/>
      <c r="H56" s="49">
        <v>0.8</v>
      </c>
      <c r="I56" s="242"/>
      <c r="J56" s="242"/>
      <c r="K56" s="242"/>
      <c r="L56"/>
      <c r="M56" s="12">
        <f t="shared" si="7"/>
        <v>0.19800000000000001</v>
      </c>
      <c r="N56" s="28"/>
    </row>
    <row r="57" spans="1:17" ht="15" thickBot="1">
      <c r="B57" s="4" t="s">
        <v>53</v>
      </c>
      <c r="C57" s="84">
        <v>0.17</v>
      </c>
      <c r="D57" s="4" t="s">
        <v>0</v>
      </c>
      <c r="E57" s="28" t="s">
        <v>524</v>
      </c>
      <c r="F57" s="28"/>
      <c r="G57" s="110"/>
      <c r="H57" s="49">
        <v>0.9</v>
      </c>
      <c r="I57" s="242"/>
      <c r="J57" s="242"/>
      <c r="K57" s="242"/>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42"/>
      <c r="J58" s="242"/>
      <c r="K58" s="242"/>
      <c r="L58"/>
      <c r="M58" s="12" t="e">
        <f t="shared" si="7"/>
        <v>#REF!</v>
      </c>
      <c r="N58" s="28" t="s">
        <v>524</v>
      </c>
    </row>
    <row r="59" spans="1:17" ht="15.75" hidden="1" customHeight="1" thickBot="1">
      <c r="B59" s="4" t="s">
        <v>246</v>
      </c>
      <c r="C59" s="49" t="e">
        <f xml:space="preserve"> (1/6) *#REF!</f>
        <v>#REF!</v>
      </c>
      <c r="D59" s="4"/>
      <c r="E59" s="28" t="s">
        <v>247</v>
      </c>
      <c r="F59" s="28"/>
      <c r="G59" s="110"/>
      <c r="H59" s="49">
        <v>0.8</v>
      </c>
      <c r="I59" s="242"/>
      <c r="J59" s="242"/>
      <c r="K59" s="242"/>
      <c r="L59"/>
      <c r="M59" s="12" t="e">
        <f t="shared" si="7"/>
        <v>#REF!</v>
      </c>
      <c r="N59" s="28" t="s">
        <v>206</v>
      </c>
    </row>
    <row r="60" spans="1:17" ht="15" thickBot="1">
      <c r="B60" s="4" t="s">
        <v>68</v>
      </c>
      <c r="C60" s="42">
        <v>0.11</v>
      </c>
      <c r="D60" s="4"/>
      <c r="E60" s="28" t="s">
        <v>524</v>
      </c>
      <c r="F60" s="28"/>
      <c r="G60" s="110"/>
      <c r="H60" s="49">
        <v>0.9</v>
      </c>
      <c r="I60" s="242"/>
      <c r="J60" s="242"/>
      <c r="K60" s="242"/>
      <c r="L60"/>
      <c r="M60" s="161">
        <f t="shared" si="7"/>
        <v>0.20900000000000002</v>
      </c>
      <c r="N60" s="28" t="s">
        <v>524</v>
      </c>
    </row>
    <row r="61" spans="1:17" ht="15" thickBot="1">
      <c r="B61" s="4" t="s">
        <v>76</v>
      </c>
      <c r="C61" s="42">
        <v>0.11</v>
      </c>
      <c r="D61" s="4"/>
      <c r="E61" s="28" t="s">
        <v>524</v>
      </c>
      <c r="F61" s="28"/>
      <c r="G61" s="110"/>
      <c r="H61" s="49">
        <v>0.9</v>
      </c>
      <c r="I61" s="242"/>
      <c r="J61" s="242"/>
      <c r="K61" s="242"/>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09"/>
    <col min="6" max="6" width="12.5" style="310"/>
    <col min="7" max="37" width="12.5" style="264"/>
    <col min="38" max="16384" width="12.5" style="5"/>
  </cols>
  <sheetData>
    <row r="1" spans="1:37">
      <c r="A1" s="237" t="s">
        <v>701</v>
      </c>
    </row>
    <row r="2" spans="1:37">
      <c r="A2" s="237" t="s">
        <v>653</v>
      </c>
    </row>
    <row r="3" spans="1:37">
      <c r="A3" s="237" t="s">
        <v>654</v>
      </c>
    </row>
    <row r="5" spans="1:37">
      <c r="A5" s="6" t="s">
        <v>185</v>
      </c>
    </row>
    <row r="6" spans="1:37">
      <c r="A6" s="6" t="s">
        <v>184</v>
      </c>
    </row>
    <row r="9" spans="1:37">
      <c r="AK9" s="265" t="s">
        <v>711</v>
      </c>
    </row>
    <row r="10" spans="1:37">
      <c r="B10" s="311" t="s">
        <v>7</v>
      </c>
      <c r="C10" s="311" t="s">
        <v>8</v>
      </c>
      <c r="D10" s="311" t="s">
        <v>9</v>
      </c>
      <c r="E10" s="311" t="s">
        <v>10</v>
      </c>
      <c r="F10" s="312" t="s">
        <v>11</v>
      </c>
      <c r="G10" s="265" t="s">
        <v>12</v>
      </c>
      <c r="H10" s="265" t="s">
        <v>13</v>
      </c>
      <c r="I10" s="265" t="s">
        <v>14</v>
      </c>
      <c r="J10" s="265" t="s">
        <v>15</v>
      </c>
      <c r="K10" s="265" t="s">
        <v>16</v>
      </c>
      <c r="L10" s="265" t="s">
        <v>17</v>
      </c>
      <c r="M10" s="265" t="s">
        <v>18</v>
      </c>
      <c r="N10" s="265" t="s">
        <v>19</v>
      </c>
      <c r="O10" s="265" t="s">
        <v>20</v>
      </c>
      <c r="P10" s="265" t="s">
        <v>21</v>
      </c>
      <c r="Q10" s="265" t="s">
        <v>22</v>
      </c>
      <c r="R10" s="265" t="s">
        <v>23</v>
      </c>
      <c r="S10" s="265" t="s">
        <v>24</v>
      </c>
      <c r="T10" s="265" t="s">
        <v>25</v>
      </c>
      <c r="U10" s="265" t="s">
        <v>26</v>
      </c>
      <c r="V10" s="265" t="s">
        <v>27</v>
      </c>
      <c r="W10" s="265" t="s">
        <v>28</v>
      </c>
      <c r="X10" s="265" t="s">
        <v>29</v>
      </c>
      <c r="Y10" s="265" t="s">
        <v>30</v>
      </c>
      <c r="Z10" s="265" t="s">
        <v>31</v>
      </c>
      <c r="AA10" s="265" t="s">
        <v>578</v>
      </c>
      <c r="AB10" s="265" t="s">
        <v>579</v>
      </c>
      <c r="AC10" s="265" t="s">
        <v>580</v>
      </c>
      <c r="AD10" s="265" t="s">
        <v>581</v>
      </c>
      <c r="AE10" s="265" t="s">
        <v>582</v>
      </c>
      <c r="AF10" s="265" t="s">
        <v>583</v>
      </c>
      <c r="AG10" s="265" t="s">
        <v>584</v>
      </c>
      <c r="AH10" s="265" t="s">
        <v>585</v>
      </c>
      <c r="AI10" s="265" t="s">
        <v>586</v>
      </c>
      <c r="AJ10" s="265" t="s">
        <v>587</v>
      </c>
      <c r="AK10" s="265">
        <v>2040</v>
      </c>
    </row>
    <row r="13" spans="1:37">
      <c r="A13" s="6" t="s">
        <v>183</v>
      </c>
    </row>
    <row r="14" spans="1:37">
      <c r="A14" s="6" t="s">
        <v>182</v>
      </c>
      <c r="B14" s="313">
        <v>5.1020002365112296</v>
      </c>
      <c r="C14" s="313">
        <v>5.0669999122619602</v>
      </c>
      <c r="D14" s="313">
        <v>4.9539995193481401</v>
      </c>
      <c r="E14" s="313">
        <v>5.3799490928649902</v>
      </c>
      <c r="F14" s="314">
        <v>5.6095256805419904</v>
      </c>
      <c r="G14" s="258">
        <v>5.6580000000000004</v>
      </c>
      <c r="H14" s="258">
        <v>6.4939989999999996</v>
      </c>
      <c r="I14" s="258">
        <v>7.7220000000000004</v>
      </c>
      <c r="J14" s="258">
        <v>8.5288000000000004</v>
      </c>
      <c r="K14" s="258">
        <v>9.0378019999999992</v>
      </c>
      <c r="L14" s="258">
        <v>9.5417810000000003</v>
      </c>
      <c r="M14" s="258">
        <v>9.5568039999999996</v>
      </c>
      <c r="N14" s="258">
        <v>9.5754859999999997</v>
      </c>
      <c r="O14" s="258">
        <v>9.6082459999999994</v>
      </c>
      <c r="P14" s="258">
        <v>9.5525409999999997</v>
      </c>
      <c r="Q14" s="258">
        <v>9.4165030000000005</v>
      </c>
      <c r="R14" s="258">
        <v>9.2888249999999992</v>
      </c>
      <c r="S14" s="258">
        <v>9.1907350000000001</v>
      </c>
      <c r="T14" s="258">
        <v>9.0728480000000005</v>
      </c>
      <c r="U14" s="258">
        <v>9.0041829999999994</v>
      </c>
      <c r="V14" s="258">
        <v>8.8329439999999995</v>
      </c>
      <c r="W14" s="258">
        <v>8.6696600000000004</v>
      </c>
      <c r="X14" s="258">
        <v>8.5159219999999998</v>
      </c>
      <c r="Y14" s="258">
        <v>8.3804160000000003</v>
      </c>
      <c r="Z14" s="258">
        <v>8.3047140000000006</v>
      </c>
      <c r="AA14" s="258">
        <v>8.1595440000000004</v>
      </c>
      <c r="AB14" s="258">
        <v>8.0727349999999998</v>
      </c>
      <c r="AC14" s="258">
        <v>8.0446790000000004</v>
      </c>
      <c r="AD14" s="258">
        <v>7.984591</v>
      </c>
      <c r="AE14" s="258">
        <v>7.8722690000000002</v>
      </c>
      <c r="AF14" s="258">
        <v>7.7546290000000004</v>
      </c>
      <c r="AG14" s="258">
        <v>7.6994870000000004</v>
      </c>
      <c r="AH14" s="258">
        <v>7.5588430000000004</v>
      </c>
      <c r="AI14" s="258">
        <v>7.5302829999999998</v>
      </c>
      <c r="AJ14" s="258">
        <v>7.4801669999999998</v>
      </c>
      <c r="AK14" s="259">
        <v>5.0000000000000001E-3</v>
      </c>
    </row>
    <row r="15" spans="1:37">
      <c r="A15" s="6" t="s">
        <v>181</v>
      </c>
      <c r="B15" s="313">
        <v>0.74099999666214</v>
      </c>
      <c r="C15" s="313">
        <v>0.71899998188018799</v>
      </c>
      <c r="D15" s="313">
        <v>0.68000000715255704</v>
      </c>
      <c r="E15" s="313">
        <v>0.73478877544403098</v>
      </c>
      <c r="F15" s="314">
        <v>0.68565064668655396</v>
      </c>
      <c r="G15" s="258">
        <v>0.57199999999999995</v>
      </c>
      <c r="H15" s="258">
        <v>0.53</v>
      </c>
      <c r="I15" s="258">
        <v>0.51</v>
      </c>
      <c r="J15" s="258">
        <v>0.4738</v>
      </c>
      <c r="K15" s="258">
        <v>0.462835</v>
      </c>
      <c r="L15" s="258">
        <v>0.46215800000000001</v>
      </c>
      <c r="M15" s="258">
        <v>0.46993800000000002</v>
      </c>
      <c r="N15" s="258">
        <v>0.47195500000000001</v>
      </c>
      <c r="O15" s="258">
        <v>0.45399899999999999</v>
      </c>
      <c r="P15" s="258">
        <v>0.43714199999999998</v>
      </c>
      <c r="Q15" s="258">
        <v>0.41283700000000001</v>
      </c>
      <c r="R15" s="258">
        <v>0.388714</v>
      </c>
      <c r="S15" s="258">
        <v>0.36631000000000002</v>
      </c>
      <c r="T15" s="258">
        <v>0.34568500000000002</v>
      </c>
      <c r="U15" s="258">
        <v>0.32666899999999999</v>
      </c>
      <c r="V15" s="258">
        <v>0.30766500000000002</v>
      </c>
      <c r="W15" s="258">
        <v>0.28877399999999998</v>
      </c>
      <c r="X15" s="258">
        <v>0.27134900000000001</v>
      </c>
      <c r="Y15" s="258">
        <v>0.25525500000000001</v>
      </c>
      <c r="Z15" s="258">
        <v>0.240371</v>
      </c>
      <c r="AA15" s="258">
        <v>0.22658700000000001</v>
      </c>
      <c r="AB15" s="258">
        <v>0.273065</v>
      </c>
      <c r="AC15" s="258">
        <v>0.34021099999999999</v>
      </c>
      <c r="AD15" s="258">
        <v>0.38843800000000001</v>
      </c>
      <c r="AE15" s="258">
        <v>0.378168</v>
      </c>
      <c r="AF15" s="258">
        <v>0.36859700000000001</v>
      </c>
      <c r="AG15" s="258">
        <v>0.35966500000000001</v>
      </c>
      <c r="AH15" s="258">
        <v>0.321691</v>
      </c>
      <c r="AI15" s="258">
        <v>0.28870200000000001</v>
      </c>
      <c r="AJ15" s="258">
        <v>0.25998700000000002</v>
      </c>
      <c r="AK15" s="259">
        <v>-2.5000000000000001E-2</v>
      </c>
    </row>
    <row r="16" spans="1:37">
      <c r="A16" s="6" t="s">
        <v>180</v>
      </c>
      <c r="B16" s="313">
        <v>4.3610000610351598</v>
      </c>
      <c r="C16" s="313">
        <v>4.34800004959106</v>
      </c>
      <c r="D16" s="313">
        <v>4.2739996910095197</v>
      </c>
      <c r="E16" s="313">
        <v>4.6451601982116699</v>
      </c>
      <c r="F16" s="314">
        <v>4.9238753318786603</v>
      </c>
      <c r="G16" s="258">
        <v>5.0860000000000003</v>
      </c>
      <c r="H16" s="258">
        <v>5.9640000000000004</v>
      </c>
      <c r="I16" s="258">
        <v>7.2119999999999997</v>
      </c>
      <c r="J16" s="258">
        <v>8.0549999999999997</v>
      </c>
      <c r="K16" s="258">
        <v>8.5749659999999999</v>
      </c>
      <c r="L16" s="258">
        <v>9.0796240000000008</v>
      </c>
      <c r="M16" s="258">
        <v>9.0868660000000006</v>
      </c>
      <c r="N16" s="258">
        <v>9.1035310000000003</v>
      </c>
      <c r="O16" s="258">
        <v>9.1542469999999998</v>
      </c>
      <c r="P16" s="258">
        <v>9.1153980000000008</v>
      </c>
      <c r="Q16" s="258">
        <v>9.0036670000000001</v>
      </c>
      <c r="R16" s="258">
        <v>8.9001110000000008</v>
      </c>
      <c r="S16" s="258">
        <v>8.8244249999999997</v>
      </c>
      <c r="T16" s="258">
        <v>8.7271629999999991</v>
      </c>
      <c r="U16" s="258">
        <v>8.6775140000000004</v>
      </c>
      <c r="V16" s="258">
        <v>8.5252789999999994</v>
      </c>
      <c r="W16" s="258">
        <v>8.3808860000000003</v>
      </c>
      <c r="X16" s="258">
        <v>8.2445730000000008</v>
      </c>
      <c r="Y16" s="258">
        <v>8.1251610000000003</v>
      </c>
      <c r="Z16" s="258">
        <v>8.0643429999999992</v>
      </c>
      <c r="AA16" s="258">
        <v>7.932957</v>
      </c>
      <c r="AB16" s="258">
        <v>7.7996699999999999</v>
      </c>
      <c r="AC16" s="258">
        <v>7.7044680000000003</v>
      </c>
      <c r="AD16" s="258">
        <v>7.5961540000000003</v>
      </c>
      <c r="AE16" s="258">
        <v>7.4941009999999997</v>
      </c>
      <c r="AF16" s="258">
        <v>7.3860330000000003</v>
      </c>
      <c r="AG16" s="258">
        <v>7.3398209999999997</v>
      </c>
      <c r="AH16" s="258">
        <v>7.2371509999999999</v>
      </c>
      <c r="AI16" s="258">
        <v>7.241581</v>
      </c>
      <c r="AJ16" s="258">
        <v>7.2201810000000002</v>
      </c>
      <c r="AK16" s="259">
        <v>7.0000000000000001E-3</v>
      </c>
    </row>
    <row r="17" spans="1:38">
      <c r="A17" s="6" t="s">
        <v>179</v>
      </c>
      <c r="B17" s="313">
        <v>10.093000411987299</v>
      </c>
      <c r="C17" s="313">
        <v>10.003999710083001</v>
      </c>
      <c r="D17" s="313">
        <v>9.7010002136230504</v>
      </c>
      <c r="E17" s="313">
        <v>8.9919996261596697</v>
      </c>
      <c r="F17" s="314">
        <v>8.3191394805908203</v>
      </c>
      <c r="G17" s="258">
        <v>8.8879999999999999</v>
      </c>
      <c r="H17" s="258">
        <v>8.4319989999999994</v>
      </c>
      <c r="I17" s="258">
        <v>7.3609999999999998</v>
      </c>
      <c r="J17" s="258">
        <v>6.452</v>
      </c>
      <c r="K17" s="258">
        <v>6.1656769999999996</v>
      </c>
      <c r="L17" s="258">
        <v>5.7677230000000002</v>
      </c>
      <c r="M17" s="258">
        <v>5.8143669999999998</v>
      </c>
      <c r="N17" s="258">
        <v>5.8087150000000003</v>
      </c>
      <c r="O17" s="258">
        <v>5.7589199999999998</v>
      </c>
      <c r="P17" s="258">
        <v>5.7870730000000004</v>
      </c>
      <c r="Q17" s="258">
        <v>5.8889449999999997</v>
      </c>
      <c r="R17" s="258">
        <v>5.9421790000000003</v>
      </c>
      <c r="S17" s="258">
        <v>5.9748789999999996</v>
      </c>
      <c r="T17" s="258">
        <v>6.0359290000000003</v>
      </c>
      <c r="U17" s="258">
        <v>6.0526869999999997</v>
      </c>
      <c r="V17" s="258">
        <v>6.1879960000000001</v>
      </c>
      <c r="W17" s="258">
        <v>6.3329610000000001</v>
      </c>
      <c r="X17" s="258">
        <v>6.455387</v>
      </c>
      <c r="Y17" s="258">
        <v>6.5668860000000002</v>
      </c>
      <c r="Z17" s="258">
        <v>6.635491</v>
      </c>
      <c r="AA17" s="258">
        <v>6.7795449999999997</v>
      </c>
      <c r="AB17" s="258">
        <v>6.8623289999999999</v>
      </c>
      <c r="AC17" s="258">
        <v>6.8977040000000001</v>
      </c>
      <c r="AD17" s="258">
        <v>6.9983430000000002</v>
      </c>
      <c r="AE17" s="258">
        <v>7.1493440000000001</v>
      </c>
      <c r="AF17" s="258">
        <v>7.303795</v>
      </c>
      <c r="AG17" s="258">
        <v>7.4063970000000001</v>
      </c>
      <c r="AH17" s="258">
        <v>7.6181229999999998</v>
      </c>
      <c r="AI17" s="258">
        <v>7.6624980000000003</v>
      </c>
      <c r="AJ17" s="258">
        <v>7.742801</v>
      </c>
      <c r="AK17" s="259">
        <v>-3.0000000000000001E-3</v>
      </c>
    </row>
    <row r="18" spans="1:38">
      <c r="A18" s="6" t="s">
        <v>178</v>
      </c>
      <c r="B18" s="313">
        <v>10.118000030517599</v>
      </c>
      <c r="C18" s="313">
        <v>10.0310001373291</v>
      </c>
      <c r="D18" s="313">
        <v>9.7280006408691406</v>
      </c>
      <c r="E18" s="313">
        <v>9.0190000534057599</v>
      </c>
      <c r="F18" s="314">
        <v>8.3490304946899396</v>
      </c>
      <c r="G18" s="258">
        <v>8.9350000000000005</v>
      </c>
      <c r="H18" s="258">
        <v>8.4920000000000009</v>
      </c>
      <c r="I18" s="258">
        <v>7.4809999999999999</v>
      </c>
      <c r="J18" s="258">
        <v>6.585</v>
      </c>
      <c r="K18" s="258">
        <v>6.3116139999999996</v>
      </c>
      <c r="L18" s="258">
        <v>5.9214209999999996</v>
      </c>
      <c r="M18" s="258">
        <v>5.9680070000000001</v>
      </c>
      <c r="N18" s="258">
        <v>5.9630130000000001</v>
      </c>
      <c r="O18" s="258">
        <v>5.9123679999999998</v>
      </c>
      <c r="P18" s="258">
        <v>5.9393659999999997</v>
      </c>
      <c r="Q18" s="258">
        <v>6.0361729999999998</v>
      </c>
      <c r="R18" s="258">
        <v>6.0801559999999997</v>
      </c>
      <c r="S18" s="258">
        <v>6.1090929999999997</v>
      </c>
      <c r="T18" s="258">
        <v>6.1684799999999997</v>
      </c>
      <c r="U18" s="258">
        <v>6.1836919999999997</v>
      </c>
      <c r="V18" s="258">
        <v>6.31792</v>
      </c>
      <c r="W18" s="258">
        <v>6.4623739999999996</v>
      </c>
      <c r="X18" s="258">
        <v>6.5838710000000003</v>
      </c>
      <c r="Y18" s="258">
        <v>6.6953279999999999</v>
      </c>
      <c r="Z18" s="258">
        <v>6.7654339999999999</v>
      </c>
      <c r="AA18" s="258">
        <v>6.9090009999999999</v>
      </c>
      <c r="AB18" s="258">
        <v>6.9898129999999998</v>
      </c>
      <c r="AC18" s="258">
        <v>7.0234620000000003</v>
      </c>
      <c r="AD18" s="258">
        <v>7.1230440000000002</v>
      </c>
      <c r="AE18" s="258">
        <v>7.2727890000000004</v>
      </c>
      <c r="AF18" s="258">
        <v>7.4277439999999997</v>
      </c>
      <c r="AG18" s="258">
        <v>7.5305350000000004</v>
      </c>
      <c r="AH18" s="258">
        <v>7.7422449999999996</v>
      </c>
      <c r="AI18" s="258">
        <v>7.7863189999999998</v>
      </c>
      <c r="AJ18" s="258">
        <v>7.866511</v>
      </c>
      <c r="AK18" s="259">
        <v>-3.0000000000000001E-3</v>
      </c>
    </row>
    <row r="19" spans="1:38">
      <c r="A19" s="6" t="s">
        <v>169</v>
      </c>
      <c r="B19" s="313">
        <v>2.5000000372528999E-2</v>
      </c>
      <c r="C19" s="313">
        <v>2.70000007003546E-2</v>
      </c>
      <c r="D19" s="313">
        <v>2.70000007003546E-2</v>
      </c>
      <c r="E19" s="313">
        <v>2.70000007003546E-2</v>
      </c>
      <c r="F19" s="314">
        <v>2.9890902340412102E-2</v>
      </c>
      <c r="G19" s="258">
        <v>4.7E-2</v>
      </c>
      <c r="H19" s="258">
        <v>0.06</v>
      </c>
      <c r="I19" s="258">
        <v>0.12</v>
      </c>
      <c r="J19" s="258">
        <v>0.13300000000000001</v>
      </c>
      <c r="K19" s="258">
        <v>0.14593700000000001</v>
      </c>
      <c r="L19" s="258">
        <v>0.153697</v>
      </c>
      <c r="M19" s="258">
        <v>0.15364</v>
      </c>
      <c r="N19" s="258">
        <v>0.15429799999999999</v>
      </c>
      <c r="O19" s="258">
        <v>0.153447</v>
      </c>
      <c r="P19" s="258">
        <v>0.15229300000000001</v>
      </c>
      <c r="Q19" s="258">
        <v>0.147228</v>
      </c>
      <c r="R19" s="258">
        <v>0.13797699999999999</v>
      </c>
      <c r="S19" s="258">
        <v>0.134215</v>
      </c>
      <c r="T19" s="258">
        <v>0.132551</v>
      </c>
      <c r="U19" s="258">
        <v>0.13100500000000001</v>
      </c>
      <c r="V19" s="258">
        <v>0.12992400000000001</v>
      </c>
      <c r="W19" s="258">
        <v>0.129414</v>
      </c>
      <c r="X19" s="258">
        <v>0.12848499999999999</v>
      </c>
      <c r="Y19" s="258">
        <v>0.128441</v>
      </c>
      <c r="Z19" s="258">
        <v>0.129943</v>
      </c>
      <c r="AA19" s="258">
        <v>0.12945599999999999</v>
      </c>
      <c r="AB19" s="258">
        <v>0.12748399999999999</v>
      </c>
      <c r="AC19" s="258">
        <v>0.12575900000000001</v>
      </c>
      <c r="AD19" s="258">
        <v>0.12470100000000001</v>
      </c>
      <c r="AE19" s="258">
        <v>0.123445</v>
      </c>
      <c r="AF19" s="258">
        <v>0.123949</v>
      </c>
      <c r="AG19" s="258">
        <v>0.124137</v>
      </c>
      <c r="AH19" s="258">
        <v>0.124122</v>
      </c>
      <c r="AI19" s="258">
        <v>0.123821</v>
      </c>
      <c r="AJ19" s="258">
        <v>0.12371</v>
      </c>
      <c r="AK19" s="259">
        <v>2.5999999999999999E-2</v>
      </c>
    </row>
    <row r="20" spans="1:38">
      <c r="A20" s="6" t="s">
        <v>177</v>
      </c>
      <c r="B20" s="313">
        <v>4.80000004172325E-2</v>
      </c>
      <c r="C20" s="313">
        <v>8.79999995231628E-2</v>
      </c>
      <c r="D20" s="313">
        <v>-2.9999997466802601E-2</v>
      </c>
      <c r="E20" s="313">
        <v>1.9999999552965199E-2</v>
      </c>
      <c r="F20" s="314">
        <v>0</v>
      </c>
      <c r="G20" s="258">
        <v>0.26600000000000001</v>
      </c>
      <c r="H20" s="258">
        <v>8.6999999999999994E-2</v>
      </c>
      <c r="I20" s="258">
        <v>0.23400000000000001</v>
      </c>
      <c r="J20" s="258">
        <v>0.161</v>
      </c>
      <c r="K20" s="258">
        <v>0</v>
      </c>
      <c r="L20" s="258">
        <v>0</v>
      </c>
      <c r="M20" s="258">
        <v>0</v>
      </c>
      <c r="N20" s="258">
        <v>0</v>
      </c>
      <c r="O20" s="258">
        <v>0</v>
      </c>
      <c r="P20" s="258">
        <v>0</v>
      </c>
      <c r="Q20" s="258">
        <v>0</v>
      </c>
      <c r="R20" s="258">
        <v>0</v>
      </c>
      <c r="S20" s="258">
        <v>0</v>
      </c>
      <c r="T20" s="258">
        <v>0</v>
      </c>
      <c r="U20" s="258">
        <v>0</v>
      </c>
      <c r="V20" s="258">
        <v>0</v>
      </c>
      <c r="W20" s="258">
        <v>0</v>
      </c>
      <c r="X20" s="258">
        <v>0</v>
      </c>
      <c r="Y20" s="258">
        <v>0</v>
      </c>
      <c r="Z20" s="258">
        <v>0</v>
      </c>
      <c r="AA20" s="258">
        <v>0</v>
      </c>
      <c r="AB20" s="258">
        <v>0</v>
      </c>
      <c r="AC20" s="258">
        <v>0</v>
      </c>
      <c r="AD20" s="258">
        <v>0</v>
      </c>
      <c r="AE20" s="258">
        <v>0</v>
      </c>
      <c r="AF20" s="258">
        <v>0</v>
      </c>
      <c r="AG20" s="258">
        <v>0</v>
      </c>
      <c r="AH20" s="258">
        <v>0</v>
      </c>
      <c r="AI20" s="258">
        <v>0</v>
      </c>
      <c r="AJ20" s="258">
        <v>0</v>
      </c>
      <c r="AK20" s="258" t="s">
        <v>41</v>
      </c>
    </row>
    <row r="21" spans="1:38">
      <c r="A21" s="6" t="s">
        <v>176</v>
      </c>
      <c r="B21" s="313">
        <v>15.2430009841919</v>
      </c>
      <c r="C21" s="313">
        <v>15.158999443054199</v>
      </c>
      <c r="D21" s="313">
        <v>14.625</v>
      </c>
      <c r="E21" s="313">
        <v>14.3919486999512</v>
      </c>
      <c r="F21" s="314">
        <v>13.9286651611328</v>
      </c>
      <c r="G21" s="213">
        <v>14.811999999999999</v>
      </c>
      <c r="H21" s="213">
        <v>15.012999000000001</v>
      </c>
      <c r="I21" s="213">
        <v>15.317</v>
      </c>
      <c r="J21" s="213">
        <v>15.141800999999999</v>
      </c>
      <c r="K21" s="213">
        <v>15.203478</v>
      </c>
      <c r="L21" s="213">
        <v>15.309505</v>
      </c>
      <c r="M21" s="213">
        <v>15.371171</v>
      </c>
      <c r="N21" s="213">
        <v>15.384200999999999</v>
      </c>
      <c r="O21" s="213">
        <v>15.367167</v>
      </c>
      <c r="P21" s="213">
        <v>15.339613999999999</v>
      </c>
      <c r="Q21" s="213">
        <v>15.305448999999999</v>
      </c>
      <c r="R21" s="213">
        <v>15.231005</v>
      </c>
      <c r="S21" s="213">
        <v>15.165613</v>
      </c>
      <c r="T21" s="213">
        <v>15.108777</v>
      </c>
      <c r="U21" s="213">
        <v>15.05687</v>
      </c>
      <c r="V21" s="213">
        <v>15.020941000000001</v>
      </c>
      <c r="W21" s="213">
        <v>15.002621</v>
      </c>
      <c r="X21" s="213">
        <v>14.971308000000001</v>
      </c>
      <c r="Y21" s="213">
        <v>14.947302000000001</v>
      </c>
      <c r="Z21" s="213">
        <v>14.940206</v>
      </c>
      <c r="AA21" s="213">
        <v>14.939088999999999</v>
      </c>
      <c r="AB21" s="213">
        <v>14.935063</v>
      </c>
      <c r="AC21" s="213">
        <v>14.942383</v>
      </c>
      <c r="AD21" s="213">
        <v>14.982934999999999</v>
      </c>
      <c r="AE21" s="213">
        <v>15.021611999999999</v>
      </c>
      <c r="AF21" s="213">
        <v>15.058424</v>
      </c>
      <c r="AG21" s="213">
        <v>15.105885000000001</v>
      </c>
      <c r="AH21" s="213">
        <v>15.176966</v>
      </c>
      <c r="AI21" s="213">
        <v>15.192781</v>
      </c>
      <c r="AJ21" s="213">
        <v>15.222968</v>
      </c>
      <c r="AK21" s="214">
        <v>0</v>
      </c>
    </row>
    <row r="23" spans="1:38">
      <c r="A23" s="6" t="s">
        <v>175</v>
      </c>
    </row>
    <row r="24" spans="1:38" s="216" customFormat="1">
      <c r="A24" s="215" t="s">
        <v>174</v>
      </c>
      <c r="B24" s="313">
        <v>1.7380001544952399</v>
      </c>
      <c r="C24" s="313">
        <v>1.7829999923706099</v>
      </c>
      <c r="D24" s="313">
        <v>1.82499992847443</v>
      </c>
      <c r="E24" s="313">
        <v>1.81299996376038</v>
      </c>
      <c r="F24" s="314">
        <v>1.86609554290771</v>
      </c>
      <c r="G24" s="260">
        <v>2.2160000000000002</v>
      </c>
      <c r="H24" s="260">
        <v>2.4</v>
      </c>
      <c r="I24" s="260">
        <v>2.4900000000000002</v>
      </c>
      <c r="J24" s="260">
        <v>2.5089999999999999</v>
      </c>
      <c r="K24" s="260">
        <v>2.5561180000000001</v>
      </c>
      <c r="L24" s="260">
        <v>2.6337290000000002</v>
      </c>
      <c r="M24" s="260">
        <v>2.6633930000000001</v>
      </c>
      <c r="N24" s="260">
        <v>2.6705079999999999</v>
      </c>
      <c r="O24" s="260">
        <v>2.669905</v>
      </c>
      <c r="P24" s="260">
        <v>2.6458759999999999</v>
      </c>
      <c r="Q24" s="260">
        <v>2.60798</v>
      </c>
      <c r="R24" s="260">
        <v>2.7045080000000001</v>
      </c>
      <c r="S24" s="260">
        <v>2.7930269999999999</v>
      </c>
      <c r="T24" s="260">
        <v>2.8390249999999999</v>
      </c>
      <c r="U24" s="260">
        <v>2.8728980000000002</v>
      </c>
      <c r="V24" s="260">
        <v>2.9033150000000001</v>
      </c>
      <c r="W24" s="260">
        <v>2.9228930000000002</v>
      </c>
      <c r="X24" s="260">
        <v>2.9406509999999999</v>
      </c>
      <c r="Y24" s="260">
        <v>2.9505080000000001</v>
      </c>
      <c r="Z24" s="260">
        <v>2.978853</v>
      </c>
      <c r="AA24" s="260">
        <v>3.0103460000000002</v>
      </c>
      <c r="AB24" s="260">
        <v>3.0288490000000001</v>
      </c>
      <c r="AC24" s="260">
        <v>3.0383969999999998</v>
      </c>
      <c r="AD24" s="260">
        <v>3.0546120000000001</v>
      </c>
      <c r="AE24" s="260">
        <v>3.0492400000000002</v>
      </c>
      <c r="AF24" s="260">
        <v>3.0289980000000001</v>
      </c>
      <c r="AG24" s="260">
        <v>3.058621</v>
      </c>
      <c r="AH24" s="260">
        <v>3.037477</v>
      </c>
      <c r="AI24" s="260">
        <v>3.013617</v>
      </c>
      <c r="AJ24" s="260">
        <v>2.983552</v>
      </c>
      <c r="AK24" s="261">
        <v>8.0000000000000002E-3</v>
      </c>
    </row>
    <row r="25" spans="1:38">
      <c r="A25" s="6" t="s">
        <v>173</v>
      </c>
      <c r="B25" s="313">
        <v>2.3140001296997101</v>
      </c>
      <c r="C25" s="313">
        <v>2.0869998931884801</v>
      </c>
      <c r="D25" s="313">
        <v>1.29999995231628</v>
      </c>
      <c r="E25" s="313">
        <v>1.3280000686645499</v>
      </c>
      <c r="F25" s="314">
        <v>1.6039888858795199</v>
      </c>
      <c r="G25" s="258">
        <v>-0.252</v>
      </c>
      <c r="H25" s="258">
        <v>-0.91600000000000004</v>
      </c>
      <c r="I25" s="258">
        <v>-0.98799999999999999</v>
      </c>
      <c r="J25" s="258">
        <v>-1.0289999999999999</v>
      </c>
      <c r="K25" s="258">
        <v>-0.96462499999999995</v>
      </c>
      <c r="L25" s="258">
        <v>-0.94448699999999997</v>
      </c>
      <c r="M25" s="258">
        <v>-0.93183700000000003</v>
      </c>
      <c r="N25" s="258">
        <v>-0.91123600000000005</v>
      </c>
      <c r="O25" s="258">
        <v>-0.88706300000000005</v>
      </c>
      <c r="P25" s="258">
        <v>-0.85573100000000002</v>
      </c>
      <c r="Q25" s="258">
        <v>-0.83163799999999999</v>
      </c>
      <c r="R25" s="258">
        <v>-0.89107099999999995</v>
      </c>
      <c r="S25" s="258">
        <v>-0.94251600000000002</v>
      </c>
      <c r="T25" s="258">
        <v>-0.97565599999999997</v>
      </c>
      <c r="U25" s="258">
        <v>-1.0068220000000001</v>
      </c>
      <c r="V25" s="258">
        <v>-1.068271</v>
      </c>
      <c r="W25" s="258">
        <v>-1.122708</v>
      </c>
      <c r="X25" s="258">
        <v>-1.1588719999999999</v>
      </c>
      <c r="Y25" s="258">
        <v>-1.2142729999999999</v>
      </c>
      <c r="Z25" s="258">
        <v>-1.293569</v>
      </c>
      <c r="AA25" s="258">
        <v>-1.3683129999999999</v>
      </c>
      <c r="AB25" s="258">
        <v>-1.4270320000000001</v>
      </c>
      <c r="AC25" s="258">
        <v>-1.482378</v>
      </c>
      <c r="AD25" s="258">
        <v>-1.563064</v>
      </c>
      <c r="AE25" s="258">
        <v>-1.613156</v>
      </c>
      <c r="AF25" s="258">
        <v>-1.650264</v>
      </c>
      <c r="AG25" s="258">
        <v>-1.716191</v>
      </c>
      <c r="AH25" s="258">
        <v>-1.7615620000000001</v>
      </c>
      <c r="AI25" s="258">
        <v>-1.7771790000000001</v>
      </c>
      <c r="AJ25" s="258">
        <v>-1.816797</v>
      </c>
      <c r="AK25" s="259">
        <v>2.5000000000000001E-2</v>
      </c>
    </row>
    <row r="26" spans="1:38">
      <c r="A26" s="6" t="s">
        <v>172</v>
      </c>
      <c r="B26" s="313">
        <v>2.1710000038146999</v>
      </c>
      <c r="C26" s="313">
        <v>1.93800008296967</v>
      </c>
      <c r="D26" s="313">
        <v>1.0240000486373899</v>
      </c>
      <c r="E26" s="313">
        <v>1.06200003623962</v>
      </c>
      <c r="F26" s="314">
        <v>1.54514491558075</v>
      </c>
      <c r="G26" s="258">
        <v>1.151</v>
      </c>
      <c r="H26" s="258">
        <v>0.84799999999999998</v>
      </c>
      <c r="I26" s="258">
        <v>0.70899999999999996</v>
      </c>
      <c r="J26" s="258">
        <v>0.72</v>
      </c>
      <c r="K26" s="258">
        <v>0.81863200000000003</v>
      </c>
      <c r="L26" s="258">
        <v>0.88173000000000001</v>
      </c>
      <c r="M26" s="258">
        <v>0.906914</v>
      </c>
      <c r="N26" s="258">
        <v>0.93180099999999999</v>
      </c>
      <c r="O26" s="258">
        <v>0.95816500000000004</v>
      </c>
      <c r="P26" s="258">
        <v>0.97589599999999999</v>
      </c>
      <c r="Q26" s="258">
        <v>0.98990599999999995</v>
      </c>
      <c r="R26" s="258">
        <v>1.006778</v>
      </c>
      <c r="S26" s="258">
        <v>1.0199199999999999</v>
      </c>
      <c r="T26" s="258">
        <v>1.03091</v>
      </c>
      <c r="U26" s="258">
        <v>1.05515</v>
      </c>
      <c r="V26" s="258">
        <v>1.0587679999999999</v>
      </c>
      <c r="W26" s="258">
        <v>1.0657570000000001</v>
      </c>
      <c r="X26" s="258">
        <v>1.0659179999999999</v>
      </c>
      <c r="Y26" s="258">
        <v>1.061431</v>
      </c>
      <c r="Z26" s="258">
        <v>1.0560160000000001</v>
      </c>
      <c r="AA26" s="258">
        <v>1.05697</v>
      </c>
      <c r="AB26" s="258">
        <v>1.0702149999999999</v>
      </c>
      <c r="AC26" s="258">
        <v>1.072165</v>
      </c>
      <c r="AD26" s="258">
        <v>1.0766100000000001</v>
      </c>
      <c r="AE26" s="258">
        <v>1.0822270000000001</v>
      </c>
      <c r="AF26" s="258">
        <v>1.093154</v>
      </c>
      <c r="AG26" s="258">
        <v>1.095712</v>
      </c>
      <c r="AH26" s="258">
        <v>1.0972550000000001</v>
      </c>
      <c r="AI26" s="258">
        <v>1.1087450000000001</v>
      </c>
      <c r="AJ26" s="258">
        <v>1.0974060000000001</v>
      </c>
      <c r="AK26" s="259">
        <v>8.9999999999999993E-3</v>
      </c>
    </row>
    <row r="27" spans="1:38">
      <c r="A27" s="6" t="s">
        <v>171</v>
      </c>
      <c r="B27" s="313">
        <v>0.68900001049041704</v>
      </c>
      <c r="C27" s="313">
        <v>0.71700000762939498</v>
      </c>
      <c r="D27" s="313">
        <v>0.60663330554962203</v>
      </c>
      <c r="E27" s="313">
        <v>0.60996818542480502</v>
      </c>
      <c r="F27" s="314">
        <v>0.60277581214904796</v>
      </c>
      <c r="G27" s="258">
        <v>0.68700000000000006</v>
      </c>
      <c r="H27" s="258">
        <v>0.60299999999999998</v>
      </c>
      <c r="I27" s="258">
        <v>0.58599999999999997</v>
      </c>
      <c r="J27" s="258">
        <v>0.54400000000000004</v>
      </c>
      <c r="K27" s="258">
        <v>0.540385</v>
      </c>
      <c r="L27" s="258">
        <v>0.53676900000000005</v>
      </c>
      <c r="M27" s="258">
        <v>0.53315299999999999</v>
      </c>
      <c r="N27" s="258">
        <v>0.52953899999999998</v>
      </c>
      <c r="O27" s="258">
        <v>0.52592300000000003</v>
      </c>
      <c r="P27" s="258">
        <v>0.52230699999999997</v>
      </c>
      <c r="Q27" s="258">
        <v>0.51869299999999996</v>
      </c>
      <c r="R27" s="258">
        <v>0.51507700000000001</v>
      </c>
      <c r="S27" s="258">
        <v>0.51146100000000005</v>
      </c>
      <c r="T27" s="258">
        <v>0.50784600000000002</v>
      </c>
      <c r="U27" s="258">
        <v>0.50423099999999998</v>
      </c>
      <c r="V27" s="258">
        <v>0.50061500000000003</v>
      </c>
      <c r="W27" s="258">
        <v>0.497</v>
      </c>
      <c r="X27" s="258">
        <v>0.49338500000000002</v>
      </c>
      <c r="Y27" s="258">
        <v>0.48976900000000001</v>
      </c>
      <c r="Z27" s="258">
        <v>0.48615399999999998</v>
      </c>
      <c r="AA27" s="258">
        <v>0.48253800000000002</v>
      </c>
      <c r="AB27" s="258">
        <v>0.47892299999999999</v>
      </c>
      <c r="AC27" s="258">
        <v>0.47530800000000001</v>
      </c>
      <c r="AD27" s="258">
        <v>0.471692</v>
      </c>
      <c r="AE27" s="258">
        <v>0.46807700000000002</v>
      </c>
      <c r="AF27" s="258">
        <v>0.46446199999999999</v>
      </c>
      <c r="AG27" s="258">
        <v>0.46084599999999998</v>
      </c>
      <c r="AH27" s="258">
        <v>0.45723000000000003</v>
      </c>
      <c r="AI27" s="258">
        <v>0.45361600000000002</v>
      </c>
      <c r="AJ27" s="258">
        <v>0.45</v>
      </c>
      <c r="AK27" s="259">
        <v>-0.01</v>
      </c>
    </row>
    <row r="28" spans="1:38">
      <c r="A28" s="6" t="s">
        <v>170</v>
      </c>
      <c r="B28" s="313">
        <v>0.67700004577636697</v>
      </c>
      <c r="C28" s="313">
        <v>0.75300002098083496</v>
      </c>
      <c r="D28" s="313">
        <v>0.73199999332428001</v>
      </c>
      <c r="E28" s="313">
        <v>0.71799999475479104</v>
      </c>
      <c r="F28" s="314">
        <v>0.62520116567611705</v>
      </c>
      <c r="G28" s="258">
        <v>0.71799999999999997</v>
      </c>
      <c r="H28" s="258">
        <v>0.61599999999999999</v>
      </c>
      <c r="I28" s="258">
        <v>0.61</v>
      </c>
      <c r="J28" s="258">
        <v>0.6</v>
      </c>
      <c r="K28" s="258">
        <v>0.67105999999999999</v>
      </c>
      <c r="L28" s="258">
        <v>0.66229499999999997</v>
      </c>
      <c r="M28" s="258">
        <v>0.65169100000000002</v>
      </c>
      <c r="N28" s="258">
        <v>0.64020900000000003</v>
      </c>
      <c r="O28" s="258">
        <v>0.62541100000000005</v>
      </c>
      <c r="P28" s="258">
        <v>0.61513700000000004</v>
      </c>
      <c r="Q28" s="258">
        <v>0.606742</v>
      </c>
      <c r="R28" s="258">
        <v>0.595522</v>
      </c>
      <c r="S28" s="258">
        <v>0.58620099999999997</v>
      </c>
      <c r="T28" s="258">
        <v>0.57591400000000004</v>
      </c>
      <c r="U28" s="258">
        <v>0.55055799999999999</v>
      </c>
      <c r="V28" s="258">
        <v>0.53803599999999996</v>
      </c>
      <c r="W28" s="258">
        <v>0.524864</v>
      </c>
      <c r="X28" s="258">
        <v>0.51505000000000001</v>
      </c>
      <c r="Y28" s="258">
        <v>0.50508799999999998</v>
      </c>
      <c r="Z28" s="258">
        <v>0.49612200000000001</v>
      </c>
      <c r="AA28" s="258">
        <v>0.48664200000000002</v>
      </c>
      <c r="AB28" s="258">
        <v>0.47747699999999998</v>
      </c>
      <c r="AC28" s="258">
        <v>0.46830300000000002</v>
      </c>
      <c r="AD28" s="258">
        <v>0.45679599999999998</v>
      </c>
      <c r="AE28" s="258">
        <v>0.44836500000000001</v>
      </c>
      <c r="AF28" s="258">
        <v>0.43787900000000002</v>
      </c>
      <c r="AG28" s="258">
        <v>0.42837799999999998</v>
      </c>
      <c r="AH28" s="258">
        <v>0.41841600000000001</v>
      </c>
      <c r="AI28" s="258">
        <v>0.40845399999999998</v>
      </c>
      <c r="AJ28" s="258">
        <v>0.39849099999999998</v>
      </c>
      <c r="AK28" s="259">
        <v>-1.4999999999999999E-2</v>
      </c>
    </row>
    <row r="29" spans="1:38">
      <c r="A29" s="6" t="s">
        <v>169</v>
      </c>
      <c r="B29" s="313">
        <v>1.2150000333786</v>
      </c>
      <c r="C29" s="313">
        <v>1.32100009918213</v>
      </c>
      <c r="D29" s="313">
        <v>1.2150000333786</v>
      </c>
      <c r="E29" s="313">
        <v>1.2150000333786</v>
      </c>
      <c r="F29" s="314">
        <v>1.16913342475891</v>
      </c>
      <c r="G29" s="258">
        <v>2.8079999999999998</v>
      </c>
      <c r="H29" s="258">
        <v>2.9830000000000001</v>
      </c>
      <c r="I29" s="258">
        <v>2.8929999999999998</v>
      </c>
      <c r="J29" s="258">
        <v>2.8929999999999998</v>
      </c>
      <c r="K29" s="258">
        <v>2.9947010000000001</v>
      </c>
      <c r="L29" s="258">
        <v>3.0252810000000001</v>
      </c>
      <c r="M29" s="258">
        <v>3.023596</v>
      </c>
      <c r="N29" s="258">
        <v>3.0127839999999999</v>
      </c>
      <c r="O29" s="258">
        <v>2.9965619999999999</v>
      </c>
      <c r="P29" s="258">
        <v>2.9690720000000002</v>
      </c>
      <c r="Q29" s="258">
        <v>2.9469789999999998</v>
      </c>
      <c r="R29" s="258">
        <v>3.0084490000000002</v>
      </c>
      <c r="S29" s="258">
        <v>3.0600990000000001</v>
      </c>
      <c r="T29" s="258">
        <v>3.090325</v>
      </c>
      <c r="U29" s="258">
        <v>3.1167609999999999</v>
      </c>
      <c r="V29" s="258">
        <v>3.1656900000000001</v>
      </c>
      <c r="W29" s="258">
        <v>3.2103290000000002</v>
      </c>
      <c r="X29" s="258">
        <v>3.2332260000000002</v>
      </c>
      <c r="Y29" s="258">
        <v>3.2705609999999998</v>
      </c>
      <c r="Z29" s="258">
        <v>3.331861</v>
      </c>
      <c r="AA29" s="258">
        <v>3.3944640000000001</v>
      </c>
      <c r="AB29" s="258">
        <v>3.4536470000000001</v>
      </c>
      <c r="AC29" s="258">
        <v>3.498154</v>
      </c>
      <c r="AD29" s="258">
        <v>3.5681620000000001</v>
      </c>
      <c r="AE29" s="258">
        <v>3.6118250000000001</v>
      </c>
      <c r="AF29" s="258">
        <v>3.6457579999999998</v>
      </c>
      <c r="AG29" s="258">
        <v>3.7011270000000001</v>
      </c>
      <c r="AH29" s="258">
        <v>3.7344629999999999</v>
      </c>
      <c r="AI29" s="258">
        <v>3.7479930000000001</v>
      </c>
      <c r="AJ29" s="258">
        <v>3.7626949999999999</v>
      </c>
      <c r="AK29" s="259">
        <v>8.0000000000000002E-3</v>
      </c>
    </row>
    <row r="30" spans="1:38">
      <c r="A30" s="6" t="s">
        <v>168</v>
      </c>
      <c r="B30" s="313">
        <v>0.99400001764297496</v>
      </c>
      <c r="C30" s="313">
        <v>0.99599999189376798</v>
      </c>
      <c r="D30" s="313">
        <v>0.99699997901916504</v>
      </c>
      <c r="E30" s="313">
        <v>0.97899997234344505</v>
      </c>
      <c r="F30" s="314">
        <v>0.97222220897674605</v>
      </c>
      <c r="G30" s="258">
        <v>1.0760000000000001</v>
      </c>
      <c r="H30" s="258">
        <v>1.077</v>
      </c>
      <c r="I30" s="258">
        <v>1.0620000000000001</v>
      </c>
      <c r="J30" s="258">
        <v>1.0549999999999999</v>
      </c>
      <c r="K30" s="258">
        <v>1.1173770000000001</v>
      </c>
      <c r="L30" s="258">
        <v>1.107977</v>
      </c>
      <c r="M30" s="258">
        <v>1.1068800000000001</v>
      </c>
      <c r="N30" s="258">
        <v>1.1013949999999999</v>
      </c>
      <c r="O30" s="258">
        <v>1.0899559999999999</v>
      </c>
      <c r="P30" s="258">
        <v>1.0810919999999999</v>
      </c>
      <c r="Q30" s="258">
        <v>1.070587</v>
      </c>
      <c r="R30" s="258">
        <v>1.0513539999999999</v>
      </c>
      <c r="S30" s="258">
        <v>1.032008</v>
      </c>
      <c r="T30" s="258">
        <v>1.0139609999999999</v>
      </c>
      <c r="U30" s="258">
        <v>0.99733000000000005</v>
      </c>
      <c r="V30" s="258">
        <v>0.98163100000000003</v>
      </c>
      <c r="W30" s="258">
        <v>0.97328499999999996</v>
      </c>
      <c r="X30" s="258">
        <v>0.96382100000000004</v>
      </c>
      <c r="Y30" s="258">
        <v>0.95674199999999998</v>
      </c>
      <c r="Z30" s="258">
        <v>0.95704199999999995</v>
      </c>
      <c r="AA30" s="258">
        <v>0.95328999999999997</v>
      </c>
      <c r="AB30" s="258">
        <v>0.95369499999999996</v>
      </c>
      <c r="AC30" s="258">
        <v>0.949291</v>
      </c>
      <c r="AD30" s="258">
        <v>0.94474999999999998</v>
      </c>
      <c r="AE30" s="258">
        <v>0.94433999999999996</v>
      </c>
      <c r="AF30" s="258">
        <v>0.94618999999999998</v>
      </c>
      <c r="AG30" s="258">
        <v>0.94669300000000001</v>
      </c>
      <c r="AH30" s="258">
        <v>0.95018899999999995</v>
      </c>
      <c r="AI30" s="258">
        <v>0.95436399999999999</v>
      </c>
      <c r="AJ30" s="258">
        <v>0.95464199999999999</v>
      </c>
      <c r="AK30" s="259">
        <v>-4.0000000000000001E-3</v>
      </c>
    </row>
    <row r="31" spans="1:38">
      <c r="A31" s="6" t="s">
        <v>687</v>
      </c>
      <c r="B31" s="313">
        <v>0.40835106372833302</v>
      </c>
      <c r="C31" s="313">
        <v>0.74303030967712402</v>
      </c>
      <c r="D31" s="313">
        <v>0.90019965171813998</v>
      </c>
      <c r="E31" s="313">
        <v>0.90936332941055298</v>
      </c>
      <c r="F31" s="314">
        <v>1.2169610261917101</v>
      </c>
      <c r="G31" s="258">
        <v>0.87458199999999997</v>
      </c>
      <c r="H31" s="258">
        <v>0.88629000000000002</v>
      </c>
      <c r="I31" s="258">
        <v>0.91131799999999996</v>
      </c>
      <c r="J31" s="258">
        <v>0.94543999999999995</v>
      </c>
      <c r="K31" s="258">
        <v>0.95931299999999997</v>
      </c>
      <c r="L31" s="258">
        <v>0.96406000000000003</v>
      </c>
      <c r="M31" s="258">
        <v>0.97751200000000005</v>
      </c>
      <c r="N31" s="258">
        <v>0.98974300000000004</v>
      </c>
      <c r="O31" s="258">
        <v>1.0016430000000001</v>
      </c>
      <c r="P31" s="258">
        <v>1.014486</v>
      </c>
      <c r="Q31" s="258">
        <v>1.026421</v>
      </c>
      <c r="R31" s="258">
        <v>1.04257</v>
      </c>
      <c r="S31" s="258">
        <v>1.0409060000000001</v>
      </c>
      <c r="T31" s="258">
        <v>1.042815</v>
      </c>
      <c r="U31" s="258">
        <v>1.0410189999999999</v>
      </c>
      <c r="V31" s="258">
        <v>1.0405869999999999</v>
      </c>
      <c r="W31" s="258">
        <v>1.0406690000000001</v>
      </c>
      <c r="X31" s="258">
        <v>1.0407820000000001</v>
      </c>
      <c r="Y31" s="258">
        <v>1.0402199999999999</v>
      </c>
      <c r="Z31" s="258">
        <v>1.0406690000000001</v>
      </c>
      <c r="AA31" s="258">
        <v>1.0418559999999999</v>
      </c>
      <c r="AB31" s="258">
        <v>1.0410980000000001</v>
      </c>
      <c r="AC31" s="258">
        <v>1.041115</v>
      </c>
      <c r="AD31" s="258">
        <v>1.0421020000000001</v>
      </c>
      <c r="AE31" s="258">
        <v>1.0415099999999999</v>
      </c>
      <c r="AF31" s="258">
        <v>1.039404</v>
      </c>
      <c r="AG31" s="258">
        <v>1.038624</v>
      </c>
      <c r="AH31" s="258">
        <v>1.041671</v>
      </c>
      <c r="AI31" s="258">
        <v>1.0532999999999999</v>
      </c>
      <c r="AJ31" s="258">
        <v>1.0676890000000001</v>
      </c>
      <c r="AK31" s="259">
        <v>7.0000000000000001E-3</v>
      </c>
    </row>
    <row r="32" spans="1:38" s="18" customFormat="1">
      <c r="A32" s="17" t="s">
        <v>167</v>
      </c>
      <c r="B32" s="315">
        <v>0.31900000572204601</v>
      </c>
      <c r="C32" s="315">
        <v>0.42500001192092901</v>
      </c>
      <c r="D32" s="315">
        <v>0.60299998521804798</v>
      </c>
      <c r="E32" s="315">
        <v>0.68500006198883101</v>
      </c>
      <c r="F32" s="316">
        <v>0.84147453308105502</v>
      </c>
      <c r="G32" s="258">
        <v>0.81834200000000001</v>
      </c>
      <c r="H32" s="258">
        <v>0.82725800000000005</v>
      </c>
      <c r="I32" s="258">
        <v>0.825187</v>
      </c>
      <c r="J32" s="258">
        <v>0.85004199999999996</v>
      </c>
      <c r="K32" s="258">
        <v>0.865282</v>
      </c>
      <c r="L32" s="258">
        <v>0.869251</v>
      </c>
      <c r="M32" s="258">
        <v>0.88145200000000001</v>
      </c>
      <c r="N32" s="258">
        <v>0.88586200000000004</v>
      </c>
      <c r="O32" s="258">
        <v>0.88890000000000002</v>
      </c>
      <c r="P32" s="258">
        <v>0.89585899999999996</v>
      </c>
      <c r="Q32" s="258">
        <v>0.89987200000000001</v>
      </c>
      <c r="R32" s="258">
        <v>0.91550900000000002</v>
      </c>
      <c r="S32" s="258">
        <v>0.91492399999999996</v>
      </c>
      <c r="T32" s="258">
        <v>0.91555299999999995</v>
      </c>
      <c r="U32" s="258">
        <v>0.91523600000000005</v>
      </c>
      <c r="V32" s="258">
        <v>0.91508800000000001</v>
      </c>
      <c r="W32" s="258">
        <v>0.91518600000000006</v>
      </c>
      <c r="X32" s="258">
        <v>0.91533399999999998</v>
      </c>
      <c r="Y32" s="258">
        <v>0.91476000000000002</v>
      </c>
      <c r="Z32" s="258">
        <v>0.91483099999999995</v>
      </c>
      <c r="AA32" s="258">
        <v>0.91463499999999998</v>
      </c>
      <c r="AB32" s="258">
        <v>0.91389500000000001</v>
      </c>
      <c r="AC32" s="258">
        <v>0.91388999999999998</v>
      </c>
      <c r="AD32" s="258">
        <v>0.91484699999999997</v>
      </c>
      <c r="AE32" s="258">
        <v>0.91425800000000002</v>
      </c>
      <c r="AF32" s="258">
        <v>0.91217999999999999</v>
      </c>
      <c r="AG32" s="258">
        <v>0.91165499999999999</v>
      </c>
      <c r="AH32" s="258">
        <v>0.91445399999999999</v>
      </c>
      <c r="AI32" s="258">
        <v>0.92887299999999995</v>
      </c>
      <c r="AJ32" s="258">
        <v>0.94600499999999998</v>
      </c>
      <c r="AK32" s="259">
        <v>5.0000000000000001E-3</v>
      </c>
      <c r="AL32" s="51">
        <f>C32*(1+AK32)^23</f>
        <v>0.4766596202229666</v>
      </c>
    </row>
    <row r="33" spans="1:38" s="18" customFormat="1">
      <c r="A33" s="17" t="s">
        <v>165</v>
      </c>
      <c r="B33" s="315">
        <v>0.273288995027542</v>
      </c>
      <c r="C33" s="315">
        <v>0.40336400270461997</v>
      </c>
      <c r="D33" s="315">
        <v>0.58252400159835804</v>
      </c>
      <c r="E33" s="315">
        <v>0.68972003459930398</v>
      </c>
      <c r="F33" s="316">
        <v>0.84179353713989302</v>
      </c>
      <c r="G33" s="258">
        <v>0.88597599999999999</v>
      </c>
      <c r="H33" s="258">
        <v>0.84365599999999996</v>
      </c>
      <c r="I33" s="258">
        <v>0.83595299999999995</v>
      </c>
      <c r="J33" s="258">
        <v>0.86998399999999998</v>
      </c>
      <c r="K33" s="258">
        <v>0.82013999999999998</v>
      </c>
      <c r="L33" s="258">
        <v>0.82233599999999996</v>
      </c>
      <c r="M33" s="258">
        <v>0.83316999999999997</v>
      </c>
      <c r="N33" s="258">
        <v>0.834866</v>
      </c>
      <c r="O33" s="258">
        <v>0.83494199999999996</v>
      </c>
      <c r="P33" s="258">
        <v>0.84040599999999999</v>
      </c>
      <c r="Q33" s="258">
        <v>0.83868500000000001</v>
      </c>
      <c r="R33" s="258">
        <v>0.84875</v>
      </c>
      <c r="S33" s="258">
        <v>0.85439200000000004</v>
      </c>
      <c r="T33" s="258">
        <v>0.85437700000000005</v>
      </c>
      <c r="U33" s="258">
        <v>0.85438800000000004</v>
      </c>
      <c r="V33" s="258">
        <v>0.85439200000000004</v>
      </c>
      <c r="W33" s="258">
        <v>0.85523000000000005</v>
      </c>
      <c r="X33" s="258">
        <v>0.85584700000000002</v>
      </c>
      <c r="Y33" s="258">
        <v>0.85583500000000001</v>
      </c>
      <c r="Z33" s="258">
        <v>0.85584700000000002</v>
      </c>
      <c r="AA33" s="258">
        <v>0.85584700000000002</v>
      </c>
      <c r="AB33" s="258">
        <v>0.85583500000000001</v>
      </c>
      <c r="AC33" s="258">
        <v>0.85583500000000001</v>
      </c>
      <c r="AD33" s="258">
        <v>0.85583500000000001</v>
      </c>
      <c r="AE33" s="258">
        <v>0.85358400000000001</v>
      </c>
      <c r="AF33" s="258">
        <v>0.84983299999999995</v>
      </c>
      <c r="AG33" s="258">
        <v>0.84757499999999997</v>
      </c>
      <c r="AH33" s="258">
        <v>0.84855400000000003</v>
      </c>
      <c r="AI33" s="258">
        <v>0.85902400000000001</v>
      </c>
      <c r="AJ33" s="258">
        <v>0.86278500000000002</v>
      </c>
      <c r="AK33" s="259">
        <v>1E-3</v>
      </c>
      <c r="AL33" s="51" t="s">
        <v>0</v>
      </c>
    </row>
    <row r="34" spans="1:38">
      <c r="A34" s="6" t="s">
        <v>164</v>
      </c>
      <c r="B34" s="313">
        <v>4.5710995793342597E-2</v>
      </c>
      <c r="C34" s="313">
        <v>2.1635998040437698E-2</v>
      </c>
      <c r="D34" s="313">
        <v>2.0475998520851101E-2</v>
      </c>
      <c r="E34" s="313">
        <v>-4.7199996188283001E-3</v>
      </c>
      <c r="F34" s="314">
        <v>-3.1897879671305402E-4</v>
      </c>
      <c r="G34" s="258">
        <v>-6.6753999999999994E-2</v>
      </c>
      <c r="H34" s="258">
        <v>-1.6397999999999999E-2</v>
      </c>
      <c r="I34" s="258">
        <v>-1.0766E-2</v>
      </c>
      <c r="J34" s="258">
        <v>-1.9942000000000001E-2</v>
      </c>
      <c r="K34" s="258">
        <v>4.5142000000000002E-2</v>
      </c>
      <c r="L34" s="258">
        <v>4.6915999999999999E-2</v>
      </c>
      <c r="M34" s="258">
        <v>4.8281999999999999E-2</v>
      </c>
      <c r="N34" s="258">
        <v>5.0996E-2</v>
      </c>
      <c r="O34" s="258">
        <v>5.3957999999999999E-2</v>
      </c>
      <c r="P34" s="258">
        <v>5.5452000000000001E-2</v>
      </c>
      <c r="Q34" s="258">
        <v>6.1186999999999998E-2</v>
      </c>
      <c r="R34" s="258">
        <v>6.6758999999999999E-2</v>
      </c>
      <c r="S34" s="258">
        <v>6.0532000000000002E-2</v>
      </c>
      <c r="T34" s="258">
        <v>6.1176000000000001E-2</v>
      </c>
      <c r="U34" s="258">
        <v>6.0847999999999999E-2</v>
      </c>
      <c r="V34" s="258">
        <v>6.0696E-2</v>
      </c>
      <c r="W34" s="258">
        <v>5.9957000000000003E-2</v>
      </c>
      <c r="X34" s="258">
        <v>5.9486999999999998E-2</v>
      </c>
      <c r="Y34" s="258">
        <v>5.8924999999999998E-2</v>
      </c>
      <c r="Z34" s="258">
        <v>5.8984000000000002E-2</v>
      </c>
      <c r="AA34" s="258">
        <v>5.8788E-2</v>
      </c>
      <c r="AB34" s="258">
        <v>5.806E-2</v>
      </c>
      <c r="AC34" s="258">
        <v>5.8056000000000003E-2</v>
      </c>
      <c r="AD34" s="258">
        <v>5.9012000000000002E-2</v>
      </c>
      <c r="AE34" s="258">
        <v>6.0673999999999999E-2</v>
      </c>
      <c r="AF34" s="258">
        <v>6.2348000000000001E-2</v>
      </c>
      <c r="AG34" s="258">
        <v>6.4079999999999998E-2</v>
      </c>
      <c r="AH34" s="258">
        <v>6.59E-2</v>
      </c>
      <c r="AI34" s="258">
        <v>6.9848999999999994E-2</v>
      </c>
      <c r="AJ34" s="258">
        <v>8.3220000000000002E-2</v>
      </c>
      <c r="AK34" s="258" t="s">
        <v>41</v>
      </c>
    </row>
    <row r="35" spans="1:38" s="18" customFormat="1">
      <c r="A35" s="17" t="s">
        <v>166</v>
      </c>
      <c r="B35" s="315">
        <v>1.6338998451829002E-2</v>
      </c>
      <c r="C35" s="315">
        <v>3.2029997557401699E-2</v>
      </c>
      <c r="D35" s="315">
        <v>5.1199223846197101E-2</v>
      </c>
      <c r="E35" s="315">
        <v>6.0358572751283597E-2</v>
      </c>
      <c r="F35" s="316">
        <v>6.3932694494724301E-2</v>
      </c>
      <c r="G35" s="258">
        <v>5.6239999999999998E-2</v>
      </c>
      <c r="H35" s="258">
        <v>5.9032000000000001E-2</v>
      </c>
      <c r="I35" s="258">
        <v>8.6099999999999996E-2</v>
      </c>
      <c r="J35" s="258">
        <v>9.0199000000000001E-2</v>
      </c>
      <c r="K35" s="258">
        <v>9.0070999999999998E-2</v>
      </c>
      <c r="L35" s="258">
        <v>8.6830000000000004E-2</v>
      </c>
      <c r="M35" s="258">
        <v>8.6858000000000005E-2</v>
      </c>
      <c r="N35" s="258">
        <v>8.5750999999999994E-2</v>
      </c>
      <c r="O35" s="258">
        <v>8.7317000000000006E-2</v>
      </c>
      <c r="P35" s="258">
        <v>8.8449E-2</v>
      </c>
      <c r="Q35" s="258">
        <v>8.8486999999999996E-2</v>
      </c>
      <c r="R35" s="258">
        <v>8.8999999999999996E-2</v>
      </c>
      <c r="S35" s="258">
        <v>8.8025000000000006E-2</v>
      </c>
      <c r="T35" s="258">
        <v>8.9304999999999995E-2</v>
      </c>
      <c r="U35" s="258">
        <v>8.7721999999999994E-2</v>
      </c>
      <c r="V35" s="258">
        <v>8.7541999999999995E-2</v>
      </c>
      <c r="W35" s="258">
        <v>8.7525000000000006E-2</v>
      </c>
      <c r="X35" s="258">
        <v>8.7489999999999998E-2</v>
      </c>
      <c r="Y35" s="258">
        <v>8.7501999999999996E-2</v>
      </c>
      <c r="Z35" s="258">
        <v>8.788E-2</v>
      </c>
      <c r="AA35" s="258">
        <v>8.9262999999999995E-2</v>
      </c>
      <c r="AB35" s="258">
        <v>8.9245000000000005E-2</v>
      </c>
      <c r="AC35" s="258">
        <v>8.9370000000000005E-2</v>
      </c>
      <c r="AD35" s="258">
        <v>8.9401999999999995E-2</v>
      </c>
      <c r="AE35" s="258">
        <v>8.9397000000000004E-2</v>
      </c>
      <c r="AF35" s="258">
        <v>8.9370000000000005E-2</v>
      </c>
      <c r="AG35" s="258">
        <v>8.9115E-2</v>
      </c>
      <c r="AH35" s="258">
        <v>8.9362999999999998E-2</v>
      </c>
      <c r="AI35" s="258">
        <v>8.9108000000000007E-2</v>
      </c>
      <c r="AJ35" s="258">
        <v>8.9448E-2</v>
      </c>
      <c r="AK35" s="258" t="s">
        <v>41</v>
      </c>
    </row>
    <row r="36" spans="1:38" s="18" customFormat="1">
      <c r="A36" s="17" t="s">
        <v>165</v>
      </c>
      <c r="B36" s="315">
        <v>1.6338998451829002E-2</v>
      </c>
      <c r="C36" s="315">
        <v>3.2029997557401699E-2</v>
      </c>
      <c r="D36" s="315">
        <v>5.1199223846197101E-2</v>
      </c>
      <c r="E36" s="315">
        <v>6.0358572751283597E-2</v>
      </c>
      <c r="F36" s="316">
        <v>6.3932694494724301E-2</v>
      </c>
      <c r="G36" s="258">
        <v>6.3100000000000003E-2</v>
      </c>
      <c r="H36" s="258">
        <v>6.3100000000000003E-2</v>
      </c>
      <c r="I36" s="258">
        <v>8.1100000000000005E-2</v>
      </c>
      <c r="J36" s="258">
        <v>8.7099999999999997E-2</v>
      </c>
      <c r="K36" s="258">
        <v>7.9580999999999999E-2</v>
      </c>
      <c r="L36" s="258">
        <v>7.6044E-2</v>
      </c>
      <c r="M36" s="258">
        <v>7.5939000000000006E-2</v>
      </c>
      <c r="N36" s="258">
        <v>7.4647000000000005E-2</v>
      </c>
      <c r="O36" s="258">
        <v>7.6071E-2</v>
      </c>
      <c r="P36" s="258">
        <v>7.6998999999999998E-2</v>
      </c>
      <c r="Q36" s="258">
        <v>7.6729000000000006E-2</v>
      </c>
      <c r="R36" s="258">
        <v>7.7030000000000001E-2</v>
      </c>
      <c r="S36" s="258">
        <v>7.5851000000000002E-2</v>
      </c>
      <c r="T36" s="258">
        <v>7.7146000000000006E-2</v>
      </c>
      <c r="U36" s="258">
        <v>7.5544E-2</v>
      </c>
      <c r="V36" s="258">
        <v>7.5385999999999995E-2</v>
      </c>
      <c r="W36" s="258">
        <v>7.5385999999999995E-2</v>
      </c>
      <c r="X36" s="258">
        <v>7.5385999999999995E-2</v>
      </c>
      <c r="Y36" s="258">
        <v>7.5385999999999995E-2</v>
      </c>
      <c r="Z36" s="258">
        <v>7.5749999999999998E-2</v>
      </c>
      <c r="AA36" s="258">
        <v>7.7146000000000006E-2</v>
      </c>
      <c r="AB36" s="258">
        <v>7.7146000000000006E-2</v>
      </c>
      <c r="AC36" s="258">
        <v>7.7260999999999996E-2</v>
      </c>
      <c r="AD36" s="258">
        <v>7.7260999999999996E-2</v>
      </c>
      <c r="AE36" s="258">
        <v>7.7260999999999996E-2</v>
      </c>
      <c r="AF36" s="258">
        <v>7.7260999999999996E-2</v>
      </c>
      <c r="AG36" s="258">
        <v>7.7010999999999996E-2</v>
      </c>
      <c r="AH36" s="258">
        <v>7.7260999999999996E-2</v>
      </c>
      <c r="AI36" s="258">
        <v>7.7010999999999996E-2</v>
      </c>
      <c r="AJ36" s="258">
        <v>7.7376E-2</v>
      </c>
      <c r="AK36" s="259">
        <v>7.0000000000000001E-3</v>
      </c>
    </row>
    <row r="37" spans="1:38">
      <c r="A37" s="6" t="s">
        <v>164</v>
      </c>
      <c r="B37" s="313">
        <v>0</v>
      </c>
      <c r="C37" s="313">
        <v>0</v>
      </c>
      <c r="D37" s="313">
        <v>0</v>
      </c>
      <c r="E37" s="313">
        <v>0</v>
      </c>
      <c r="F37" s="314">
        <v>0</v>
      </c>
      <c r="G37" s="258">
        <v>-3.4629999999999999E-3</v>
      </c>
      <c r="H37" s="258">
        <v>-4.0679999999999996E-3</v>
      </c>
      <c r="I37" s="258">
        <v>5.0000000000000001E-3</v>
      </c>
      <c r="J37" s="258">
        <v>3.0990000000000002E-3</v>
      </c>
      <c r="K37" s="258">
        <v>1.0489999999999999E-2</v>
      </c>
      <c r="L37" s="258">
        <v>1.0786E-2</v>
      </c>
      <c r="M37" s="258">
        <v>1.0919E-2</v>
      </c>
      <c r="N37" s="258">
        <v>1.1103999999999999E-2</v>
      </c>
      <c r="O37" s="258">
        <v>1.1247E-2</v>
      </c>
      <c r="P37" s="258">
        <v>1.145E-2</v>
      </c>
      <c r="Q37" s="258">
        <v>1.1757999999999999E-2</v>
      </c>
      <c r="R37" s="258">
        <v>1.197E-2</v>
      </c>
      <c r="S37" s="258">
        <v>1.2174000000000001E-2</v>
      </c>
      <c r="T37" s="258">
        <v>1.2159E-2</v>
      </c>
      <c r="U37" s="258">
        <v>1.2178E-2</v>
      </c>
      <c r="V37" s="258">
        <v>1.2154999999999999E-2</v>
      </c>
      <c r="W37" s="258">
        <v>1.2139E-2</v>
      </c>
      <c r="X37" s="258">
        <v>1.2104E-2</v>
      </c>
      <c r="Y37" s="258">
        <v>1.2116E-2</v>
      </c>
      <c r="Z37" s="258">
        <v>1.2130999999999999E-2</v>
      </c>
      <c r="AA37" s="258">
        <v>1.2118E-2</v>
      </c>
      <c r="AB37" s="258">
        <v>1.21E-2</v>
      </c>
      <c r="AC37" s="258">
        <v>1.2109999999999999E-2</v>
      </c>
      <c r="AD37" s="258">
        <v>1.2141000000000001E-2</v>
      </c>
      <c r="AE37" s="258">
        <v>1.2137E-2</v>
      </c>
      <c r="AF37" s="258">
        <v>1.2109E-2</v>
      </c>
      <c r="AG37" s="258">
        <v>1.2102999999999999E-2</v>
      </c>
      <c r="AH37" s="258">
        <v>1.2102E-2</v>
      </c>
      <c r="AI37" s="258">
        <v>1.2096000000000001E-2</v>
      </c>
      <c r="AJ37" s="258">
        <v>1.2071999999999999E-2</v>
      </c>
      <c r="AK37" s="258" t="s">
        <v>41</v>
      </c>
    </row>
    <row r="38" spans="1:38">
      <c r="A38" s="6" t="s">
        <v>163</v>
      </c>
      <c r="B38" s="313">
        <v>0</v>
      </c>
      <c r="C38" s="313">
        <v>0</v>
      </c>
      <c r="D38" s="313">
        <v>0</v>
      </c>
      <c r="E38" s="313">
        <v>0</v>
      </c>
      <c r="F38" s="314">
        <v>0</v>
      </c>
      <c r="G38" s="258">
        <v>2.2160000000000002</v>
      </c>
      <c r="H38" s="258">
        <v>2.4</v>
      </c>
      <c r="I38" s="258">
        <v>2.4900000000000002</v>
      </c>
      <c r="J38" s="258">
        <v>2.5089999999999999</v>
      </c>
      <c r="K38" s="258">
        <v>2.5561180000000001</v>
      </c>
      <c r="L38" s="258">
        <v>2.6337290000000002</v>
      </c>
      <c r="M38" s="258">
        <v>2.6633930000000001</v>
      </c>
      <c r="N38" s="258">
        <v>2.6705079999999999</v>
      </c>
      <c r="O38" s="258">
        <v>2.669905</v>
      </c>
      <c r="P38" s="258">
        <v>2.6458759999999999</v>
      </c>
      <c r="Q38" s="258">
        <v>2.60798</v>
      </c>
      <c r="R38" s="258">
        <v>2.7045080000000001</v>
      </c>
      <c r="S38" s="258">
        <v>2.7930269999999999</v>
      </c>
      <c r="T38" s="258">
        <v>2.8390249999999999</v>
      </c>
      <c r="U38" s="258">
        <v>2.8728980000000002</v>
      </c>
      <c r="V38" s="258">
        <v>2.9033150000000001</v>
      </c>
      <c r="W38" s="258">
        <v>2.9228930000000002</v>
      </c>
      <c r="X38" s="258">
        <v>2.9406509999999999</v>
      </c>
      <c r="Y38" s="258">
        <v>2.9505080000000001</v>
      </c>
      <c r="Z38" s="258">
        <v>2.978853</v>
      </c>
      <c r="AA38" s="258">
        <v>3.0103460000000002</v>
      </c>
      <c r="AB38" s="258">
        <v>3.0288490000000001</v>
      </c>
      <c r="AC38" s="258">
        <v>3.0383969999999998</v>
      </c>
      <c r="AD38" s="258">
        <v>3.0546120000000001</v>
      </c>
      <c r="AE38" s="258">
        <v>3.0492400000000002</v>
      </c>
      <c r="AF38" s="258">
        <v>3.0289980000000001</v>
      </c>
      <c r="AG38" s="258">
        <v>3.058621</v>
      </c>
      <c r="AH38" s="258">
        <v>3.037477</v>
      </c>
      <c r="AI38" s="258">
        <v>3.013617</v>
      </c>
      <c r="AJ38" s="258">
        <v>2.983552</v>
      </c>
      <c r="AK38" s="259">
        <v>8.0000000000000002E-3</v>
      </c>
    </row>
    <row r="39" spans="1:38">
      <c r="A39" s="6" t="s">
        <v>162</v>
      </c>
      <c r="B39" s="313">
        <v>0</v>
      </c>
      <c r="C39" s="313">
        <v>0</v>
      </c>
      <c r="D39" s="313">
        <v>0</v>
      </c>
      <c r="E39" s="313">
        <v>0</v>
      </c>
      <c r="F39" s="314">
        <v>0</v>
      </c>
      <c r="G39" s="258">
        <v>0</v>
      </c>
      <c r="H39" s="258">
        <v>0</v>
      </c>
      <c r="I39" s="258">
        <v>0</v>
      </c>
      <c r="J39" s="258">
        <v>0</v>
      </c>
      <c r="K39" s="258">
        <v>0</v>
      </c>
      <c r="L39" s="258">
        <v>0</v>
      </c>
      <c r="M39" s="258">
        <v>0</v>
      </c>
      <c r="N39" s="258">
        <v>0</v>
      </c>
      <c r="O39" s="258">
        <v>0</v>
      </c>
      <c r="P39" s="258">
        <v>0</v>
      </c>
      <c r="Q39" s="258">
        <v>0</v>
      </c>
      <c r="R39" s="258">
        <v>0</v>
      </c>
      <c r="S39" s="258">
        <v>0</v>
      </c>
      <c r="T39" s="258">
        <v>0</v>
      </c>
      <c r="U39" s="258">
        <v>0</v>
      </c>
      <c r="V39" s="258">
        <v>0</v>
      </c>
      <c r="W39" s="258">
        <v>0</v>
      </c>
      <c r="X39" s="258">
        <v>0</v>
      </c>
      <c r="Y39" s="258">
        <v>0</v>
      </c>
      <c r="Z39" s="258">
        <v>0</v>
      </c>
      <c r="AA39" s="258">
        <v>0</v>
      </c>
      <c r="AB39" s="258">
        <v>0</v>
      </c>
      <c r="AC39" s="258">
        <v>0</v>
      </c>
      <c r="AD39" s="258">
        <v>0</v>
      </c>
      <c r="AE39" s="258">
        <v>0</v>
      </c>
      <c r="AF39" s="258">
        <v>0</v>
      </c>
      <c r="AG39" s="258">
        <v>0</v>
      </c>
      <c r="AH39" s="258">
        <v>0</v>
      </c>
      <c r="AI39" s="258">
        <v>0</v>
      </c>
      <c r="AJ39" s="258">
        <v>0</v>
      </c>
      <c r="AK39" s="258" t="s">
        <v>41</v>
      </c>
    </row>
    <row r="40" spans="1:38" s="235" customFormat="1">
      <c r="A40" s="234" t="s">
        <v>161</v>
      </c>
      <c r="B40" s="315">
        <v>0</v>
      </c>
      <c r="C40" s="315">
        <v>0</v>
      </c>
      <c r="D40" s="315">
        <v>0</v>
      </c>
      <c r="E40" s="315">
        <v>0</v>
      </c>
      <c r="F40" s="316">
        <v>0</v>
      </c>
      <c r="G40" s="266">
        <v>0</v>
      </c>
      <c r="H40" s="266">
        <v>3.4809526987373799E-3</v>
      </c>
      <c r="I40" s="266">
        <v>5.2319555543363103E-3</v>
      </c>
      <c r="J40" s="266">
        <v>7.8436248004436493E-3</v>
      </c>
      <c r="K40" s="266">
        <v>1.17142805829644E-2</v>
      </c>
      <c r="L40" s="266">
        <v>1.7396988347172699E-2</v>
      </c>
      <c r="M40" s="266">
        <v>2.5625614449381801E-2</v>
      </c>
      <c r="N40" s="266">
        <v>3.7305567413568497E-2</v>
      </c>
      <c r="O40" s="266">
        <v>5.34236840903759E-2</v>
      </c>
      <c r="P40" s="266">
        <v>7.4822284281253801E-2</v>
      </c>
      <c r="Q40" s="266">
        <v>0.10181753337383299</v>
      </c>
      <c r="R40" s="266">
        <v>0.133762747049332</v>
      </c>
      <c r="S40" s="266">
        <v>0.16882437467575101</v>
      </c>
      <c r="T40" s="266">
        <v>0.204265296459198</v>
      </c>
      <c r="U40" s="266">
        <v>0.237230360507965</v>
      </c>
      <c r="V40" s="266">
        <v>0.26560345292091397</v>
      </c>
      <c r="W40" s="266">
        <v>0.28843852877616899</v>
      </c>
      <c r="X40" s="266">
        <v>0.30584391951561002</v>
      </c>
      <c r="Y40" s="266">
        <v>0.31856861710548401</v>
      </c>
      <c r="Z40" s="266">
        <v>0.32759037613868702</v>
      </c>
      <c r="AA40" s="266"/>
      <c r="AB40" s="266"/>
      <c r="AC40" s="266"/>
      <c r="AD40" s="266"/>
      <c r="AE40" s="266"/>
      <c r="AF40" s="266"/>
      <c r="AG40" s="266"/>
      <c r="AH40" s="266"/>
      <c r="AI40" s="266"/>
      <c r="AJ40" s="266"/>
      <c r="AK40" s="267" t="s">
        <v>41</v>
      </c>
    </row>
    <row r="41" spans="1:38">
      <c r="A41" s="6" t="s">
        <v>688</v>
      </c>
      <c r="B41" s="313">
        <v>7.3012053966522203E-2</v>
      </c>
      <c r="C41" s="313">
        <v>0.28600034117698703</v>
      </c>
      <c r="D41" s="313">
        <v>0.24600045382976499</v>
      </c>
      <c r="E41" s="313">
        <v>0.16400466859340701</v>
      </c>
      <c r="F41" s="314">
        <v>0.31155380606651301</v>
      </c>
      <c r="G41" s="258">
        <v>0.182</v>
      </c>
      <c r="H41" s="258">
        <v>0.191</v>
      </c>
      <c r="I41" s="258">
        <v>0.193</v>
      </c>
      <c r="J41" s="258">
        <v>0.193</v>
      </c>
      <c r="K41" s="258">
        <v>0.28578500000000001</v>
      </c>
      <c r="L41" s="258">
        <v>0.28816599999999998</v>
      </c>
      <c r="M41" s="258">
        <v>0.290412</v>
      </c>
      <c r="N41" s="258">
        <v>0.29299799999999998</v>
      </c>
      <c r="O41" s="258">
        <v>0.293852</v>
      </c>
      <c r="P41" s="258">
        <v>0.29503000000000001</v>
      </c>
      <c r="Q41" s="258">
        <v>0.298292</v>
      </c>
      <c r="R41" s="258">
        <v>0.29944399999999999</v>
      </c>
      <c r="S41" s="258">
        <v>0.29972700000000002</v>
      </c>
      <c r="T41" s="258">
        <v>0.301095</v>
      </c>
      <c r="U41" s="258">
        <v>0.30102299999999999</v>
      </c>
      <c r="V41" s="258">
        <v>0.30064000000000002</v>
      </c>
      <c r="W41" s="258">
        <v>0.30251600000000001</v>
      </c>
      <c r="X41" s="258">
        <v>0.30219699999999999</v>
      </c>
      <c r="Y41" s="258">
        <v>0.30013899999999999</v>
      </c>
      <c r="Z41" s="258">
        <v>0.30297200000000002</v>
      </c>
      <c r="AA41" s="258">
        <v>0.30451</v>
      </c>
      <c r="AB41" s="258">
        <v>0.306419</v>
      </c>
      <c r="AC41" s="258">
        <v>0.30664000000000002</v>
      </c>
      <c r="AD41" s="258">
        <v>0.30698399999999998</v>
      </c>
      <c r="AE41" s="258">
        <v>0.308342</v>
      </c>
      <c r="AF41" s="258">
        <v>0.30915900000000002</v>
      </c>
      <c r="AG41" s="258">
        <v>0.30972699999999997</v>
      </c>
      <c r="AH41" s="258">
        <v>0.31073899999999999</v>
      </c>
      <c r="AI41" s="258">
        <v>0.31163999999999997</v>
      </c>
      <c r="AJ41" s="258">
        <v>0.31290899999999999</v>
      </c>
      <c r="AK41" s="259">
        <v>1.7999999999999999E-2</v>
      </c>
    </row>
    <row r="42" spans="1:38">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row>
    <row r="43" spans="1:38" s="18" customFormat="1">
      <c r="A43" s="17" t="s">
        <v>689</v>
      </c>
      <c r="B43" s="315">
        <v>20.697353363037099</v>
      </c>
      <c r="C43" s="315">
        <v>20.768030166626001</v>
      </c>
      <c r="D43" s="315">
        <v>19.647199630737301</v>
      </c>
      <c r="E43" s="315">
        <v>19.421310424804702</v>
      </c>
      <c r="F43" s="316">
        <v>19.587932586669901</v>
      </c>
      <c r="G43" s="213">
        <v>18.938583000000001</v>
      </c>
      <c r="H43" s="213">
        <v>18.592289000000001</v>
      </c>
      <c r="I43" s="213">
        <v>18.985319</v>
      </c>
      <c r="J43" s="213">
        <v>18.815241</v>
      </c>
      <c r="K43" s="213">
        <v>19.157446</v>
      </c>
      <c r="L43" s="213">
        <v>19.35895</v>
      </c>
      <c r="M43" s="213">
        <v>19.477530000000002</v>
      </c>
      <c r="N43" s="213">
        <v>19.527609000000002</v>
      </c>
      <c r="O43" s="213">
        <v>19.535461000000002</v>
      </c>
      <c r="P43" s="213">
        <v>19.520367</v>
      </c>
      <c r="Q43" s="213">
        <v>19.477088999999999</v>
      </c>
      <c r="R43" s="213">
        <v>19.437809000000001</v>
      </c>
      <c r="S43" s="213">
        <v>19.388767000000001</v>
      </c>
      <c r="T43" s="213">
        <v>19.330017000000002</v>
      </c>
      <c r="U43" s="213">
        <v>19.262318</v>
      </c>
      <c r="V43" s="213">
        <v>19.178843000000001</v>
      </c>
      <c r="W43" s="213">
        <v>19.119274000000001</v>
      </c>
      <c r="X43" s="213">
        <v>19.059887</v>
      </c>
      <c r="Y43" s="213">
        <v>18.980637000000002</v>
      </c>
      <c r="Z43" s="213">
        <v>18.926172000000001</v>
      </c>
      <c r="AA43" s="213">
        <v>18.880776999999998</v>
      </c>
      <c r="AB43" s="213">
        <v>18.838093000000001</v>
      </c>
      <c r="AC43" s="213">
        <v>18.795445999999998</v>
      </c>
      <c r="AD43" s="213">
        <v>18.768318000000001</v>
      </c>
      <c r="AE43" s="213">
        <v>18.751888000000001</v>
      </c>
      <c r="AF43" s="213">
        <v>18.731911</v>
      </c>
      <c r="AG43" s="213">
        <v>18.743359000000002</v>
      </c>
      <c r="AH43" s="213">
        <v>18.755479999999999</v>
      </c>
      <c r="AI43" s="213">
        <v>18.748524</v>
      </c>
      <c r="AJ43" s="213">
        <v>18.724962000000001</v>
      </c>
      <c r="AK43" s="214">
        <v>0</v>
      </c>
    </row>
    <row r="44" spans="1:38" s="224" customFormat="1">
      <c r="A44" s="223" t="s">
        <v>196</v>
      </c>
      <c r="B44" s="317">
        <f t="shared" ref="B44:H44" si="0">B43*365</f>
        <v>7554.5339775085413</v>
      </c>
      <c r="C44" s="317">
        <f t="shared" si="0"/>
        <v>7580.3310108184905</v>
      </c>
      <c r="D44" s="317">
        <f t="shared" si="0"/>
        <v>7171.2278652191153</v>
      </c>
      <c r="E44" s="317">
        <f t="shared" si="0"/>
        <v>7088.7783050537164</v>
      </c>
      <c r="F44" s="318">
        <f t="shared" si="0"/>
        <v>7149.5953941345133</v>
      </c>
      <c r="G44" s="268">
        <f t="shared" si="0"/>
        <v>6912.5827950000003</v>
      </c>
      <c r="H44" s="268">
        <f t="shared" si="0"/>
        <v>6786.185485</v>
      </c>
      <c r="I44" s="268">
        <f t="shared" ref="I44:AJ44" si="1">I43*365</f>
        <v>6929.6414350000005</v>
      </c>
      <c r="J44" s="268">
        <f t="shared" si="1"/>
        <v>6867.5629650000001</v>
      </c>
      <c r="K44" s="268">
        <f t="shared" si="1"/>
        <v>6992.4677899999997</v>
      </c>
      <c r="L44" s="268">
        <f t="shared" si="1"/>
        <v>7066.0167499999998</v>
      </c>
      <c r="M44" s="268">
        <f t="shared" si="1"/>
        <v>7109.2984500000002</v>
      </c>
      <c r="N44" s="268">
        <f t="shared" si="1"/>
        <v>7127.5772850000003</v>
      </c>
      <c r="O44" s="268">
        <f t="shared" si="1"/>
        <v>7130.4432650000008</v>
      </c>
      <c r="P44" s="268">
        <f t="shared" si="1"/>
        <v>7124.9339550000004</v>
      </c>
      <c r="Q44" s="268">
        <f t="shared" si="1"/>
        <v>7109.1374850000002</v>
      </c>
      <c r="R44" s="268">
        <f t="shared" si="1"/>
        <v>7094.8002850000003</v>
      </c>
      <c r="S44" s="268">
        <f t="shared" si="1"/>
        <v>7076.8999550000008</v>
      </c>
      <c r="T44" s="268">
        <f t="shared" si="1"/>
        <v>7055.4562050000004</v>
      </c>
      <c r="U44" s="268">
        <f t="shared" si="1"/>
        <v>7030.7460700000001</v>
      </c>
      <c r="V44" s="268">
        <f t="shared" si="1"/>
        <v>7000.2776949999998</v>
      </c>
      <c r="W44" s="268">
        <f t="shared" si="1"/>
        <v>6978.5350100000005</v>
      </c>
      <c r="X44" s="268">
        <f t="shared" si="1"/>
        <v>6956.8587550000002</v>
      </c>
      <c r="Y44" s="268">
        <f t="shared" si="1"/>
        <v>6927.9325050000007</v>
      </c>
      <c r="Z44" s="268">
        <f t="shared" si="1"/>
        <v>6908.05278</v>
      </c>
      <c r="AA44" s="268">
        <f t="shared" si="1"/>
        <v>6891.4836049999994</v>
      </c>
      <c r="AB44" s="268">
        <f t="shared" si="1"/>
        <v>6875.903945</v>
      </c>
      <c r="AC44" s="268">
        <f t="shared" si="1"/>
        <v>6860.3377899999996</v>
      </c>
      <c r="AD44" s="268">
        <f t="shared" si="1"/>
        <v>6850.4360700000007</v>
      </c>
      <c r="AE44" s="268">
        <f t="shared" si="1"/>
        <v>6844.43912</v>
      </c>
      <c r="AF44" s="268">
        <f t="shared" si="1"/>
        <v>6837.1475149999997</v>
      </c>
      <c r="AG44" s="268">
        <f t="shared" si="1"/>
        <v>6841.326035000001</v>
      </c>
      <c r="AH44" s="268">
        <f t="shared" si="1"/>
        <v>6845.7501999999995</v>
      </c>
      <c r="AI44" s="268">
        <f t="shared" si="1"/>
        <v>6843.21126</v>
      </c>
      <c r="AJ44" s="268">
        <f t="shared" si="1"/>
        <v>6834.6111300000002</v>
      </c>
      <c r="AK44" s="269"/>
    </row>
    <row r="45" spans="1:38" s="228" customFormat="1">
      <c r="A45" s="227" t="s">
        <v>187</v>
      </c>
      <c r="B45" s="319">
        <f>SUM(B33,B36,B40)</f>
        <v>0.28962799347937102</v>
      </c>
      <c r="C45" s="319">
        <f t="shared" ref="C45:AJ45" si="2">SUM(C33,C36,C40)</f>
        <v>0.43539400026202169</v>
      </c>
      <c r="D45" s="319">
        <f t="shared" si="2"/>
        <v>0.63372322544455517</v>
      </c>
      <c r="E45" s="319">
        <f t="shared" si="2"/>
        <v>0.75007860735058762</v>
      </c>
      <c r="F45" s="320">
        <f t="shared" si="2"/>
        <v>0.9057262316346173</v>
      </c>
      <c r="G45" s="270">
        <f t="shared" si="2"/>
        <v>0.94907600000000003</v>
      </c>
      <c r="H45" s="270">
        <f t="shared" si="2"/>
        <v>0.91023695269873739</v>
      </c>
      <c r="I45" s="270">
        <f t="shared" si="2"/>
        <v>0.92228495555433621</v>
      </c>
      <c r="J45" s="270">
        <f t="shared" si="2"/>
        <v>0.96492762480044358</v>
      </c>
      <c r="K45" s="270">
        <f t="shared" si="2"/>
        <v>0.91143528058296441</v>
      </c>
      <c r="L45" s="270">
        <f t="shared" si="2"/>
        <v>0.91577698834717269</v>
      </c>
      <c r="M45" s="270">
        <f t="shared" si="2"/>
        <v>0.93473461444938177</v>
      </c>
      <c r="N45" s="270">
        <f t="shared" si="2"/>
        <v>0.94681856741356851</v>
      </c>
      <c r="O45" s="270">
        <f t="shared" si="2"/>
        <v>0.96443668409037586</v>
      </c>
      <c r="P45" s="270">
        <f t="shared" si="2"/>
        <v>0.99222728428125384</v>
      </c>
      <c r="Q45" s="270">
        <f t="shared" si="2"/>
        <v>1.0172315333738331</v>
      </c>
      <c r="R45" s="270">
        <f t="shared" si="2"/>
        <v>1.0595427470493322</v>
      </c>
      <c r="S45" s="270">
        <f t="shared" si="2"/>
        <v>1.0990673746757511</v>
      </c>
      <c r="T45" s="270">
        <f t="shared" si="2"/>
        <v>1.1357882964591981</v>
      </c>
      <c r="U45" s="270">
        <f t="shared" si="2"/>
        <v>1.1671623605079651</v>
      </c>
      <c r="V45" s="270">
        <f t="shared" si="2"/>
        <v>1.1953814529209139</v>
      </c>
      <c r="W45" s="270">
        <f t="shared" si="2"/>
        <v>1.2190545287761689</v>
      </c>
      <c r="X45" s="270">
        <f t="shared" si="2"/>
        <v>1.2370769195156099</v>
      </c>
      <c r="Y45" s="270">
        <f t="shared" si="2"/>
        <v>1.2497896171054839</v>
      </c>
      <c r="Z45" s="270">
        <f t="shared" si="2"/>
        <v>1.2591873761386871</v>
      </c>
      <c r="AA45" s="270">
        <f t="shared" si="2"/>
        <v>0.93299300000000007</v>
      </c>
      <c r="AB45" s="270">
        <f t="shared" si="2"/>
        <v>0.93298100000000006</v>
      </c>
      <c r="AC45" s="270">
        <f t="shared" si="2"/>
        <v>0.93309600000000004</v>
      </c>
      <c r="AD45" s="270">
        <f t="shared" si="2"/>
        <v>0.93309600000000004</v>
      </c>
      <c r="AE45" s="270">
        <f t="shared" si="2"/>
        <v>0.93084500000000003</v>
      </c>
      <c r="AF45" s="270">
        <f t="shared" si="2"/>
        <v>0.92709399999999997</v>
      </c>
      <c r="AG45" s="270">
        <f t="shared" si="2"/>
        <v>0.92458599999999991</v>
      </c>
      <c r="AH45" s="270">
        <f t="shared" si="2"/>
        <v>0.92581500000000005</v>
      </c>
      <c r="AI45" s="270">
        <f t="shared" si="2"/>
        <v>0.93603499999999995</v>
      </c>
      <c r="AJ45" s="270">
        <f t="shared" si="2"/>
        <v>0.94016100000000002</v>
      </c>
      <c r="AK45" s="271"/>
    </row>
    <row r="46" spans="1:38" s="224" customFormat="1">
      <c r="A46" s="229" t="s">
        <v>193</v>
      </c>
      <c r="B46" s="315">
        <f>B45*365</f>
        <v>105.71421761997043</v>
      </c>
      <c r="C46" s="315">
        <f t="shared" ref="C46:AJ46" si="3">C45*365</f>
        <v>158.91881009563792</v>
      </c>
      <c r="D46" s="315">
        <f t="shared" si="3"/>
        <v>231.30897728726265</v>
      </c>
      <c r="E46" s="315">
        <f t="shared" si="3"/>
        <v>273.77869168296451</v>
      </c>
      <c r="F46" s="316">
        <f t="shared" si="3"/>
        <v>330.59007454663532</v>
      </c>
      <c r="G46" s="272">
        <f t="shared" si="3"/>
        <v>346.41273999999999</v>
      </c>
      <c r="H46" s="272">
        <f t="shared" si="3"/>
        <v>332.23648773503913</v>
      </c>
      <c r="I46" s="272">
        <f t="shared" si="3"/>
        <v>336.63400877733272</v>
      </c>
      <c r="J46" s="272">
        <f t="shared" si="3"/>
        <v>352.19858305216189</v>
      </c>
      <c r="K46" s="272">
        <f t="shared" si="3"/>
        <v>332.67387741278202</v>
      </c>
      <c r="L46" s="272">
        <f t="shared" si="3"/>
        <v>334.25860074671806</v>
      </c>
      <c r="M46" s="272">
        <f t="shared" si="3"/>
        <v>341.17813427402433</v>
      </c>
      <c r="N46" s="272">
        <f t="shared" si="3"/>
        <v>345.58877710595249</v>
      </c>
      <c r="O46" s="272">
        <f t="shared" si="3"/>
        <v>352.0193896929872</v>
      </c>
      <c r="P46" s="272">
        <f t="shared" si="3"/>
        <v>362.16295876265764</v>
      </c>
      <c r="Q46" s="272">
        <f t="shared" si="3"/>
        <v>371.28950968144909</v>
      </c>
      <c r="R46" s="272">
        <f t="shared" si="3"/>
        <v>386.73310267300621</v>
      </c>
      <c r="S46" s="272">
        <f t="shared" si="3"/>
        <v>401.15959175664915</v>
      </c>
      <c r="T46" s="272">
        <f t="shared" si="3"/>
        <v>414.56272820760728</v>
      </c>
      <c r="U46" s="272">
        <f t="shared" si="3"/>
        <v>426.01426158540727</v>
      </c>
      <c r="V46" s="272">
        <f t="shared" si="3"/>
        <v>436.3142303161336</v>
      </c>
      <c r="W46" s="272">
        <f t="shared" si="3"/>
        <v>444.95490300330164</v>
      </c>
      <c r="X46" s="272">
        <f t="shared" si="3"/>
        <v>451.53307562319765</v>
      </c>
      <c r="Y46" s="272">
        <f t="shared" si="3"/>
        <v>456.17321024350161</v>
      </c>
      <c r="Z46" s="272">
        <f t="shared" si="3"/>
        <v>459.60339229062083</v>
      </c>
      <c r="AA46" s="272">
        <f t="shared" si="3"/>
        <v>340.54244500000004</v>
      </c>
      <c r="AB46" s="272">
        <f t="shared" si="3"/>
        <v>340.53806500000002</v>
      </c>
      <c r="AC46" s="272">
        <f t="shared" si="3"/>
        <v>340.58004</v>
      </c>
      <c r="AD46" s="272">
        <f t="shared" si="3"/>
        <v>340.58004</v>
      </c>
      <c r="AE46" s="272">
        <f t="shared" si="3"/>
        <v>339.75842499999999</v>
      </c>
      <c r="AF46" s="272">
        <f t="shared" si="3"/>
        <v>338.38930999999997</v>
      </c>
      <c r="AG46" s="272">
        <f t="shared" si="3"/>
        <v>337.47388999999998</v>
      </c>
      <c r="AH46" s="272">
        <f t="shared" si="3"/>
        <v>337.92247500000002</v>
      </c>
      <c r="AI46" s="272">
        <f t="shared" si="3"/>
        <v>341.65277499999996</v>
      </c>
      <c r="AJ46" s="272">
        <f t="shared" si="3"/>
        <v>343.15876500000002</v>
      </c>
      <c r="AK46" s="269"/>
    </row>
    <row r="47" spans="1:38" s="224" customFormat="1">
      <c r="A47" s="229" t="s">
        <v>192</v>
      </c>
      <c r="B47" s="315"/>
      <c r="C47" s="321">
        <f>C46/B46-1</f>
        <v>0.50328700976562524</v>
      </c>
      <c r="D47" s="321">
        <f t="shared" ref="D47:Z47" si="4">D46/C46-1</f>
        <v>0.45551667010381003</v>
      </c>
      <c r="E47" s="321">
        <f t="shared" si="4"/>
        <v>0.1836059927019551</v>
      </c>
      <c r="F47" s="322">
        <f t="shared" si="4"/>
        <v>0.20750841679621423</v>
      </c>
      <c r="G47" s="273"/>
      <c r="H47" s="273">
        <f t="shared" si="4"/>
        <v>-4.0923010698050155E-2</v>
      </c>
      <c r="I47" s="273">
        <f t="shared" si="4"/>
        <v>1.32361170570785E-2</v>
      </c>
      <c r="J47" s="273">
        <f t="shared" si="4"/>
        <v>4.6235893786727766E-2</v>
      </c>
      <c r="K47" s="273">
        <f t="shared" si="4"/>
        <v>-5.5436638813757488E-2</v>
      </c>
      <c r="L47" s="273">
        <f t="shared" si="4"/>
        <v>4.7635941428900708E-3</v>
      </c>
      <c r="M47" s="273">
        <f t="shared" si="4"/>
        <v>2.0701138315807999E-2</v>
      </c>
      <c r="N47" s="273">
        <f t="shared" si="4"/>
        <v>1.2927683191988004E-2</v>
      </c>
      <c r="O47" s="273">
        <f t="shared" si="4"/>
        <v>1.8607700866001275E-2</v>
      </c>
      <c r="P47" s="273">
        <f t="shared" si="4"/>
        <v>2.8815370308201249E-2</v>
      </c>
      <c r="Q47" s="273">
        <f t="shared" si="4"/>
        <v>2.5200122480699472E-2</v>
      </c>
      <c r="R47" s="273">
        <f t="shared" si="4"/>
        <v>4.1594477055942436E-2</v>
      </c>
      <c r="S47" s="273">
        <f t="shared" si="4"/>
        <v>3.730347618016272E-2</v>
      </c>
      <c r="T47" s="273">
        <f t="shared" si="4"/>
        <v>3.3410983375137038E-2</v>
      </c>
      <c r="U47" s="273">
        <f t="shared" si="4"/>
        <v>2.762316194538661E-2</v>
      </c>
      <c r="V47" s="273">
        <f t="shared" si="4"/>
        <v>2.4177520941188968E-2</v>
      </c>
      <c r="W47" s="273">
        <f t="shared" si="4"/>
        <v>1.9803783802575969E-2</v>
      </c>
      <c r="X47" s="273">
        <f t="shared" si="4"/>
        <v>1.4783908606232909E-2</v>
      </c>
      <c r="Y47" s="273">
        <f t="shared" si="4"/>
        <v>1.0276400270123665E-2</v>
      </c>
      <c r="Z47" s="273">
        <f t="shared" si="4"/>
        <v>7.5194728013252554E-3</v>
      </c>
      <c r="AA47" s="273">
        <f t="shared" ref="AA47:AJ47" si="5">AA46/Z46-1</f>
        <v>-0.25905149806930716</v>
      </c>
      <c r="AB47" s="273">
        <f t="shared" si="5"/>
        <v>-1.2861832832666842E-5</v>
      </c>
      <c r="AC47" s="273">
        <f t="shared" si="5"/>
        <v>1.2326081667257682E-4</v>
      </c>
      <c r="AD47" s="273">
        <f t="shared" si="5"/>
        <v>0</v>
      </c>
      <c r="AE47" s="273">
        <f t="shared" si="5"/>
        <v>-2.412399152927458E-3</v>
      </c>
      <c r="AF47" s="273">
        <f t="shared" si="5"/>
        <v>-4.0296719647202606E-3</v>
      </c>
      <c r="AG47" s="273">
        <f t="shared" si="5"/>
        <v>-2.7052273016543449E-3</v>
      </c>
      <c r="AH47" s="273">
        <f t="shared" si="5"/>
        <v>1.3292435749623355E-3</v>
      </c>
      <c r="AI47" s="273">
        <f t="shared" si="5"/>
        <v>1.1038922462910827E-2</v>
      </c>
      <c r="AJ47" s="273">
        <f t="shared" si="5"/>
        <v>4.4079548307489613E-3</v>
      </c>
      <c r="AK47" s="269"/>
    </row>
    <row r="48" spans="1:38" s="230" customFormat="1">
      <c r="A48" s="227" t="s">
        <v>195</v>
      </c>
      <c r="B48" s="323">
        <f>SUM(B33,B36,B40)/B43</f>
        <v>1.3993479668594277E-2</v>
      </c>
      <c r="C48" s="323">
        <f t="shared" ref="C48:AJ48" si="6">SUM(C33,C36,C40)/C43</f>
        <v>2.0964626725248844E-2</v>
      </c>
      <c r="D48" s="323">
        <f t="shared" si="6"/>
        <v>3.2255142582921545E-2</v>
      </c>
      <c r="E48" s="323">
        <f t="shared" si="6"/>
        <v>3.8621421054708789E-2</v>
      </c>
      <c r="F48" s="324">
        <f t="shared" si="6"/>
        <v>4.6238990645239793E-2</v>
      </c>
      <c r="G48" s="274">
        <f t="shared" si="6"/>
        <v>5.0113358533740354E-2</v>
      </c>
      <c r="H48" s="274">
        <f t="shared" si="6"/>
        <v>4.8957766991398283E-2</v>
      </c>
      <c r="I48" s="274">
        <f t="shared" si="6"/>
        <v>4.8578849560248959E-2</v>
      </c>
      <c r="J48" s="274">
        <f t="shared" si="6"/>
        <v>5.1284361693822764E-2</v>
      </c>
      <c r="K48" s="274">
        <f t="shared" si="6"/>
        <v>4.7576032869045506E-2</v>
      </c>
      <c r="L48" s="274">
        <f t="shared" si="6"/>
        <v>4.7305096007127075E-2</v>
      </c>
      <c r="M48" s="274">
        <f t="shared" si="6"/>
        <v>4.7990408149769591E-2</v>
      </c>
      <c r="N48" s="274">
        <f t="shared" si="6"/>
        <v>4.8486149400757073E-2</v>
      </c>
      <c r="O48" s="274">
        <f t="shared" si="6"/>
        <v>4.9368514215783074E-2</v>
      </c>
      <c r="P48" s="274">
        <f t="shared" si="6"/>
        <v>5.0830360119830421E-2</v>
      </c>
      <c r="Q48" s="274">
        <f t="shared" si="6"/>
        <v>5.2227082464624625E-2</v>
      </c>
      <c r="R48" s="275">
        <f t="shared" si="6"/>
        <v>5.4509371249060634E-2</v>
      </c>
      <c r="S48" s="274">
        <f t="shared" si="6"/>
        <v>5.6685779692733994E-2</v>
      </c>
      <c r="T48" s="274">
        <f t="shared" si="6"/>
        <v>5.8757749486676503E-2</v>
      </c>
      <c r="U48" s="274">
        <f t="shared" si="6"/>
        <v>6.059303768673973E-2</v>
      </c>
      <c r="V48" s="274">
        <f t="shared" si="6"/>
        <v>6.2328131729370427E-2</v>
      </c>
      <c r="W48" s="274">
        <f t="shared" si="6"/>
        <v>6.3760503080617439E-2</v>
      </c>
      <c r="X48" s="274">
        <f t="shared" si="6"/>
        <v>6.4904735244002754E-2</v>
      </c>
      <c r="Y48" s="274">
        <f t="shared" si="6"/>
        <v>6.5845504400378327E-2</v>
      </c>
      <c r="Z48" s="275">
        <f t="shared" si="6"/>
        <v>6.6531540352623181E-2</v>
      </c>
      <c r="AA48" s="275">
        <f t="shared" si="6"/>
        <v>4.9414968462367842E-2</v>
      </c>
      <c r="AB48" s="275">
        <f t="shared" si="6"/>
        <v>4.9526297592861444E-2</v>
      </c>
      <c r="AC48" s="275">
        <f t="shared" si="6"/>
        <v>4.9644791616011673E-2</v>
      </c>
      <c r="AD48" s="275">
        <f t="shared" si="6"/>
        <v>4.9716548920366761E-2</v>
      </c>
      <c r="AE48" s="275">
        <f t="shared" si="6"/>
        <v>4.9640068242728409E-2</v>
      </c>
      <c r="AF48" s="275">
        <f t="shared" si="6"/>
        <v>4.9492761309831122E-2</v>
      </c>
      <c r="AG48" s="275">
        <f t="shared" si="6"/>
        <v>4.932872490998011E-2</v>
      </c>
      <c r="AH48" s="275">
        <f t="shared" si="6"/>
        <v>4.9362373023777592E-2</v>
      </c>
      <c r="AI48" s="275">
        <f t="shared" si="6"/>
        <v>4.9925796825392763E-2</v>
      </c>
      <c r="AJ48" s="275">
        <f t="shared" si="6"/>
        <v>5.0208967046234856E-2</v>
      </c>
      <c r="AK48" s="276"/>
    </row>
    <row r="49" spans="1:37" s="230" customFormat="1">
      <c r="A49" s="230" t="s">
        <v>186</v>
      </c>
      <c r="B49" s="325">
        <f>B33*365 * 42/1000</f>
        <v>4.1895202937722189</v>
      </c>
      <c r="C49" s="325">
        <f t="shared" ref="C49:AJ49" si="7">C33*365 * 42/1000</f>
        <v>6.1835701614618239</v>
      </c>
      <c r="D49" s="325">
        <f t="shared" si="7"/>
        <v>8.9300929445028281</v>
      </c>
      <c r="E49" s="325">
        <f t="shared" si="7"/>
        <v>10.57340813040733</v>
      </c>
      <c r="F49" s="326">
        <f t="shared" si="7"/>
        <v>12.90469492435456</v>
      </c>
      <c r="G49" s="277">
        <f t="shared" si="7"/>
        <v>13.58201208</v>
      </c>
      <c r="H49" s="277">
        <f t="shared" si="7"/>
        <v>12.933246479999999</v>
      </c>
      <c r="I49" s="277">
        <f t="shared" si="7"/>
        <v>12.815159489999999</v>
      </c>
      <c r="J49" s="277">
        <f t="shared" si="7"/>
        <v>13.33685472</v>
      </c>
      <c r="K49" s="277">
        <f t="shared" si="7"/>
        <v>12.572746199999999</v>
      </c>
      <c r="L49" s="277">
        <f t="shared" si="7"/>
        <v>12.606410879999997</v>
      </c>
      <c r="M49" s="277">
        <f t="shared" si="7"/>
        <v>12.7724961</v>
      </c>
      <c r="N49" s="277">
        <f t="shared" si="7"/>
        <v>12.79849578</v>
      </c>
      <c r="O49" s="277">
        <f t="shared" si="7"/>
        <v>12.799660859999999</v>
      </c>
      <c r="P49" s="277">
        <f t="shared" si="7"/>
        <v>12.883423980000002</v>
      </c>
      <c r="Q49" s="277">
        <f t="shared" si="7"/>
        <v>12.857041049999999</v>
      </c>
      <c r="R49" s="277">
        <f t="shared" si="7"/>
        <v>13.0113375</v>
      </c>
      <c r="S49" s="277">
        <f t="shared" si="7"/>
        <v>13.097829360000002</v>
      </c>
      <c r="T49" s="277">
        <f t="shared" si="7"/>
        <v>13.097599410000003</v>
      </c>
      <c r="U49" s="277">
        <f t="shared" si="7"/>
        <v>13.09776804</v>
      </c>
      <c r="V49" s="277">
        <f t="shared" si="7"/>
        <v>13.097829360000002</v>
      </c>
      <c r="W49" s="277">
        <f t="shared" si="7"/>
        <v>13.1106759</v>
      </c>
      <c r="X49" s="277">
        <f t="shared" si="7"/>
        <v>13.120134510000002</v>
      </c>
      <c r="Y49" s="277">
        <f t="shared" si="7"/>
        <v>13.11995055</v>
      </c>
      <c r="Z49" s="277">
        <f t="shared" si="7"/>
        <v>13.120134510000002</v>
      </c>
      <c r="AA49" s="277">
        <f t="shared" si="7"/>
        <v>13.120134510000002</v>
      </c>
      <c r="AB49" s="277">
        <f t="shared" si="7"/>
        <v>13.11995055</v>
      </c>
      <c r="AC49" s="277">
        <f t="shared" si="7"/>
        <v>13.11995055</v>
      </c>
      <c r="AD49" s="277">
        <f t="shared" si="7"/>
        <v>13.11995055</v>
      </c>
      <c r="AE49" s="277">
        <f t="shared" si="7"/>
        <v>13.08544272</v>
      </c>
      <c r="AF49" s="277">
        <f t="shared" si="7"/>
        <v>13.027939889999997</v>
      </c>
      <c r="AG49" s="277">
        <f t="shared" si="7"/>
        <v>12.993324749999999</v>
      </c>
      <c r="AH49" s="277">
        <f t="shared" si="7"/>
        <v>13.008332820000001</v>
      </c>
      <c r="AI49" s="277">
        <f t="shared" si="7"/>
        <v>13.168837920000001</v>
      </c>
      <c r="AJ49" s="277">
        <f t="shared" si="7"/>
        <v>13.226494050000001</v>
      </c>
      <c r="AK49" s="278"/>
    </row>
    <row r="50" spans="1:37">
      <c r="A50" s="6" t="s">
        <v>160</v>
      </c>
      <c r="R50" s="264" t="s">
        <v>0</v>
      </c>
    </row>
    <row r="51" spans="1:37">
      <c r="A51" s="6" t="s">
        <v>159</v>
      </c>
    </row>
    <row r="52" spans="1:37">
      <c r="A52" s="6" t="s">
        <v>691</v>
      </c>
      <c r="B52" s="313">
        <v>2.0520000457763699</v>
      </c>
      <c r="C52" s="313">
        <v>2.08500003814697</v>
      </c>
      <c r="D52" s="313">
        <v>2.02300000190735</v>
      </c>
      <c r="E52" s="313">
        <v>1.9900000095367401</v>
      </c>
      <c r="F52" s="314">
        <v>1.9984494447708101</v>
      </c>
      <c r="G52" s="258">
        <v>2.3039999999999998</v>
      </c>
      <c r="H52" s="258">
        <v>2.3239999999999998</v>
      </c>
      <c r="I52" s="258">
        <v>2.407</v>
      </c>
      <c r="J52" s="258">
        <v>2.4159999999999999</v>
      </c>
      <c r="K52" s="258">
        <v>2.4498690000000001</v>
      </c>
      <c r="L52" s="258">
        <v>2.5403880000000001</v>
      </c>
      <c r="M52" s="258">
        <v>2.599494</v>
      </c>
      <c r="N52" s="258">
        <v>2.6464240000000001</v>
      </c>
      <c r="O52" s="258">
        <v>2.693587</v>
      </c>
      <c r="P52" s="258">
        <v>2.7283230000000001</v>
      </c>
      <c r="Q52" s="258">
        <v>2.742324</v>
      </c>
      <c r="R52" s="258">
        <v>2.7799209999999999</v>
      </c>
      <c r="S52" s="258">
        <v>2.8150529999999998</v>
      </c>
      <c r="T52" s="258">
        <v>2.8347359999999999</v>
      </c>
      <c r="U52" s="258">
        <v>2.8433090000000001</v>
      </c>
      <c r="V52" s="258">
        <v>2.840814</v>
      </c>
      <c r="W52" s="258">
        <v>2.844868</v>
      </c>
      <c r="X52" s="258">
        <v>2.8578079999999999</v>
      </c>
      <c r="Y52" s="258">
        <v>2.8486820000000002</v>
      </c>
      <c r="Z52" s="258">
        <v>2.8402569999999998</v>
      </c>
      <c r="AA52" s="258">
        <v>2.8361179999999999</v>
      </c>
      <c r="AB52" s="258">
        <v>2.8308490000000002</v>
      </c>
      <c r="AC52" s="258">
        <v>2.8180170000000002</v>
      </c>
      <c r="AD52" s="258">
        <v>2.7924669999999998</v>
      </c>
      <c r="AE52" s="258">
        <v>2.7826710000000001</v>
      </c>
      <c r="AF52" s="258">
        <v>2.76675</v>
      </c>
      <c r="AG52" s="258">
        <v>2.7715809999999999</v>
      </c>
      <c r="AH52" s="258">
        <v>2.7629000000000001</v>
      </c>
      <c r="AI52" s="258">
        <v>2.7495129999999999</v>
      </c>
      <c r="AJ52" s="258">
        <v>2.7286790000000001</v>
      </c>
      <c r="AK52" s="259">
        <v>6.0000000000000001E-3</v>
      </c>
    </row>
    <row r="53" spans="1:37">
      <c r="A53" s="6" t="s">
        <v>690</v>
      </c>
      <c r="B53" s="313">
        <v>8.6600880604237296E-4</v>
      </c>
      <c r="C53" s="313">
        <v>1.0510511929169299E-3</v>
      </c>
      <c r="D53" s="313">
        <v>8.0768426414579196E-4</v>
      </c>
      <c r="E53" s="313">
        <v>4.3171385186724403E-4</v>
      </c>
      <c r="F53" s="314">
        <v>1.8219171324744801E-3</v>
      </c>
      <c r="G53" s="258">
        <v>1.882E-3</v>
      </c>
      <c r="H53" s="258">
        <v>9.8740000000000008E-3</v>
      </c>
      <c r="I53" s="258">
        <v>1.3136999999999999E-2</v>
      </c>
      <c r="J53" s="258">
        <v>1.4973999999999999E-2</v>
      </c>
      <c r="K53" s="258">
        <v>1.2047E-2</v>
      </c>
      <c r="L53" s="258">
        <v>2.5141E-2</v>
      </c>
      <c r="M53" s="258">
        <v>5.3563E-2</v>
      </c>
      <c r="N53" s="258">
        <v>8.0305000000000001E-2</v>
      </c>
      <c r="O53" s="258">
        <v>0.10901</v>
      </c>
      <c r="P53" s="258">
        <v>0.13106100000000001</v>
      </c>
      <c r="Q53" s="258">
        <v>0.162138</v>
      </c>
      <c r="R53" s="258">
        <v>0.20447299999999999</v>
      </c>
      <c r="S53" s="258">
        <v>0.22256600000000001</v>
      </c>
      <c r="T53" s="258">
        <v>0.242672</v>
      </c>
      <c r="U53" s="258">
        <v>0.26248500000000002</v>
      </c>
      <c r="V53" s="258">
        <v>0.279335</v>
      </c>
      <c r="W53" s="258">
        <v>0.29406700000000002</v>
      </c>
      <c r="X53" s="258">
        <v>0.30546400000000001</v>
      </c>
      <c r="Y53" s="258">
        <v>0.31323699999999999</v>
      </c>
      <c r="Z53" s="258">
        <v>0.31872699999999998</v>
      </c>
      <c r="AA53" s="258">
        <v>0.321052</v>
      </c>
      <c r="AB53" s="258">
        <v>0.31902700000000001</v>
      </c>
      <c r="AC53" s="258">
        <v>0.31467200000000001</v>
      </c>
      <c r="AD53" s="258">
        <v>0.30996699999999999</v>
      </c>
      <c r="AE53" s="258">
        <v>0.29748400000000003</v>
      </c>
      <c r="AF53" s="258">
        <v>0.28148600000000001</v>
      </c>
      <c r="AG53" s="258">
        <v>0.26450099999999999</v>
      </c>
      <c r="AH53" s="258">
        <v>0.245667</v>
      </c>
      <c r="AI53" s="258">
        <v>0.23741399999999999</v>
      </c>
      <c r="AJ53" s="258">
        <v>0.22813</v>
      </c>
      <c r="AK53" s="259">
        <v>0.11899999999999999</v>
      </c>
    </row>
    <row r="54" spans="1:37">
      <c r="A54" s="6" t="s">
        <v>692</v>
      </c>
      <c r="B54" s="313">
        <v>9.2527751922607404</v>
      </c>
      <c r="C54" s="313">
        <v>9.2857265472412092</v>
      </c>
      <c r="D54" s="313">
        <v>9.0097904205322301</v>
      </c>
      <c r="E54" s="313">
        <v>8.9638872146606392</v>
      </c>
      <c r="F54" s="314">
        <v>9.3608798980712908</v>
      </c>
      <c r="G54" s="258">
        <v>8.7543939999999996</v>
      </c>
      <c r="H54" s="258">
        <v>8.7103070000000002</v>
      </c>
      <c r="I54" s="258">
        <v>8.7047209999999993</v>
      </c>
      <c r="J54" s="258">
        <v>8.6720810000000004</v>
      </c>
      <c r="K54" s="258">
        <v>8.7711889999999997</v>
      </c>
      <c r="L54" s="258">
        <v>8.7249210000000001</v>
      </c>
      <c r="M54" s="258">
        <v>8.665521</v>
      </c>
      <c r="N54" s="258">
        <v>8.5782380000000007</v>
      </c>
      <c r="O54" s="258">
        <v>8.4654989999999994</v>
      </c>
      <c r="P54" s="258">
        <v>8.3493230000000001</v>
      </c>
      <c r="Q54" s="258">
        <v>8.2274130000000003</v>
      </c>
      <c r="R54" s="258">
        <v>8.1002519999999993</v>
      </c>
      <c r="S54" s="258">
        <v>7.9630890000000001</v>
      </c>
      <c r="T54" s="258">
        <v>7.8215009999999996</v>
      </c>
      <c r="U54" s="258">
        <v>7.6724129999999997</v>
      </c>
      <c r="V54" s="258">
        <v>7.5382249999999997</v>
      </c>
      <c r="W54" s="258">
        <v>7.4181600000000003</v>
      </c>
      <c r="X54" s="258">
        <v>7.3157300000000003</v>
      </c>
      <c r="Y54" s="258">
        <v>7.224996</v>
      </c>
      <c r="Z54" s="258">
        <v>7.1462729999999999</v>
      </c>
      <c r="AA54" s="258">
        <v>7.080946</v>
      </c>
      <c r="AB54" s="258">
        <v>7.0268600000000001</v>
      </c>
      <c r="AC54" s="258">
        <v>6.9825390000000001</v>
      </c>
      <c r="AD54" s="258">
        <v>6.943378</v>
      </c>
      <c r="AE54" s="258">
        <v>6.9093359999999997</v>
      </c>
      <c r="AF54" s="258">
        <v>6.8818789999999996</v>
      </c>
      <c r="AG54" s="258">
        <v>6.8622290000000001</v>
      </c>
      <c r="AH54" s="258">
        <v>6.8497510000000004</v>
      </c>
      <c r="AI54" s="258">
        <v>6.8444979999999997</v>
      </c>
      <c r="AJ54" s="258">
        <v>6.8408179999999996</v>
      </c>
      <c r="AK54" s="259">
        <v>-8.9999999999999993E-3</v>
      </c>
    </row>
    <row r="55" spans="1:37">
      <c r="A55" s="6" t="s">
        <v>693</v>
      </c>
      <c r="B55" s="313">
        <v>1.63300001621246</v>
      </c>
      <c r="C55" s="313">
        <v>1.6219999790191699</v>
      </c>
      <c r="D55" s="313">
        <v>1.5329999923706099</v>
      </c>
      <c r="E55" s="313">
        <v>1.47300004959106</v>
      </c>
      <c r="F55" s="314">
        <v>1.45558297634125</v>
      </c>
      <c r="G55" s="258">
        <v>1.425</v>
      </c>
      <c r="H55" s="258">
        <v>1.399</v>
      </c>
      <c r="I55" s="258">
        <v>1.4039999999999999</v>
      </c>
      <c r="J55" s="258">
        <v>1.4059999999999999</v>
      </c>
      <c r="K55" s="258">
        <v>1.459821</v>
      </c>
      <c r="L55" s="258">
        <v>1.466666</v>
      </c>
      <c r="M55" s="258">
        <v>1.4738910000000001</v>
      </c>
      <c r="N55" s="258">
        <v>1.4802960000000001</v>
      </c>
      <c r="O55" s="258">
        <v>1.4860789999999999</v>
      </c>
      <c r="P55" s="258">
        <v>1.491026</v>
      </c>
      <c r="Q55" s="258">
        <v>1.496483</v>
      </c>
      <c r="R55" s="258">
        <v>1.5023390000000001</v>
      </c>
      <c r="S55" s="258">
        <v>1.5080819999999999</v>
      </c>
      <c r="T55" s="258">
        <v>1.514818</v>
      </c>
      <c r="U55" s="258">
        <v>1.5222910000000001</v>
      </c>
      <c r="V55" s="258">
        <v>1.529134</v>
      </c>
      <c r="W55" s="258">
        <v>1.5350699999999999</v>
      </c>
      <c r="X55" s="258">
        <v>1.540705</v>
      </c>
      <c r="Y55" s="258">
        <v>1.5457909999999999</v>
      </c>
      <c r="Z55" s="258">
        <v>1.550583</v>
      </c>
      <c r="AA55" s="258">
        <v>1.555024</v>
      </c>
      <c r="AB55" s="258">
        <v>1.559142</v>
      </c>
      <c r="AC55" s="258">
        <v>1.562889</v>
      </c>
      <c r="AD55" s="258">
        <v>1.5661639999999999</v>
      </c>
      <c r="AE55" s="258">
        <v>1.5691090000000001</v>
      </c>
      <c r="AF55" s="258">
        <v>1.5733360000000001</v>
      </c>
      <c r="AG55" s="258">
        <v>1.577515</v>
      </c>
      <c r="AH55" s="258">
        <v>1.5816300000000001</v>
      </c>
      <c r="AI55" s="258">
        <v>1.585529</v>
      </c>
      <c r="AJ55" s="258">
        <v>1.5896079999999999</v>
      </c>
      <c r="AK55" s="259">
        <v>5.0000000000000001E-3</v>
      </c>
    </row>
    <row r="56" spans="1:37">
      <c r="A56" s="6" t="s">
        <v>694</v>
      </c>
      <c r="B56" s="313">
        <v>4.1690001487731898</v>
      </c>
      <c r="C56" s="313">
        <v>4.1960000991821298</v>
      </c>
      <c r="D56" s="313">
        <v>3.9430000782012899</v>
      </c>
      <c r="E56" s="313">
        <v>3.90199995040894</v>
      </c>
      <c r="F56" s="314">
        <v>4.0923304557800302</v>
      </c>
      <c r="G56" s="258">
        <v>3.899</v>
      </c>
      <c r="H56" s="258">
        <v>3.7429999999999999</v>
      </c>
      <c r="I56" s="258">
        <v>3.859</v>
      </c>
      <c r="J56" s="258">
        <v>3.9089999999999998</v>
      </c>
      <c r="K56" s="258">
        <v>4.0858679999999996</v>
      </c>
      <c r="L56" s="258">
        <v>4.177359</v>
      </c>
      <c r="M56" s="258">
        <v>4.228364</v>
      </c>
      <c r="N56" s="258">
        <v>4.2508220000000003</v>
      </c>
      <c r="O56" s="258">
        <v>4.2730649999999999</v>
      </c>
      <c r="P56" s="258">
        <v>4.295331</v>
      </c>
      <c r="Q56" s="258">
        <v>4.319947</v>
      </c>
      <c r="R56" s="258">
        <v>4.3484850000000002</v>
      </c>
      <c r="S56" s="258">
        <v>4.3784619999999999</v>
      </c>
      <c r="T56" s="258">
        <v>4.4044730000000003</v>
      </c>
      <c r="U56" s="258">
        <v>4.436998</v>
      </c>
      <c r="V56" s="258">
        <v>4.460839</v>
      </c>
      <c r="W56" s="258">
        <v>4.4796500000000004</v>
      </c>
      <c r="X56" s="258">
        <v>4.4870289999999997</v>
      </c>
      <c r="Y56" s="258">
        <v>4.4989540000000003</v>
      </c>
      <c r="Z56" s="258">
        <v>4.5163840000000004</v>
      </c>
      <c r="AA56" s="258">
        <v>4.5280180000000003</v>
      </c>
      <c r="AB56" s="258">
        <v>4.5344899999999999</v>
      </c>
      <c r="AC56" s="258">
        <v>4.5444589999999998</v>
      </c>
      <c r="AD56" s="258">
        <v>4.5662190000000002</v>
      </c>
      <c r="AE56" s="258">
        <v>4.5865479999999996</v>
      </c>
      <c r="AF56" s="258">
        <v>4.5978500000000002</v>
      </c>
      <c r="AG56" s="258">
        <v>4.6070399999999996</v>
      </c>
      <c r="AH56" s="258">
        <v>4.6156879999999996</v>
      </c>
      <c r="AI56" s="258">
        <v>4.6224400000000001</v>
      </c>
      <c r="AJ56" s="258">
        <v>4.6207630000000002</v>
      </c>
      <c r="AK56" s="259">
        <v>8.0000000000000002E-3</v>
      </c>
    </row>
    <row r="57" spans="1:37">
      <c r="A57" s="6" t="s">
        <v>158</v>
      </c>
      <c r="B57" s="313">
        <v>3.21000003814697</v>
      </c>
      <c r="C57" s="313">
        <v>3.4670000076293901</v>
      </c>
      <c r="D57" s="313">
        <v>3.46799993515015</v>
      </c>
      <c r="E57" s="313">
        <v>3.4189999103546098</v>
      </c>
      <c r="F57" s="314">
        <v>3.47832202911377</v>
      </c>
      <c r="G57" s="258">
        <v>3.5059999999999998</v>
      </c>
      <c r="H57" s="258">
        <v>3.448</v>
      </c>
      <c r="I57" s="258">
        <v>3.5550000000000002</v>
      </c>
      <c r="J57" s="258">
        <v>3.601</v>
      </c>
      <c r="K57" s="258">
        <v>3.6780590000000002</v>
      </c>
      <c r="L57" s="258">
        <v>3.788999</v>
      </c>
      <c r="M57" s="258">
        <v>3.841418</v>
      </c>
      <c r="N57" s="258">
        <v>3.888255</v>
      </c>
      <c r="O57" s="258">
        <v>3.9148960000000002</v>
      </c>
      <c r="P57" s="258">
        <v>3.942434</v>
      </c>
      <c r="Q57" s="258">
        <v>3.9721639999999998</v>
      </c>
      <c r="R57" s="258">
        <v>4.005528</v>
      </c>
      <c r="S57" s="258">
        <v>4.0400039999999997</v>
      </c>
      <c r="T57" s="258">
        <v>4.0698509999999999</v>
      </c>
      <c r="U57" s="258">
        <v>4.1063919999999996</v>
      </c>
      <c r="V57" s="258">
        <v>4.1354759999999997</v>
      </c>
      <c r="W57" s="258">
        <v>4.1591009999999997</v>
      </c>
      <c r="X57" s="258">
        <v>4.1709329999999998</v>
      </c>
      <c r="Y57" s="258">
        <v>4.1869290000000001</v>
      </c>
      <c r="Z57" s="258">
        <v>4.2079300000000002</v>
      </c>
      <c r="AA57" s="258">
        <v>4.2245819999999998</v>
      </c>
      <c r="AB57" s="258">
        <v>4.2349610000000002</v>
      </c>
      <c r="AC57" s="258">
        <v>4.2486269999999999</v>
      </c>
      <c r="AD57" s="258">
        <v>4.2736000000000001</v>
      </c>
      <c r="AE57" s="258">
        <v>4.2970110000000004</v>
      </c>
      <c r="AF57" s="258">
        <v>4.3111389999999998</v>
      </c>
      <c r="AG57" s="258">
        <v>4.3229870000000004</v>
      </c>
      <c r="AH57" s="258">
        <v>4.3342970000000003</v>
      </c>
      <c r="AI57" s="258">
        <v>4.3436260000000004</v>
      </c>
      <c r="AJ57" s="258">
        <v>4.344544</v>
      </c>
      <c r="AK57" s="259">
        <v>8.0000000000000002E-3</v>
      </c>
    </row>
    <row r="58" spans="1:37">
      <c r="A58" s="6" t="s">
        <v>157</v>
      </c>
      <c r="B58" s="313">
        <v>0.68900001049041704</v>
      </c>
      <c r="C58" s="313">
        <v>0.72299998998642001</v>
      </c>
      <c r="D58" s="313">
        <v>0.60799998044967696</v>
      </c>
      <c r="E58" s="313">
        <v>0.58099997043609597</v>
      </c>
      <c r="F58" s="314">
        <v>0.63298153877258301</v>
      </c>
      <c r="G58" s="258">
        <v>0.46100000000000002</v>
      </c>
      <c r="H58" s="258">
        <v>0.34499999999999997</v>
      </c>
      <c r="I58" s="258">
        <v>0.32200000000000001</v>
      </c>
      <c r="J58" s="258">
        <v>0.35</v>
      </c>
      <c r="K58" s="258">
        <v>0.38553500000000002</v>
      </c>
      <c r="L58" s="258">
        <v>0.39021600000000001</v>
      </c>
      <c r="M58" s="258">
        <v>0.38447300000000001</v>
      </c>
      <c r="N58" s="258">
        <v>0.390044</v>
      </c>
      <c r="O58" s="258">
        <v>0.38984200000000002</v>
      </c>
      <c r="P58" s="258">
        <v>0.38874799999999998</v>
      </c>
      <c r="Q58" s="258">
        <v>0.38986300000000002</v>
      </c>
      <c r="R58" s="258">
        <v>0.38962000000000002</v>
      </c>
      <c r="S58" s="258">
        <v>0.390509</v>
      </c>
      <c r="T58" s="258">
        <v>0.392071</v>
      </c>
      <c r="U58" s="258">
        <v>0.392706</v>
      </c>
      <c r="V58" s="258">
        <v>0.39272899999999999</v>
      </c>
      <c r="W58" s="258">
        <v>0.39312000000000002</v>
      </c>
      <c r="X58" s="258">
        <v>0.39413599999999999</v>
      </c>
      <c r="Y58" s="258">
        <v>0.39485900000000002</v>
      </c>
      <c r="Z58" s="258">
        <v>0.396202</v>
      </c>
      <c r="AA58" s="258">
        <v>0.39659499999999998</v>
      </c>
      <c r="AB58" s="258">
        <v>0.39696300000000001</v>
      </c>
      <c r="AC58" s="258">
        <v>0.398011</v>
      </c>
      <c r="AD58" s="258">
        <v>0.39871400000000001</v>
      </c>
      <c r="AE58" s="258">
        <v>0.39992499999999997</v>
      </c>
      <c r="AF58" s="258">
        <v>0.40121899999999999</v>
      </c>
      <c r="AG58" s="258">
        <v>0.40172999999999998</v>
      </c>
      <c r="AH58" s="258">
        <v>0.402443</v>
      </c>
      <c r="AI58" s="258">
        <v>0.40342099999999997</v>
      </c>
      <c r="AJ58" s="258">
        <v>0.40445900000000001</v>
      </c>
      <c r="AK58" s="259">
        <v>6.0000000000000001E-3</v>
      </c>
    </row>
    <row r="59" spans="1:37">
      <c r="A59" s="6" t="s">
        <v>695</v>
      </c>
      <c r="B59" s="313">
        <v>2.8580451011657702</v>
      </c>
      <c r="C59" s="313">
        <v>2.73703241348267</v>
      </c>
      <c r="D59" s="313">
        <v>2.4269983768463099</v>
      </c>
      <c r="E59" s="313">
        <v>2.3350048065185498</v>
      </c>
      <c r="F59" s="314">
        <v>2.2457344532012899</v>
      </c>
      <c r="G59" s="258">
        <v>2.0800260000000002</v>
      </c>
      <c r="H59" s="258">
        <v>1.965076</v>
      </c>
      <c r="I59" s="258">
        <v>1.942002</v>
      </c>
      <c r="J59" s="258">
        <v>1.9470000000000001</v>
      </c>
      <c r="K59" s="258">
        <v>2.0148790000000001</v>
      </c>
      <c r="L59" s="258">
        <v>2.0685479999999998</v>
      </c>
      <c r="M59" s="258">
        <v>2.1349170000000002</v>
      </c>
      <c r="N59" s="258">
        <v>2.1911809999999998</v>
      </c>
      <c r="O59" s="258">
        <v>2.2368299999999999</v>
      </c>
      <c r="P59" s="258">
        <v>2.276913</v>
      </c>
      <c r="Q59" s="258">
        <v>2.3108819999999999</v>
      </c>
      <c r="R59" s="258">
        <v>2.3269329999999999</v>
      </c>
      <c r="S59" s="258">
        <v>2.343264</v>
      </c>
      <c r="T59" s="258">
        <v>2.3722750000000001</v>
      </c>
      <c r="U59" s="258">
        <v>2.404312</v>
      </c>
      <c r="V59" s="258">
        <v>2.4265159999999999</v>
      </c>
      <c r="W59" s="258">
        <v>2.458132</v>
      </c>
      <c r="X59" s="258">
        <v>2.474024</v>
      </c>
      <c r="Y59" s="258">
        <v>2.4762659999999999</v>
      </c>
      <c r="Z59" s="258">
        <v>2.4857459999999998</v>
      </c>
      <c r="AA59" s="258">
        <v>2.4935139999999998</v>
      </c>
      <c r="AB59" s="258">
        <v>2.4994040000000002</v>
      </c>
      <c r="AC59" s="258">
        <v>2.4986790000000001</v>
      </c>
      <c r="AD59" s="258">
        <v>2.5103719999999998</v>
      </c>
      <c r="AE59" s="258">
        <v>2.5131139999999998</v>
      </c>
      <c r="AF59" s="258">
        <v>2.519142</v>
      </c>
      <c r="AG59" s="258">
        <v>2.531539</v>
      </c>
      <c r="AH59" s="258">
        <v>2.5507759999999999</v>
      </c>
      <c r="AI59" s="258">
        <v>2.550128</v>
      </c>
      <c r="AJ59" s="258">
        <v>2.5471759999999999</v>
      </c>
      <c r="AK59" s="259">
        <v>8.9999999999999993E-3</v>
      </c>
    </row>
    <row r="60" spans="1:37">
      <c r="A60" s="6" t="s">
        <v>156</v>
      </c>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row>
    <row r="61" spans="1:37">
      <c r="A61" s="6" t="s">
        <v>155</v>
      </c>
      <c r="B61" s="313">
        <v>1.0618205070495601</v>
      </c>
      <c r="C61" s="313">
        <v>1.1093590259552</v>
      </c>
      <c r="D61" s="313">
        <v>1.0993635654449501</v>
      </c>
      <c r="E61" s="313">
        <v>1.10606873035431</v>
      </c>
      <c r="F61" s="314">
        <v>1.0538341999053999</v>
      </c>
      <c r="G61" s="258">
        <v>0.96948900000000005</v>
      </c>
      <c r="H61" s="258">
        <v>0.94076099999999996</v>
      </c>
      <c r="I61" s="258">
        <v>0.95062599999999997</v>
      </c>
      <c r="J61" s="258">
        <v>0.94062699999999999</v>
      </c>
      <c r="K61" s="258">
        <v>0.91689699999999996</v>
      </c>
      <c r="L61" s="258">
        <v>0.91578099999999996</v>
      </c>
      <c r="M61" s="258">
        <v>0.90966899999999995</v>
      </c>
      <c r="N61" s="258">
        <v>0.90114399999999995</v>
      </c>
      <c r="O61" s="258">
        <v>0.89199799999999996</v>
      </c>
      <c r="P61" s="258">
        <v>0.88283199999999995</v>
      </c>
      <c r="Q61" s="258">
        <v>0.87347300000000005</v>
      </c>
      <c r="R61" s="258">
        <v>0.86438899999999996</v>
      </c>
      <c r="S61" s="258">
        <v>0.85625499999999999</v>
      </c>
      <c r="T61" s="258">
        <v>0.84867599999999999</v>
      </c>
      <c r="U61" s="258">
        <v>0.84107299999999996</v>
      </c>
      <c r="V61" s="258">
        <v>0.83371399999999996</v>
      </c>
      <c r="W61" s="258">
        <v>0.82639200000000002</v>
      </c>
      <c r="X61" s="258">
        <v>0.81992799999999999</v>
      </c>
      <c r="Y61" s="258">
        <v>0.81319300000000005</v>
      </c>
      <c r="Z61" s="258">
        <v>0.80710899999999997</v>
      </c>
      <c r="AA61" s="258">
        <v>0.80122000000000004</v>
      </c>
      <c r="AB61" s="258">
        <v>0.795458</v>
      </c>
      <c r="AC61" s="258">
        <v>0.79006900000000002</v>
      </c>
      <c r="AD61" s="258">
        <v>0.78411900000000001</v>
      </c>
      <c r="AE61" s="258">
        <v>0.77970600000000001</v>
      </c>
      <c r="AF61" s="258">
        <v>0.77555200000000002</v>
      </c>
      <c r="AG61" s="258">
        <v>0.771922</v>
      </c>
      <c r="AH61" s="258">
        <v>0.76868800000000004</v>
      </c>
      <c r="AI61" s="258">
        <v>0.76499200000000001</v>
      </c>
      <c r="AJ61" s="258">
        <v>0.76103399999999999</v>
      </c>
      <c r="AK61" s="259">
        <v>-8.0000000000000002E-3</v>
      </c>
    </row>
    <row r="62" spans="1:37">
      <c r="A62" s="6" t="s">
        <v>696</v>
      </c>
      <c r="B62" s="313">
        <v>5.3221449851989702</v>
      </c>
      <c r="C62" s="313">
        <v>5.2595095634460396</v>
      </c>
      <c r="D62" s="313">
        <v>4.9765362739562997</v>
      </c>
      <c r="E62" s="313">
        <v>4.70910596847534</v>
      </c>
      <c r="F62" s="314">
        <v>4.5219602584838903</v>
      </c>
      <c r="G62" s="258">
        <v>4.4511919999999998</v>
      </c>
      <c r="H62" s="258">
        <v>4.421297</v>
      </c>
      <c r="I62" s="258">
        <v>4.5209929999999998</v>
      </c>
      <c r="J62" s="258">
        <v>4.6163509999999999</v>
      </c>
      <c r="K62" s="258">
        <v>4.7672689999999998</v>
      </c>
      <c r="L62" s="258">
        <v>4.940448</v>
      </c>
      <c r="M62" s="258">
        <v>5.0828059999999997</v>
      </c>
      <c r="N62" s="258">
        <v>5.1973799999999999</v>
      </c>
      <c r="O62" s="258">
        <v>5.2962569999999998</v>
      </c>
      <c r="P62" s="258">
        <v>5.3737599999999999</v>
      </c>
      <c r="Q62" s="258">
        <v>5.42516</v>
      </c>
      <c r="R62" s="258">
        <v>5.4817600000000004</v>
      </c>
      <c r="S62" s="258">
        <v>5.536664</v>
      </c>
      <c r="T62" s="258">
        <v>5.5895760000000001</v>
      </c>
      <c r="U62" s="258">
        <v>5.635637</v>
      </c>
      <c r="V62" s="258">
        <v>5.6575449999999998</v>
      </c>
      <c r="W62" s="258">
        <v>5.6945290000000002</v>
      </c>
      <c r="X62" s="258">
        <v>5.724005</v>
      </c>
      <c r="Y62" s="258">
        <v>5.7184200000000001</v>
      </c>
      <c r="Z62" s="258">
        <v>5.7229380000000001</v>
      </c>
      <c r="AA62" s="258">
        <v>5.7270849999999998</v>
      </c>
      <c r="AB62" s="258">
        <v>5.7279549999999997</v>
      </c>
      <c r="AC62" s="258">
        <v>5.7151949999999996</v>
      </c>
      <c r="AD62" s="258">
        <v>5.7039289999999996</v>
      </c>
      <c r="AE62" s="258">
        <v>5.6985010000000003</v>
      </c>
      <c r="AF62" s="258">
        <v>5.6904269999999997</v>
      </c>
      <c r="AG62" s="258">
        <v>5.7088890000000001</v>
      </c>
      <c r="AH62" s="258">
        <v>5.7191020000000004</v>
      </c>
      <c r="AI62" s="258">
        <v>5.7061400000000004</v>
      </c>
      <c r="AJ62" s="258">
        <v>5.6839209999999998</v>
      </c>
      <c r="AK62" s="259">
        <v>8.9999999999999993E-3</v>
      </c>
    </row>
    <row r="63" spans="1:37">
      <c r="A63" s="6" t="s">
        <v>154</v>
      </c>
      <c r="B63" s="313">
        <v>14.205528259277299</v>
      </c>
      <c r="C63" s="313">
        <v>14.253752708435099</v>
      </c>
      <c r="D63" s="313">
        <v>13.661909103393601</v>
      </c>
      <c r="E63" s="313">
        <v>13.477608680725099</v>
      </c>
      <c r="F63" s="314">
        <v>13.9932947158813</v>
      </c>
      <c r="G63" s="258">
        <v>13.653123000000001</v>
      </c>
      <c r="H63" s="258">
        <v>13.443807</v>
      </c>
      <c r="I63" s="258">
        <v>13.46326</v>
      </c>
      <c r="J63" s="258">
        <v>13.410075000000001</v>
      </c>
      <c r="K63" s="258">
        <v>13.391593</v>
      </c>
      <c r="L63" s="258">
        <v>13.423278</v>
      </c>
      <c r="M63" s="258">
        <v>13.416093</v>
      </c>
      <c r="N63" s="258">
        <v>13.359128999999999</v>
      </c>
      <c r="O63" s="258">
        <v>13.277658000000001</v>
      </c>
      <c r="P63" s="258">
        <v>13.193913999999999</v>
      </c>
      <c r="Q63" s="258">
        <v>13.108468</v>
      </c>
      <c r="R63" s="258">
        <v>13.021044</v>
      </c>
      <c r="S63" s="258">
        <v>12.924597</v>
      </c>
      <c r="T63" s="258">
        <v>12.819832</v>
      </c>
      <c r="U63" s="258">
        <v>12.713536</v>
      </c>
      <c r="V63" s="258">
        <v>12.616394</v>
      </c>
      <c r="W63" s="258">
        <v>12.527696000000001</v>
      </c>
      <c r="X63" s="258">
        <v>12.445028000000001</v>
      </c>
      <c r="Y63" s="258">
        <v>12.377145000000001</v>
      </c>
      <c r="Z63" s="258">
        <v>12.324268</v>
      </c>
      <c r="AA63" s="258">
        <v>12.281888</v>
      </c>
      <c r="AB63" s="258">
        <v>12.244210000000001</v>
      </c>
      <c r="AC63" s="258">
        <v>12.219082999999999</v>
      </c>
      <c r="AD63" s="258">
        <v>12.208591999999999</v>
      </c>
      <c r="AE63" s="258">
        <v>12.201549</v>
      </c>
      <c r="AF63" s="258">
        <v>12.192887000000001</v>
      </c>
      <c r="AG63" s="258">
        <v>12.189211999999999</v>
      </c>
      <c r="AH63" s="258">
        <v>12.193395000000001</v>
      </c>
      <c r="AI63" s="258">
        <v>12.201965</v>
      </c>
      <c r="AJ63" s="258">
        <v>12.203708000000001</v>
      </c>
      <c r="AK63" s="259">
        <v>-3.0000000000000001E-3</v>
      </c>
    </row>
    <row r="64" spans="1:37">
      <c r="A64" s="6" t="s">
        <v>697</v>
      </c>
      <c r="B64" s="313">
        <v>0.28576692938804599</v>
      </c>
      <c r="C64" s="313">
        <v>0.295045405626297</v>
      </c>
      <c r="D64" s="313">
        <v>0.215673848986626</v>
      </c>
      <c r="E64" s="313">
        <v>0.21838557720184301</v>
      </c>
      <c r="F64" s="314">
        <v>0.21773074567317999</v>
      </c>
      <c r="G64" s="258">
        <v>0.13995199999999999</v>
      </c>
      <c r="H64" s="258">
        <v>0.10258100000000001</v>
      </c>
      <c r="I64" s="258">
        <v>9.1968999999999995E-2</v>
      </c>
      <c r="J64" s="258">
        <v>9.2428999999999997E-2</v>
      </c>
      <c r="K64" s="258">
        <v>9.2261999999999997E-2</v>
      </c>
      <c r="L64" s="258">
        <v>8.9524000000000006E-2</v>
      </c>
      <c r="M64" s="258">
        <v>7.9076999999999995E-2</v>
      </c>
      <c r="N64" s="258">
        <v>8.0381999999999995E-2</v>
      </c>
      <c r="O64" s="258">
        <v>8.0076999999999995E-2</v>
      </c>
      <c r="P64" s="258">
        <v>8.0298999999999995E-2</v>
      </c>
      <c r="Q64" s="258">
        <v>8.0979999999999996E-2</v>
      </c>
      <c r="R64" s="258">
        <v>8.1548999999999996E-2</v>
      </c>
      <c r="S64" s="258">
        <v>8.2155000000000006E-2</v>
      </c>
      <c r="T64" s="258">
        <v>8.3019999999999997E-2</v>
      </c>
      <c r="U64" s="258">
        <v>8.3024000000000001E-2</v>
      </c>
      <c r="V64" s="258">
        <v>8.1849000000000005E-2</v>
      </c>
      <c r="W64" s="258">
        <v>8.1641000000000005E-2</v>
      </c>
      <c r="X64" s="258">
        <v>8.1735000000000002E-2</v>
      </c>
      <c r="Y64" s="258">
        <v>8.2040000000000002E-2</v>
      </c>
      <c r="Z64" s="258">
        <v>8.2365999999999995E-2</v>
      </c>
      <c r="AA64" s="258">
        <v>8.1250000000000003E-2</v>
      </c>
      <c r="AB64" s="258">
        <v>8.1303E-2</v>
      </c>
      <c r="AC64" s="258">
        <v>8.1448999999999994E-2</v>
      </c>
      <c r="AD64" s="258">
        <v>8.1864999999999993E-2</v>
      </c>
      <c r="AE64" s="258">
        <v>8.2123000000000002E-2</v>
      </c>
      <c r="AF64" s="258">
        <v>8.2472000000000004E-2</v>
      </c>
      <c r="AG64" s="258">
        <v>8.2769999999999996E-2</v>
      </c>
      <c r="AH64" s="258">
        <v>8.3155000000000007E-2</v>
      </c>
      <c r="AI64" s="258">
        <v>8.3571999999999994E-2</v>
      </c>
      <c r="AJ64" s="258">
        <v>8.3961999999999995E-2</v>
      </c>
      <c r="AK64" s="259">
        <v>-7.0000000000000001E-3</v>
      </c>
    </row>
    <row r="65" spans="1:37">
      <c r="A65" s="6" t="s">
        <v>153</v>
      </c>
      <c r="B65" s="313">
        <v>20.654685974121101</v>
      </c>
      <c r="C65" s="313">
        <v>20.6498107910156</v>
      </c>
      <c r="D65" s="313">
        <v>19.5445957183838</v>
      </c>
      <c r="E65" s="313">
        <v>19.245325088501001</v>
      </c>
      <c r="F65" s="314">
        <v>19.787778854370099</v>
      </c>
      <c r="G65" s="213">
        <v>18.92342</v>
      </c>
      <c r="H65" s="213">
        <v>18.486381999999999</v>
      </c>
      <c r="I65" s="213">
        <v>18.638722999999999</v>
      </c>
      <c r="J65" s="213">
        <v>18.700082999999999</v>
      </c>
      <c r="K65" s="213">
        <v>19.167159999999999</v>
      </c>
      <c r="L65" s="213">
        <v>19.368099000000001</v>
      </c>
      <c r="M65" s="213">
        <v>19.486657999999998</v>
      </c>
      <c r="N65" s="213">
        <v>19.537004</v>
      </c>
      <c r="O65" s="213">
        <v>19.544903000000001</v>
      </c>
      <c r="P65" s="213">
        <v>19.529665000000001</v>
      </c>
      <c r="Q65" s="213">
        <v>19.486916000000001</v>
      </c>
      <c r="R65" s="213">
        <v>19.44755</v>
      </c>
      <c r="S65" s="213">
        <v>19.398457000000001</v>
      </c>
      <c r="T65" s="213">
        <v>19.339873999999998</v>
      </c>
      <c r="U65" s="213">
        <v>19.272027999999999</v>
      </c>
      <c r="V65" s="213">
        <v>19.188255000000002</v>
      </c>
      <c r="W65" s="213">
        <v>19.129000000000001</v>
      </c>
      <c r="X65" s="213">
        <v>19.069431000000002</v>
      </c>
      <c r="Y65" s="213">
        <v>18.989547999999999</v>
      </c>
      <c r="Z65" s="213">
        <v>18.935445999999999</v>
      </c>
      <c r="AA65" s="213">
        <v>18.890217</v>
      </c>
      <c r="AB65" s="213">
        <v>18.847709999999999</v>
      </c>
      <c r="AC65" s="213">
        <v>18.804594000000002</v>
      </c>
      <c r="AD65" s="213">
        <v>18.777315000000002</v>
      </c>
      <c r="AE65" s="213">
        <v>18.760704</v>
      </c>
      <c r="AF65" s="213">
        <v>18.740176999999999</v>
      </c>
      <c r="AG65" s="213">
        <v>18.751633000000002</v>
      </c>
      <c r="AH65" s="213">
        <v>18.763190999999999</v>
      </c>
      <c r="AI65" s="213">
        <v>18.755531000000001</v>
      </c>
      <c r="AJ65" s="213">
        <v>18.731504000000001</v>
      </c>
      <c r="AK65" s="214">
        <v>0</v>
      </c>
    </row>
    <row r="66" spans="1:37">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row>
    <row r="67" spans="1:37">
      <c r="A67" s="6" t="s">
        <v>698</v>
      </c>
      <c r="B67" s="313">
        <v>4.2667388916015597E-2</v>
      </c>
      <c r="C67" s="313">
        <v>0.11821937561035201</v>
      </c>
      <c r="D67" s="313">
        <v>0.102603912353516</v>
      </c>
      <c r="E67" s="313">
        <v>0.17598533630371099</v>
      </c>
      <c r="F67" s="314">
        <v>-0.19984626770019501</v>
      </c>
      <c r="G67" s="258">
        <v>1.5162999999999999E-2</v>
      </c>
      <c r="H67" s="258">
        <v>0.105907</v>
      </c>
      <c r="I67" s="258">
        <v>0.34659600000000002</v>
      </c>
      <c r="J67" s="258">
        <v>0.115158</v>
      </c>
      <c r="K67" s="258">
        <v>-9.7140000000000004E-3</v>
      </c>
      <c r="L67" s="258">
        <v>-9.1500000000000001E-3</v>
      </c>
      <c r="M67" s="258">
        <v>-9.129E-3</v>
      </c>
      <c r="N67" s="258">
        <v>-9.3959999999999998E-3</v>
      </c>
      <c r="O67" s="258">
        <v>-9.4409999999999997E-3</v>
      </c>
      <c r="P67" s="258">
        <v>-9.2980000000000007E-3</v>
      </c>
      <c r="Q67" s="258">
        <v>-9.8270000000000007E-3</v>
      </c>
      <c r="R67" s="258">
        <v>-9.7409999999999997E-3</v>
      </c>
      <c r="S67" s="258">
        <v>-9.6889999999999997E-3</v>
      </c>
      <c r="T67" s="258">
        <v>-9.8569999999999994E-3</v>
      </c>
      <c r="U67" s="258">
        <v>-9.7099999999999999E-3</v>
      </c>
      <c r="V67" s="258">
        <v>-9.4129999999999995E-3</v>
      </c>
      <c r="W67" s="258">
        <v>-9.7260000000000003E-3</v>
      </c>
      <c r="X67" s="258">
        <v>-9.5440000000000004E-3</v>
      </c>
      <c r="Y67" s="258">
        <v>-8.9110000000000005E-3</v>
      </c>
      <c r="Z67" s="258">
        <v>-9.2739999999999993E-3</v>
      </c>
      <c r="AA67" s="258">
        <v>-9.4389999999999995E-3</v>
      </c>
      <c r="AB67" s="258">
        <v>-9.6170000000000005E-3</v>
      </c>
      <c r="AC67" s="258">
        <v>-9.1479999999999999E-3</v>
      </c>
      <c r="AD67" s="258">
        <v>-8.9969999999999998E-3</v>
      </c>
      <c r="AE67" s="258">
        <v>-8.8159999999999992E-3</v>
      </c>
      <c r="AF67" s="258">
        <v>-8.2660000000000008E-3</v>
      </c>
      <c r="AG67" s="258">
        <v>-8.2740000000000001E-3</v>
      </c>
      <c r="AH67" s="258">
        <v>-7.711E-3</v>
      </c>
      <c r="AI67" s="258">
        <v>-7.0080000000000003E-3</v>
      </c>
      <c r="AJ67" s="258">
        <v>-6.5420000000000001E-3</v>
      </c>
      <c r="AK67" s="258" t="s">
        <v>41</v>
      </c>
    </row>
    <row r="68" spans="1:37">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row>
    <row r="69" spans="1:37">
      <c r="A69" s="6" t="s">
        <v>699</v>
      </c>
      <c r="B69" s="327">
        <v>17.3390007019043</v>
      </c>
      <c r="C69" s="327">
        <v>17.4409999847412</v>
      </c>
      <c r="D69" s="327">
        <v>17.5890007019043</v>
      </c>
      <c r="E69" s="327">
        <v>17.5890007019043</v>
      </c>
      <c r="F69" s="328">
        <v>17.994850158691399</v>
      </c>
      <c r="G69" s="258">
        <v>17.704999999999998</v>
      </c>
      <c r="H69" s="258">
        <v>17.315000999999999</v>
      </c>
      <c r="I69" s="258">
        <v>17.818999999999999</v>
      </c>
      <c r="J69" s="258">
        <v>17.818999999999999</v>
      </c>
      <c r="K69" s="258">
        <v>18.114657999999999</v>
      </c>
      <c r="L69" s="258">
        <v>18.129657999999999</v>
      </c>
      <c r="M69" s="258">
        <v>18.129657999999999</v>
      </c>
      <c r="N69" s="258">
        <v>18.129657999999999</v>
      </c>
      <c r="O69" s="258">
        <v>18.129657999999999</v>
      </c>
      <c r="P69" s="258">
        <v>18.129657999999999</v>
      </c>
      <c r="Q69" s="258">
        <v>18.129657999999999</v>
      </c>
      <c r="R69" s="258">
        <v>18.129657999999999</v>
      </c>
      <c r="S69" s="258">
        <v>18.129657999999999</v>
      </c>
      <c r="T69" s="258">
        <v>18.129657999999999</v>
      </c>
      <c r="U69" s="258">
        <v>18.129657999999999</v>
      </c>
      <c r="V69" s="258">
        <v>18.129657999999999</v>
      </c>
      <c r="W69" s="258">
        <v>18.129657999999999</v>
      </c>
      <c r="X69" s="258">
        <v>18.129657999999999</v>
      </c>
      <c r="Y69" s="258">
        <v>18.129657999999999</v>
      </c>
      <c r="Z69" s="258">
        <v>18.129657999999999</v>
      </c>
      <c r="AA69" s="258">
        <v>18.129657999999999</v>
      </c>
      <c r="AB69" s="258">
        <v>18.129657999999999</v>
      </c>
      <c r="AC69" s="258">
        <v>18.129657999999999</v>
      </c>
      <c r="AD69" s="258">
        <v>18.129657999999999</v>
      </c>
      <c r="AE69" s="258">
        <v>18.129657999999999</v>
      </c>
      <c r="AF69" s="258">
        <v>18.129657999999999</v>
      </c>
      <c r="AG69" s="258">
        <v>18.129657999999999</v>
      </c>
      <c r="AH69" s="258">
        <v>18.129657999999999</v>
      </c>
      <c r="AI69" s="258">
        <v>18.129657999999999</v>
      </c>
      <c r="AJ69" s="258">
        <v>18.129657999999999</v>
      </c>
      <c r="AK69" s="259">
        <v>2E-3</v>
      </c>
    </row>
    <row r="70" spans="1:37">
      <c r="A70" s="6" t="s">
        <v>700</v>
      </c>
      <c r="B70" s="327">
        <v>90</v>
      </c>
      <c r="C70" s="327">
        <v>89</v>
      </c>
      <c r="D70" s="327">
        <v>85</v>
      </c>
      <c r="E70" s="327">
        <v>84</v>
      </c>
      <c r="F70" s="328">
        <v>78.951698303222699</v>
      </c>
      <c r="G70" s="258">
        <v>86</v>
      </c>
      <c r="H70" s="258">
        <v>89</v>
      </c>
      <c r="I70" s="258">
        <v>87</v>
      </c>
      <c r="J70" s="258">
        <v>87</v>
      </c>
      <c r="K70" s="258">
        <v>83.929221999999996</v>
      </c>
      <c r="L70" s="258">
        <v>84.444526999999994</v>
      </c>
      <c r="M70" s="258">
        <v>84.784676000000005</v>
      </c>
      <c r="N70" s="258">
        <v>84.856537000000003</v>
      </c>
      <c r="O70" s="258">
        <v>84.762580999999997</v>
      </c>
      <c r="P70" s="258">
        <v>84.610602999999998</v>
      </c>
      <c r="Q70" s="258">
        <v>84.422150000000002</v>
      </c>
      <c r="R70" s="258">
        <v>84.011527999999998</v>
      </c>
      <c r="S70" s="258">
        <v>83.650841</v>
      </c>
      <c r="T70" s="258">
        <v>83.337349000000003</v>
      </c>
      <c r="U70" s="258">
        <v>83.051040999999998</v>
      </c>
      <c r="V70" s="258">
        <v>82.852858999999995</v>
      </c>
      <c r="W70" s="258">
        <v>82.751807999999997</v>
      </c>
      <c r="X70" s="258">
        <v>82.579086000000004</v>
      </c>
      <c r="Y70" s="258">
        <v>82.446686</v>
      </c>
      <c r="Z70" s="258">
        <v>82.407532000000003</v>
      </c>
      <c r="AA70" s="258">
        <v>82.401390000000006</v>
      </c>
      <c r="AB70" s="258">
        <v>82.379172999999994</v>
      </c>
      <c r="AC70" s="258">
        <v>82.419548000000006</v>
      </c>
      <c r="AD70" s="258">
        <v>82.643226999999996</v>
      </c>
      <c r="AE70" s="258">
        <v>82.856575000000007</v>
      </c>
      <c r="AF70" s="258">
        <v>83.059607999999997</v>
      </c>
      <c r="AG70" s="258">
        <v>83.321395999999993</v>
      </c>
      <c r="AH70" s="258">
        <v>83.713463000000004</v>
      </c>
      <c r="AI70" s="258">
        <v>83.800713000000002</v>
      </c>
      <c r="AJ70" s="258">
        <v>83.967208999999997</v>
      </c>
      <c r="AK70" s="259">
        <v>-2E-3</v>
      </c>
    </row>
    <row r="71" spans="1:37">
      <c r="A71" s="6" t="s">
        <v>152</v>
      </c>
      <c r="B71" s="327">
        <v>60.165718078613303</v>
      </c>
      <c r="C71" s="327">
        <v>58.3234672546387</v>
      </c>
      <c r="D71" s="327">
        <v>56.096931457519503</v>
      </c>
      <c r="E71" s="327">
        <v>53.113201141357401</v>
      </c>
      <c r="F71" s="328">
        <v>50.657768249511697</v>
      </c>
      <c r="G71" s="258">
        <v>45.229275000000001</v>
      </c>
      <c r="H71" s="258">
        <v>40.315280999999999</v>
      </c>
      <c r="I71" s="258">
        <v>33.537674000000003</v>
      </c>
      <c r="J71" s="258">
        <v>28.732861</v>
      </c>
      <c r="K71" s="258">
        <v>27.439371000000001</v>
      </c>
      <c r="L71" s="258">
        <v>25.212821999999999</v>
      </c>
      <c r="M71" s="258">
        <v>25.371447</v>
      </c>
      <c r="N71" s="258">
        <v>25.397780999999998</v>
      </c>
      <c r="O71" s="258">
        <v>25.272306</v>
      </c>
      <c r="P71" s="258">
        <v>25.605276</v>
      </c>
      <c r="Q71" s="258">
        <v>26.339932999999998</v>
      </c>
      <c r="R71" s="258">
        <v>26.391024000000002</v>
      </c>
      <c r="S71" s="258">
        <v>26.330031999999999</v>
      </c>
      <c r="T71" s="258">
        <v>26.557704999999999</v>
      </c>
      <c r="U71" s="258">
        <v>26.574638</v>
      </c>
      <c r="V71" s="258">
        <v>27.074511000000001</v>
      </c>
      <c r="W71" s="258">
        <v>27.628391000000001</v>
      </c>
      <c r="X71" s="258">
        <v>28.164417</v>
      </c>
      <c r="Y71" s="258">
        <v>28.574669</v>
      </c>
      <c r="Z71" s="258">
        <v>28.600802999999999</v>
      </c>
      <c r="AA71" s="258">
        <v>29.035553</v>
      </c>
      <c r="AB71" s="258">
        <v>29.225125999999999</v>
      </c>
      <c r="AC71" s="258">
        <v>29.185209</v>
      </c>
      <c r="AD71" s="258">
        <v>29.338975999999999</v>
      </c>
      <c r="AE71" s="258">
        <v>29.911650000000002</v>
      </c>
      <c r="AF71" s="258">
        <v>30.578768</v>
      </c>
      <c r="AG71" s="258">
        <v>30.764973000000001</v>
      </c>
      <c r="AH71" s="258">
        <v>31.641760000000001</v>
      </c>
      <c r="AI71" s="258">
        <v>31.827915000000001</v>
      </c>
      <c r="AJ71" s="258">
        <v>32.156517000000001</v>
      </c>
      <c r="AK71" s="259">
        <v>-8.0000000000000002E-3</v>
      </c>
    </row>
    <row r="72" spans="1:37" s="233" customFormat="1">
      <c r="A72" s="232" t="s">
        <v>151</v>
      </c>
      <c r="B72" s="313">
        <v>15.605100631713899</v>
      </c>
      <c r="C72" s="313">
        <v>15.522489547729499</v>
      </c>
      <c r="D72" s="313">
        <v>14.950650215148899</v>
      </c>
      <c r="E72" s="313">
        <v>14.7747602462769</v>
      </c>
      <c r="F72" s="314">
        <v>14.2072401046753</v>
      </c>
      <c r="G72" s="279">
        <v>14.3342885971069</v>
      </c>
      <c r="H72" s="279">
        <v>14.411810874939</v>
      </c>
      <c r="I72" s="279">
        <v>14.427806854248001</v>
      </c>
      <c r="J72" s="279">
        <v>14.247616767883301</v>
      </c>
      <c r="K72" s="279">
        <v>14.1760416030884</v>
      </c>
      <c r="L72" s="279">
        <v>14.1692085266113</v>
      </c>
      <c r="M72" s="279">
        <v>14.217811584472701</v>
      </c>
      <c r="N72" s="279">
        <v>14.219580650329601</v>
      </c>
      <c r="O72" s="279">
        <v>14.2103576660156</v>
      </c>
      <c r="P72" s="279">
        <v>14.200039863586399</v>
      </c>
      <c r="Q72" s="279">
        <v>14.1303453445435</v>
      </c>
      <c r="R72" s="279">
        <v>14.095740318298301</v>
      </c>
      <c r="S72" s="279">
        <v>14.0861167907715</v>
      </c>
      <c r="T72" s="279">
        <v>14.1125946044922</v>
      </c>
      <c r="U72" s="279">
        <v>14.163477897644</v>
      </c>
      <c r="V72" s="279">
        <v>14.242433547973601</v>
      </c>
      <c r="W72" s="279">
        <v>14.2973442077637</v>
      </c>
      <c r="X72" s="279">
        <v>14.4011936187744</v>
      </c>
      <c r="Y72" s="279">
        <v>14.4425506591797</v>
      </c>
      <c r="Z72" s="279">
        <v>14.573932647705099</v>
      </c>
      <c r="AA72" s="279"/>
      <c r="AB72" s="279"/>
      <c r="AC72" s="279"/>
      <c r="AD72" s="279"/>
      <c r="AE72" s="279"/>
      <c r="AF72" s="279"/>
      <c r="AG72" s="279"/>
      <c r="AH72" s="279"/>
      <c r="AI72" s="279"/>
      <c r="AJ72" s="279"/>
      <c r="AK72" s="280">
        <v>-2.73776054382324E-3</v>
      </c>
    </row>
    <row r="73" spans="1:37">
      <c r="A73" s="6" t="s">
        <v>150</v>
      </c>
    </row>
    <row r="74" spans="1:37">
      <c r="A74" s="6" t="s">
        <v>591</v>
      </c>
      <c r="B74" s="313">
        <v>272.80218505859398</v>
      </c>
      <c r="C74" s="313">
        <v>280.12564086914102</v>
      </c>
      <c r="D74" s="313">
        <v>321.28717041015602</v>
      </c>
      <c r="E74" s="313">
        <v>195.51596069335901</v>
      </c>
      <c r="F74" s="314">
        <v>246.62348937988301</v>
      </c>
      <c r="G74" s="258">
        <v>494.73007200000001</v>
      </c>
      <c r="H74" s="258">
        <v>313.70205700000002</v>
      </c>
      <c r="I74" s="258">
        <v>257.058716</v>
      </c>
      <c r="J74" s="258">
        <v>219.518845</v>
      </c>
      <c r="K74" s="258">
        <v>213.13346899999999</v>
      </c>
      <c r="L74" s="258">
        <v>192.04028299999999</v>
      </c>
      <c r="M74" s="258">
        <v>190.19305399999999</v>
      </c>
      <c r="N74" s="258">
        <v>190.97583</v>
      </c>
      <c r="O74" s="258">
        <v>193.05748</v>
      </c>
      <c r="P74" s="258">
        <v>198.85289</v>
      </c>
      <c r="Q74" s="258">
        <v>207.326324</v>
      </c>
      <c r="R74" s="258">
        <v>214.50224299999999</v>
      </c>
      <c r="S74" s="258">
        <v>220.992096</v>
      </c>
      <c r="T74" s="258">
        <v>228.38960299999999</v>
      </c>
      <c r="U74" s="258">
        <v>234.269226</v>
      </c>
      <c r="V74" s="258">
        <v>243.98199500000001</v>
      </c>
      <c r="W74" s="258">
        <v>254.790054</v>
      </c>
      <c r="X74" s="258">
        <v>263.61831699999999</v>
      </c>
      <c r="Y74" s="258">
        <v>272.543701</v>
      </c>
      <c r="Z74" s="258">
        <v>278.59802200000001</v>
      </c>
      <c r="AA74" s="258">
        <v>289.04888899999997</v>
      </c>
      <c r="AB74" s="258">
        <v>297.603973</v>
      </c>
      <c r="AC74" s="258">
        <v>305.14331099999998</v>
      </c>
      <c r="AD74" s="258">
        <v>315.75491299999999</v>
      </c>
      <c r="AE74" s="258">
        <v>327.328461</v>
      </c>
      <c r="AF74" s="258">
        <v>338.67947400000003</v>
      </c>
      <c r="AG74" s="258">
        <v>347.810272</v>
      </c>
      <c r="AH74" s="258">
        <v>363.35360700000001</v>
      </c>
      <c r="AI74" s="258">
        <v>372.92919899999998</v>
      </c>
      <c r="AJ74" s="258">
        <v>385.39370700000001</v>
      </c>
      <c r="AK74" s="259">
        <v>7.0000000000000001E-3</v>
      </c>
    </row>
    <row r="78" spans="1:37" s="231" customFormat="1" ht="15" customHeight="1">
      <c r="A78" s="571" t="s">
        <v>592</v>
      </c>
      <c r="B78" s="571"/>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263"/>
      <c r="AH78" s="263"/>
      <c r="AI78" s="263"/>
      <c r="AJ78" s="263"/>
      <c r="AK78" s="263"/>
    </row>
    <row r="79" spans="1:37" customFormat="1" ht="15" customHeight="1">
      <c r="A79" s="570" t="s">
        <v>593</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262"/>
      <c r="AH79" s="262"/>
      <c r="AI79" s="262"/>
      <c r="AJ79" s="262"/>
      <c r="AK79" s="262"/>
    </row>
    <row r="80" spans="1:37" customFormat="1" ht="15" customHeight="1">
      <c r="A80" s="570" t="s">
        <v>594</v>
      </c>
      <c r="B80" s="570"/>
      <c r="C80" s="570"/>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262"/>
      <c r="AH80" s="262"/>
      <c r="AI80" s="262"/>
      <c r="AJ80" s="262"/>
      <c r="AK80" s="262"/>
    </row>
    <row r="81" spans="1:37" customFormat="1" ht="15" customHeight="1">
      <c r="A81" s="570" t="s">
        <v>595</v>
      </c>
      <c r="B81" s="570"/>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262"/>
      <c r="AH81" s="262"/>
      <c r="AI81" s="262"/>
      <c r="AJ81" s="262"/>
      <c r="AK81" s="262"/>
    </row>
    <row r="82" spans="1:37" customFormat="1" ht="15" customHeight="1">
      <c r="A82" s="570" t="s">
        <v>596</v>
      </c>
      <c r="B82" s="570"/>
      <c r="C82" s="570"/>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262"/>
      <c r="AH82" s="262"/>
      <c r="AI82" s="262"/>
      <c r="AJ82" s="262"/>
      <c r="AK82" s="262"/>
    </row>
    <row r="83" spans="1:37" customFormat="1" ht="15" customHeight="1">
      <c r="A83" s="570" t="s">
        <v>597</v>
      </c>
      <c r="B83" s="570"/>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262"/>
      <c r="AH83" s="262"/>
      <c r="AI83" s="262"/>
      <c r="AJ83" s="262"/>
      <c r="AK83" s="262"/>
    </row>
    <row r="84" spans="1:37" customFormat="1" ht="15" customHeight="1">
      <c r="A84" s="570" t="s">
        <v>598</v>
      </c>
      <c r="B84" s="570"/>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262"/>
      <c r="AH84" s="262"/>
      <c r="AI84" s="262"/>
      <c r="AJ84" s="262"/>
      <c r="AK84" s="262"/>
    </row>
    <row r="85" spans="1:37" customFormat="1" ht="15" customHeight="1">
      <c r="A85" s="570" t="s">
        <v>599</v>
      </c>
      <c r="B85" s="570"/>
      <c r="C85" s="570"/>
      <c r="D85" s="570"/>
      <c r="E85" s="570"/>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262"/>
      <c r="AH85" s="262"/>
      <c r="AI85" s="262"/>
      <c r="AJ85" s="262"/>
      <c r="AK85" s="262"/>
    </row>
    <row r="86" spans="1:37" customFormat="1" ht="15" customHeight="1">
      <c r="A86" s="570" t="s">
        <v>600</v>
      </c>
      <c r="B86" s="570"/>
      <c r="C86" s="570"/>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262"/>
      <c r="AH86" s="262"/>
      <c r="AI86" s="262"/>
      <c r="AJ86" s="262"/>
      <c r="AK86" s="262"/>
    </row>
    <row r="87" spans="1:37" customFormat="1" ht="15" customHeight="1">
      <c r="A87" s="570" t="s">
        <v>601</v>
      </c>
      <c r="B87" s="570"/>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262"/>
      <c r="AH87" s="262"/>
      <c r="AI87" s="262"/>
      <c r="AJ87" s="262"/>
      <c r="AK87" s="262"/>
    </row>
    <row r="88" spans="1:37" customFormat="1" ht="15" customHeight="1">
      <c r="A88" s="570" t="s">
        <v>602</v>
      </c>
      <c r="B88" s="570"/>
      <c r="C88" s="570"/>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570"/>
      <c r="AC88" s="570"/>
      <c r="AD88" s="570"/>
      <c r="AE88" s="570"/>
      <c r="AF88" s="570"/>
      <c r="AG88" s="262"/>
      <c r="AH88" s="262"/>
      <c r="AI88" s="262"/>
      <c r="AJ88" s="262"/>
      <c r="AK88" s="262"/>
    </row>
    <row r="89" spans="1:37" customFormat="1" ht="15" customHeight="1">
      <c r="A89" s="570" t="s">
        <v>603</v>
      </c>
      <c r="B89" s="570"/>
      <c r="C89" s="570"/>
      <c r="D89" s="570"/>
      <c r="E89" s="570"/>
      <c r="F89" s="570"/>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c r="AG89" s="262"/>
      <c r="AH89" s="262"/>
      <c r="AI89" s="262"/>
      <c r="AJ89" s="262"/>
      <c r="AK89" s="262"/>
    </row>
    <row r="90" spans="1:37" customFormat="1" ht="15" customHeight="1">
      <c r="A90" s="570" t="s">
        <v>604</v>
      </c>
      <c r="B90" s="570"/>
      <c r="C90" s="570"/>
      <c r="D90" s="570"/>
      <c r="E90" s="570"/>
      <c r="F90" s="570"/>
      <c r="G90" s="570"/>
      <c r="H90" s="570"/>
      <c r="I90" s="570"/>
      <c r="J90" s="570"/>
      <c r="K90" s="570"/>
      <c r="L90" s="570"/>
      <c r="M90" s="570"/>
      <c r="N90" s="570"/>
      <c r="O90" s="570"/>
      <c r="P90" s="570"/>
      <c r="Q90" s="570"/>
      <c r="R90" s="570"/>
      <c r="S90" s="570"/>
      <c r="T90" s="570"/>
      <c r="U90" s="570"/>
      <c r="V90" s="570"/>
      <c r="W90" s="570"/>
      <c r="X90" s="570"/>
      <c r="Y90" s="570"/>
      <c r="Z90" s="570"/>
      <c r="AA90" s="570"/>
      <c r="AB90" s="570"/>
      <c r="AC90" s="570"/>
      <c r="AD90" s="570"/>
      <c r="AE90" s="570"/>
      <c r="AF90" s="570"/>
      <c r="AG90" s="262"/>
      <c r="AH90" s="262"/>
      <c r="AI90" s="262"/>
      <c r="AJ90" s="262"/>
      <c r="AK90" s="262"/>
    </row>
    <row r="91" spans="1:37" customFormat="1" ht="15" customHeight="1">
      <c r="A91" s="570" t="s">
        <v>605</v>
      </c>
      <c r="B91" s="570"/>
      <c r="C91" s="570"/>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262"/>
      <c r="AH91" s="262"/>
      <c r="AI91" s="262"/>
      <c r="AJ91" s="262"/>
      <c r="AK91" s="262"/>
    </row>
    <row r="92" spans="1:37" customFormat="1" ht="15" customHeight="1">
      <c r="A92" s="570" t="s">
        <v>606</v>
      </c>
      <c r="B92" s="570"/>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262"/>
      <c r="AH92" s="262"/>
      <c r="AI92" s="262"/>
      <c r="AJ92" s="262"/>
      <c r="AK92" s="262"/>
    </row>
    <row r="93" spans="1:37" customFormat="1" ht="15" customHeight="1">
      <c r="A93" s="570" t="s">
        <v>607</v>
      </c>
      <c r="B93" s="570"/>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262"/>
      <c r="AH93" s="262"/>
      <c r="AI93" s="262"/>
      <c r="AJ93" s="262"/>
      <c r="AK93" s="262"/>
    </row>
    <row r="94" spans="1:37" customFormat="1" ht="15" customHeight="1">
      <c r="A94" s="570" t="s">
        <v>608</v>
      </c>
      <c r="B94" s="570"/>
      <c r="C94" s="570"/>
      <c r="D94" s="570"/>
      <c r="E94" s="570"/>
      <c r="F94" s="570"/>
      <c r="G94" s="570"/>
      <c r="H94" s="570"/>
      <c r="I94" s="570"/>
      <c r="J94" s="570"/>
      <c r="K94" s="570"/>
      <c r="L94" s="570"/>
      <c r="M94" s="570"/>
      <c r="N94" s="570"/>
      <c r="O94" s="570"/>
      <c r="P94" s="570"/>
      <c r="Q94" s="570"/>
      <c r="R94" s="570"/>
      <c r="S94" s="570"/>
      <c r="T94" s="570"/>
      <c r="U94" s="570"/>
      <c r="V94" s="570"/>
      <c r="W94" s="570"/>
      <c r="X94" s="570"/>
      <c r="Y94" s="570"/>
      <c r="Z94" s="570"/>
      <c r="AA94" s="570"/>
      <c r="AB94" s="570"/>
      <c r="AC94" s="570"/>
      <c r="AD94" s="570"/>
      <c r="AE94" s="570"/>
      <c r="AF94" s="570"/>
      <c r="AG94" s="262"/>
      <c r="AH94" s="262"/>
      <c r="AI94" s="262"/>
      <c r="AJ94" s="262"/>
      <c r="AK94" s="262"/>
    </row>
    <row r="95" spans="1:37" customFormat="1" ht="15" customHeight="1">
      <c r="A95" s="570" t="s">
        <v>609</v>
      </c>
      <c r="B95" s="570"/>
      <c r="C95" s="570"/>
      <c r="D95" s="570"/>
      <c r="E95" s="570"/>
      <c r="F95" s="570"/>
      <c r="G95" s="570"/>
      <c r="H95" s="570"/>
      <c r="I95" s="570"/>
      <c r="J95" s="570"/>
      <c r="K95" s="570"/>
      <c r="L95" s="570"/>
      <c r="M95" s="570"/>
      <c r="N95" s="570"/>
      <c r="O95" s="570"/>
      <c r="P95" s="570"/>
      <c r="Q95" s="570"/>
      <c r="R95" s="570"/>
      <c r="S95" s="570"/>
      <c r="T95" s="570"/>
      <c r="U95" s="570"/>
      <c r="V95" s="570"/>
      <c r="W95" s="570"/>
      <c r="X95" s="570"/>
      <c r="Y95" s="570"/>
      <c r="Z95" s="570"/>
      <c r="AA95" s="570"/>
      <c r="AB95" s="570"/>
      <c r="AC95" s="570"/>
      <c r="AD95" s="570"/>
      <c r="AE95" s="570"/>
      <c r="AF95" s="570"/>
      <c r="AG95" s="262"/>
      <c r="AH95" s="262"/>
      <c r="AI95" s="262"/>
      <c r="AJ95" s="262"/>
      <c r="AK95" s="262"/>
    </row>
    <row r="96" spans="1:37" customFormat="1" ht="15" customHeight="1">
      <c r="A96" s="570" t="s">
        <v>610</v>
      </c>
      <c r="B96" s="570"/>
      <c r="C96" s="570"/>
      <c r="D96" s="570"/>
      <c r="E96" s="570"/>
      <c r="F96" s="570"/>
      <c r="G96" s="570"/>
      <c r="H96" s="570"/>
      <c r="I96" s="570"/>
      <c r="J96" s="570"/>
      <c r="K96" s="570"/>
      <c r="L96" s="570"/>
      <c r="M96" s="570"/>
      <c r="N96" s="570"/>
      <c r="O96" s="570"/>
      <c r="P96" s="570"/>
      <c r="Q96" s="570"/>
      <c r="R96" s="570"/>
      <c r="S96" s="570"/>
      <c r="T96" s="570"/>
      <c r="U96" s="570"/>
      <c r="V96" s="570"/>
      <c r="W96" s="570"/>
      <c r="X96" s="570"/>
      <c r="Y96" s="570"/>
      <c r="Z96" s="570"/>
      <c r="AA96" s="570"/>
      <c r="AB96" s="570"/>
      <c r="AC96" s="570"/>
      <c r="AD96" s="570"/>
      <c r="AE96" s="570"/>
      <c r="AF96" s="570"/>
      <c r="AG96" s="262"/>
      <c r="AH96" s="262"/>
      <c r="AI96" s="262"/>
      <c r="AJ96" s="262"/>
      <c r="AK96" s="262"/>
    </row>
    <row r="97" spans="1:37" customFormat="1" ht="15" customHeight="1">
      <c r="A97" s="570" t="s">
        <v>611</v>
      </c>
      <c r="B97" s="570"/>
      <c r="C97" s="570"/>
      <c r="D97" s="570"/>
      <c r="E97" s="570"/>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262"/>
      <c r="AH97" s="262"/>
      <c r="AI97" s="262"/>
      <c r="AJ97" s="262"/>
      <c r="AK97" s="262"/>
    </row>
    <row r="98" spans="1:37" customFormat="1" ht="15" customHeight="1">
      <c r="A98" s="570" t="s">
        <v>612</v>
      </c>
      <c r="B98" s="570"/>
      <c r="C98" s="570"/>
      <c r="D98" s="570"/>
      <c r="E98" s="570"/>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262"/>
      <c r="AH98" s="262"/>
      <c r="AI98" s="262"/>
      <c r="AJ98" s="262"/>
      <c r="AK98" s="262"/>
    </row>
    <row r="99" spans="1:37" customFormat="1" ht="15" customHeight="1">
      <c r="A99" s="570" t="s">
        <v>613</v>
      </c>
      <c r="B99" s="570"/>
      <c r="C99" s="570"/>
      <c r="D99" s="570"/>
      <c r="E99" s="570"/>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262"/>
      <c r="AH99" s="262"/>
      <c r="AI99" s="262"/>
      <c r="AJ99" s="262"/>
      <c r="AK99" s="262"/>
    </row>
    <row r="100" spans="1:37" customFormat="1" ht="15" customHeight="1">
      <c r="A100" s="570" t="s">
        <v>614</v>
      </c>
      <c r="B100" s="570"/>
      <c r="C100" s="570"/>
      <c r="D100" s="570"/>
      <c r="E100" s="570"/>
      <c r="F100" s="570"/>
      <c r="G100" s="570"/>
      <c r="H100" s="570"/>
      <c r="I100" s="570"/>
      <c r="J100" s="570"/>
      <c r="K100" s="570"/>
      <c r="L100" s="570"/>
      <c r="M100" s="570"/>
      <c r="N100" s="570"/>
      <c r="O100" s="570"/>
      <c r="P100" s="570"/>
      <c r="Q100" s="570"/>
      <c r="R100" s="570"/>
      <c r="S100" s="570"/>
      <c r="T100" s="570"/>
      <c r="U100" s="570"/>
      <c r="V100" s="570"/>
      <c r="W100" s="570"/>
      <c r="X100" s="570"/>
      <c r="Y100" s="570"/>
      <c r="Z100" s="570"/>
      <c r="AA100" s="570"/>
      <c r="AB100" s="570"/>
      <c r="AC100" s="570"/>
      <c r="AD100" s="570"/>
      <c r="AE100" s="570"/>
      <c r="AF100" s="570"/>
      <c r="AG100" s="262"/>
      <c r="AH100" s="262"/>
      <c r="AI100" s="262"/>
      <c r="AJ100" s="262"/>
      <c r="AK100" s="262"/>
    </row>
    <row r="101" spans="1:37" customFormat="1" ht="15" customHeight="1">
      <c r="A101" s="570" t="s">
        <v>615</v>
      </c>
      <c r="B101" s="570"/>
      <c r="C101" s="570"/>
      <c r="D101" s="570"/>
      <c r="E101" s="570"/>
      <c r="F101" s="570"/>
      <c r="G101" s="570"/>
      <c r="H101" s="570"/>
      <c r="I101" s="570"/>
      <c r="J101" s="570"/>
      <c r="K101" s="570"/>
      <c r="L101" s="570"/>
      <c r="M101" s="570"/>
      <c r="N101" s="570"/>
      <c r="O101" s="570"/>
      <c r="P101" s="570"/>
      <c r="Q101" s="570"/>
      <c r="R101" s="570"/>
      <c r="S101" s="570"/>
      <c r="T101" s="570"/>
      <c r="U101" s="570"/>
      <c r="V101" s="570"/>
      <c r="W101" s="570"/>
      <c r="X101" s="570"/>
      <c r="Y101" s="570"/>
      <c r="Z101" s="570"/>
      <c r="AA101" s="570"/>
      <c r="AB101" s="570"/>
      <c r="AC101" s="570"/>
      <c r="AD101" s="570"/>
      <c r="AE101" s="570"/>
      <c r="AF101" s="570"/>
      <c r="AG101" s="262"/>
      <c r="AH101" s="262"/>
      <c r="AI101" s="262"/>
      <c r="AJ101" s="262"/>
      <c r="AK101" s="262"/>
    </row>
    <row r="102" spans="1:37" customFormat="1" ht="15" customHeight="1">
      <c r="A102" s="570" t="s">
        <v>616</v>
      </c>
      <c r="B102" s="570"/>
      <c r="C102" s="570"/>
      <c r="D102" s="570"/>
      <c r="E102" s="570"/>
      <c r="F102" s="570"/>
      <c r="G102" s="570"/>
      <c r="H102" s="570"/>
      <c r="I102" s="570"/>
      <c r="J102" s="570"/>
      <c r="K102" s="570"/>
      <c r="L102" s="570"/>
      <c r="M102" s="570"/>
      <c r="N102" s="570"/>
      <c r="O102" s="570"/>
      <c r="P102" s="570"/>
      <c r="Q102" s="570"/>
      <c r="R102" s="570"/>
      <c r="S102" s="570"/>
      <c r="T102" s="570"/>
      <c r="U102" s="570"/>
      <c r="V102" s="570"/>
      <c r="W102" s="570"/>
      <c r="X102" s="570"/>
      <c r="Y102" s="570"/>
      <c r="Z102" s="570"/>
      <c r="AA102" s="570"/>
      <c r="AB102" s="570"/>
      <c r="AC102" s="570"/>
      <c r="AD102" s="570"/>
      <c r="AE102" s="570"/>
      <c r="AF102" s="570"/>
      <c r="AG102" s="262"/>
      <c r="AH102" s="262"/>
      <c r="AI102" s="262"/>
      <c r="AJ102" s="262"/>
      <c r="AK102" s="262"/>
    </row>
    <row r="103" spans="1:37" customFormat="1" ht="15" customHeight="1">
      <c r="A103" s="570" t="s">
        <v>617</v>
      </c>
      <c r="B103" s="570"/>
      <c r="C103" s="570"/>
      <c r="D103" s="570"/>
      <c r="E103" s="570"/>
      <c r="F103" s="570"/>
      <c r="G103" s="570"/>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262"/>
      <c r="AH103" s="262"/>
      <c r="AI103" s="262"/>
      <c r="AJ103" s="262"/>
      <c r="AK103" s="262"/>
    </row>
    <row r="104" spans="1:37" customFormat="1" ht="15" customHeight="1">
      <c r="A104" s="570" t="s">
        <v>618</v>
      </c>
      <c r="B104" s="570"/>
      <c r="C104" s="570"/>
      <c r="D104" s="570"/>
      <c r="E104" s="570"/>
      <c r="F104" s="570"/>
      <c r="G104" s="570"/>
      <c r="H104" s="570"/>
      <c r="I104" s="570"/>
      <c r="J104" s="570"/>
      <c r="K104" s="570"/>
      <c r="L104" s="570"/>
      <c r="M104" s="570"/>
      <c r="N104" s="570"/>
      <c r="O104" s="570"/>
      <c r="P104" s="570"/>
      <c r="Q104" s="570"/>
      <c r="R104" s="570"/>
      <c r="S104" s="570"/>
      <c r="T104" s="570"/>
      <c r="U104" s="570"/>
      <c r="V104" s="570"/>
      <c r="W104" s="570"/>
      <c r="X104" s="570"/>
      <c r="Y104" s="570"/>
      <c r="Z104" s="570"/>
      <c r="AA104" s="570"/>
      <c r="AB104" s="570"/>
      <c r="AC104" s="570"/>
      <c r="AD104" s="570"/>
      <c r="AE104" s="570"/>
      <c r="AF104" s="570"/>
      <c r="AG104" s="262"/>
      <c r="AH104" s="262"/>
      <c r="AI104" s="262"/>
      <c r="AJ104" s="262"/>
      <c r="AK104" s="262"/>
    </row>
    <row r="105" spans="1:37" customFormat="1" ht="15" customHeight="1">
      <c r="A105" s="570" t="s">
        <v>619</v>
      </c>
      <c r="B105" s="570"/>
      <c r="C105" s="570"/>
      <c r="D105" s="570"/>
      <c r="E105" s="570"/>
      <c r="F105" s="570"/>
      <c r="G105" s="570"/>
      <c r="H105" s="570"/>
      <c r="I105" s="570"/>
      <c r="J105" s="570"/>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262"/>
      <c r="AH105" s="262"/>
      <c r="AI105" s="262"/>
      <c r="AJ105" s="262"/>
      <c r="AK105" s="262"/>
    </row>
    <row r="106" spans="1:37" customFormat="1" ht="15" customHeight="1">
      <c r="A106" s="570" t="s">
        <v>620</v>
      </c>
      <c r="B106" s="570"/>
      <c r="C106" s="570"/>
      <c r="D106" s="570"/>
      <c r="E106" s="570"/>
      <c r="F106" s="570"/>
      <c r="G106" s="570"/>
      <c r="H106" s="570"/>
      <c r="I106" s="570"/>
      <c r="J106" s="570"/>
      <c r="K106" s="570"/>
      <c r="L106" s="570"/>
      <c r="M106" s="570"/>
      <c r="N106" s="570"/>
      <c r="O106" s="570"/>
      <c r="P106" s="570"/>
      <c r="Q106" s="570"/>
      <c r="R106" s="570"/>
      <c r="S106" s="570"/>
      <c r="T106" s="570"/>
      <c r="U106" s="570"/>
      <c r="V106" s="570"/>
      <c r="W106" s="570"/>
      <c r="X106" s="570"/>
      <c r="Y106" s="570"/>
      <c r="Z106" s="570"/>
      <c r="AA106" s="570"/>
      <c r="AB106" s="570"/>
      <c r="AC106" s="570"/>
      <c r="AD106" s="570"/>
      <c r="AE106" s="570"/>
      <c r="AF106" s="570"/>
      <c r="AG106" s="262"/>
      <c r="AH106" s="262"/>
      <c r="AI106" s="262"/>
      <c r="AJ106" s="262"/>
      <c r="AK106" s="262"/>
    </row>
    <row r="107" spans="1:37" customFormat="1" ht="15" customHeight="1">
      <c r="A107" s="570" t="s">
        <v>621</v>
      </c>
      <c r="B107" s="570"/>
      <c r="C107" s="570"/>
      <c r="D107" s="570"/>
      <c r="E107" s="570"/>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262"/>
      <c r="AH107" s="262"/>
      <c r="AI107" s="262"/>
      <c r="AJ107" s="262"/>
      <c r="AK107" s="262"/>
    </row>
    <row r="108" spans="1:37" customFormat="1" ht="15" customHeight="1">
      <c r="A108" s="570" t="s">
        <v>622</v>
      </c>
      <c r="B108" s="570"/>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262"/>
      <c r="AH108" s="262"/>
      <c r="AI108" s="262"/>
      <c r="AJ108" s="262"/>
      <c r="AK108" s="262"/>
    </row>
    <row r="109" spans="1:37" customFormat="1" ht="15" customHeight="1">
      <c r="A109" s="570" t="s">
        <v>623</v>
      </c>
      <c r="B109" s="570"/>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262"/>
      <c r="AH109" s="262"/>
      <c r="AI109" s="262"/>
      <c r="AJ109" s="262"/>
      <c r="AK109" s="262"/>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712</v>
      </c>
    </row>
    <row r="9" spans="1:2">
      <c r="A9" t="s">
        <v>527</v>
      </c>
    </row>
    <row r="10" spans="1:2">
      <c r="B10" t="s">
        <v>521</v>
      </c>
    </row>
    <row r="12" spans="1:2">
      <c r="A12" t="s">
        <v>706</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29"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292" customWidth="1"/>
    <col min="6" max="6" width="17" style="292" customWidth="1"/>
    <col min="7" max="7" width="15.5" style="292" customWidth="1"/>
    <col min="8" max="8" width="16.1640625" style="364"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45" customWidth="1"/>
    <col min="35" max="35" width="20.6640625" bestFit="1" customWidth="1"/>
    <col min="36" max="36" width="15.33203125" bestFit="1" customWidth="1"/>
    <col min="37" max="37" width="13.33203125" bestFit="1" customWidth="1"/>
    <col min="38" max="38" width="13.83203125" customWidth="1"/>
  </cols>
  <sheetData>
    <row r="1" spans="1:38" hidden="1">
      <c r="A1" s="537"/>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row>
    <row r="2" spans="1:38" hidden="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row>
    <row r="3" spans="1:38" hidden="1">
      <c r="A3" s="537"/>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row>
    <row r="4" spans="1:38" hidden="1">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row>
    <row r="5" spans="1:38" hidden="1">
      <c r="A5" s="537"/>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row>
    <row r="6" spans="1:38" hidden="1">
      <c r="A6" s="537"/>
      <c r="B6" s="537"/>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row>
    <row r="7" spans="1:38" ht="23.25" hidden="1" customHeight="1">
      <c r="A7" s="537"/>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row>
    <row r="8" spans="1:38" s="159" customFormat="1" ht="15.75" hidden="1" customHeight="1">
      <c r="A8" s="537"/>
      <c r="B8" s="537"/>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row>
    <row r="9" spans="1:38" ht="21" hidden="1" customHeight="1">
      <c r="A9" s="537"/>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row>
    <row r="10" spans="1:38">
      <c r="A10" t="s">
        <v>188</v>
      </c>
      <c r="B10" s="33" t="s">
        <v>127</v>
      </c>
      <c r="Y10" s="20"/>
      <c r="Z10" s="20"/>
      <c r="AA10" s="20"/>
      <c r="AB10" s="20"/>
      <c r="AC10" s="20"/>
      <c r="AD10" s="20"/>
      <c r="AE10" s="20"/>
      <c r="AF10" s="20"/>
      <c r="AG10" s="20"/>
      <c r="AH10" s="244"/>
    </row>
    <row r="11" spans="1:38" s="1" customFormat="1">
      <c r="B11" s="13"/>
      <c r="C11" s="293">
        <v>2009</v>
      </c>
      <c r="D11" s="293">
        <v>2010</v>
      </c>
      <c r="E11" s="293">
        <v>2011</v>
      </c>
      <c r="F11" s="293">
        <v>2012</v>
      </c>
      <c r="G11" s="293">
        <v>2013</v>
      </c>
      <c r="H11" s="365">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293"/>
      <c r="D12" s="293"/>
      <c r="E12" s="293"/>
      <c r="F12" s="293"/>
      <c r="G12" s="293"/>
      <c r="H12" s="365"/>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44"/>
    </row>
    <row r="13" spans="1:38" s="20" customFormat="1">
      <c r="A13" s="20" t="s">
        <v>130</v>
      </c>
      <c r="B13" s="33"/>
      <c r="C13" s="295">
        <f>EIA_electricity_aeo2014!E58*1000</f>
        <v>13101</v>
      </c>
      <c r="D13" s="295">
        <f>EIA_electricity_aeo2014!F58*1000</f>
        <v>12024</v>
      </c>
      <c r="E13" s="295">
        <f>EIA_electricity_aeo2014!G58*1000</f>
        <v>13903.274253498137</v>
      </c>
      <c r="F13" s="295">
        <f>EIA_electricity_aeo2014!H58*1000</f>
        <v>13438.911276718041</v>
      </c>
      <c r="G13" s="295">
        <f>EIA_electricity_aeo2014!I58*1000</f>
        <v>11744.883278045552</v>
      </c>
      <c r="H13" s="251">
        <f>EIA_electricity_aeo2014!J58*1000</f>
        <v>11958.757155446177</v>
      </c>
      <c r="I13" s="83">
        <f>EIA_electricity_aeo2014!K58*1000</f>
        <v>11782.847604645973</v>
      </c>
      <c r="J13" s="83">
        <f>EIA_electricity_aeo2014!L58*1000</f>
        <v>12102.595081972249</v>
      </c>
      <c r="K13" s="83">
        <f>EIA_electricity_aeo2014!M58*1000</f>
        <v>12295.278833481403</v>
      </c>
      <c r="L13" s="83">
        <f>EIA_electricity_aeo2014!N58*1000</f>
        <v>12479.387003411352</v>
      </c>
      <c r="M13" s="83">
        <f>EIA_electricity_aeo2014!O58*1000</f>
        <v>12599.017382082711</v>
      </c>
      <c r="N13" s="177">
        <f>EIA_electricity_aeo2014!P58*1000</f>
        <v>12651.449208457914</v>
      </c>
      <c r="O13" s="83">
        <f>EIA_electricity_aeo2014!Q58*1000</f>
        <v>12886.720797832817</v>
      </c>
      <c r="P13" s="83">
        <f>EIA_electricity_aeo2014!R58*1000</f>
        <v>13050.290250110103</v>
      </c>
      <c r="Q13" s="83">
        <f>EIA_electricity_aeo2014!S58*1000</f>
        <v>13168.807322734081</v>
      </c>
      <c r="R13" s="83">
        <f>EIA_electricity_aeo2014!T58*1000</f>
        <v>13252.008754666987</v>
      </c>
      <c r="S13" s="83">
        <f>EIA_electricity_aeo2014!U58*1000</f>
        <v>13348.445879787785</v>
      </c>
      <c r="T13" s="83">
        <f>EIA_electricity_aeo2014!V58*1000</f>
        <v>13515.741022699947</v>
      </c>
      <c r="U13" s="83">
        <f>EIA_electricity_aeo2014!W58*1000</f>
        <v>13609.911459837846</v>
      </c>
      <c r="V13" s="83">
        <f>EIA_electricity_aeo2014!X58*1000</f>
        <v>13666.700440710694</v>
      </c>
      <c r="W13" s="83">
        <f>EIA_electricity_aeo2014!Y58*1000</f>
        <v>13827.189627008502</v>
      </c>
      <c r="X13" s="184">
        <f>EIA_electricity_aeo2014!Z58*1000</f>
        <v>13925.04073497243</v>
      </c>
      <c r="Y13" s="174">
        <f>EIA_electricity_aeo2014!AA58*1000</f>
        <v>13981.29871026814</v>
      </c>
      <c r="Z13" s="174">
        <f>EIA_electricity_aeo2014!AB58*1000</f>
        <v>14153.491109881094</v>
      </c>
      <c r="AA13" s="174">
        <f>EIA_electricity_aeo2014!AC58*1000</f>
        <v>14242.759878857158</v>
      </c>
      <c r="AB13" s="174">
        <f>EIA_electricity_aeo2014!AD58*1000</f>
        <v>14326.224007670422</v>
      </c>
      <c r="AC13" s="174">
        <f>EIA_electricity_aeo2014!AE58*1000</f>
        <v>14407.926182531322</v>
      </c>
      <c r="AD13" s="174">
        <f>EIA_electricity_aeo2014!AF58*1000</f>
        <v>14510.551230752915</v>
      </c>
      <c r="AE13" s="174">
        <f>EIA_electricity_aeo2014!AG58*1000</f>
        <v>14667.015528298496</v>
      </c>
      <c r="AF13" s="174">
        <f>EIA_electricity_aeo2014!AH58*1000</f>
        <v>14758.859400381898</v>
      </c>
      <c r="AG13" s="174">
        <f>EIA_electricity_aeo2014!AI58*1000</f>
        <v>14928.594470431211</v>
      </c>
      <c r="AH13" s="184">
        <f>EIA_electricity_aeo2014!AJ58*1000</f>
        <v>15043.633506789303</v>
      </c>
      <c r="AI13" s="115">
        <f>X13/C13-1</f>
        <v>6.2899071442823473E-2</v>
      </c>
      <c r="AJ13" s="165">
        <f>(1+AJ11)^21-1</f>
        <v>0.24007814276920247</v>
      </c>
      <c r="AK13" s="168">
        <f>(1+AK11)^21-1</f>
        <v>0.11389489977934208</v>
      </c>
      <c r="AL13" s="121"/>
    </row>
    <row r="14" spans="1:38" s="20" customFormat="1">
      <c r="A14" s="20" t="s">
        <v>131</v>
      </c>
      <c r="B14" s="33"/>
      <c r="C14" s="295">
        <f>EIA_electricity_aeo2014!E58 * 1000</f>
        <v>13101</v>
      </c>
      <c r="D14" s="295">
        <f>IF(Inputs!$C$7="BAU",'Output -Jobs vs Yr'!D13,C14+($X$14-$C$14)/($X$11-$C$11) )</f>
        <v>12024</v>
      </c>
      <c r="E14" s="295">
        <f>IF(Inputs!$C$7="BAU",'Output -Jobs vs Yr'!E13,D14+($X$14-$C$14)/($X$11-$C$11) )</f>
        <v>13903.274253498137</v>
      </c>
      <c r="F14" s="295">
        <f>IF(Inputs!$C$7="BAU",'Output -Jobs vs Yr'!F13,E14+($X$14-$C$14)/($X$11-$C$11) )</f>
        <v>13438.911276718041</v>
      </c>
      <c r="G14" s="295">
        <f>IF(Inputs!$C$7="BAU",'Output -Jobs vs Yr'!G13,F14+($X$14-$C$14)/($X$11-$C$11) )</f>
        <v>11744.883278045552</v>
      </c>
      <c r="H14" s="251">
        <f>EIA_electricity_aeo2014!J58*1000</f>
        <v>11958.757155446177</v>
      </c>
      <c r="I14" s="83">
        <f>IF(Inputs!$C$7="BAU",'Output -Jobs vs Yr'!I13,H14+($X$14-$C$14)/($X$11-$C$11) )</f>
        <v>11782.847604645973</v>
      </c>
      <c r="J14" s="83">
        <f>IF(Inputs!$C$7="BAU",'Output -Jobs vs Yr'!J13,I14+($X$14-$C$14)/($X$11-$C$11) )</f>
        <v>12102.595081972249</v>
      </c>
      <c r="K14" s="83">
        <f>IF(Inputs!$C$7="BAU",'Output -Jobs vs Yr'!K13,J14+($X$14-$C$14)/($X$11-$C$11) )</f>
        <v>12295.278833481403</v>
      </c>
      <c r="L14" s="83">
        <f>IF(Inputs!$C$7="BAU",'Output -Jobs vs Yr'!L13,K14+($X$14-$C$14)/($X$11-$C$11) )</f>
        <v>12479.387003411352</v>
      </c>
      <c r="M14" s="83">
        <f>IF(Inputs!$C$7="BAU",'Output -Jobs vs Yr'!M13,L14+($X$14-$C$14)/($X$11-$C$11) )</f>
        <v>12599.017382082711</v>
      </c>
      <c r="N14" s="177">
        <f>IF(Inputs!$C$7="BAU",'Output -Jobs vs Yr'!N13,M14+($X$14-$C$14)/($X$11-$C$11) )</f>
        <v>12651.449208457914</v>
      </c>
      <c r="O14" s="83">
        <f>IF(Inputs!$C$7="BAU",'Output -Jobs vs Yr'!O13,N14+($X$14-$C$14)/($X$11-$C$11) )</f>
        <v>12886.720797832817</v>
      </c>
      <c r="P14" s="83">
        <f>IF(Inputs!$C$7="BAU",'Output -Jobs vs Yr'!P13,O14+($X$14-$C$14)/($X$11-$C$11) )</f>
        <v>13050.290250110103</v>
      </c>
      <c r="Q14" s="83">
        <f>IF(Inputs!$C$7="BAU",'Output -Jobs vs Yr'!Q13,P14+($X$14-$C$14)/($X$11-$C$11) )</f>
        <v>13168.807322734081</v>
      </c>
      <c r="R14" s="83">
        <f>IF(Inputs!$C$7="BAU",'Output -Jobs vs Yr'!R13,Q14+($X$14-$C$14)/($X$11-$C$11) )</f>
        <v>13252.008754666987</v>
      </c>
      <c r="S14" s="83">
        <f>IF(Inputs!$C$7="BAU",'Output -Jobs vs Yr'!S13,R14+($X$14-$C$14)/($X$11-$C$11) )</f>
        <v>13348.445879787785</v>
      </c>
      <c r="T14" s="83">
        <f>IF(Inputs!$C$7="BAU",'Output -Jobs vs Yr'!T13,S14+($X$14-$C$14)/($X$11-$C$11) )</f>
        <v>13515.741022699947</v>
      </c>
      <c r="U14" s="83">
        <f>IF(Inputs!$C$7="BAU",'Output -Jobs vs Yr'!U13,T14+($X$14-$C$14)/($X$11-$C$11) )</f>
        <v>13609.911459837846</v>
      </c>
      <c r="V14" s="83">
        <f>IF(Inputs!$C$7="BAU",'Output -Jobs vs Yr'!V13,U14+($X$14-$C$14)/($X$11-$C$11) )</f>
        <v>13666.700440710694</v>
      </c>
      <c r="W14" s="83">
        <f>IF(Inputs!$C$7="BAU",'Output -Jobs vs Yr'!W13,V14+($X$14-$C$14)/($X$11-$C$11) )</f>
        <v>13827.189627008502</v>
      </c>
      <c r="X14" s="184">
        <f>IF(Inputs!$C$7="BAU",'Output -Jobs vs Yr'!X13,C14*(1+Inputs!C7) )</f>
        <v>13925.04073497243</v>
      </c>
      <c r="Y14" s="174">
        <f>IF(Inputs!$C$7="BAU",'Output -Jobs vs Yr'!Y13,D14*(1+Inputs!D7) )</f>
        <v>13981.29871026814</v>
      </c>
      <c r="Z14" s="174">
        <f>IF(Inputs!$C$7="BAU",'Output -Jobs vs Yr'!Z13,E14*(1+Inputs!E7) )</f>
        <v>14153.491109881094</v>
      </c>
      <c r="AA14" s="174">
        <f>IF(Inputs!$C$7="BAU",'Output -Jobs vs Yr'!AA13,F14*(1+Inputs!F7) )</f>
        <v>14242.759878857158</v>
      </c>
      <c r="AB14" s="174">
        <f>IF(Inputs!$C$7="BAU",'Output -Jobs vs Yr'!AB13,G14*(1+Inputs!G7) )</f>
        <v>14326.224007670422</v>
      </c>
      <c r="AC14" s="174">
        <f>IF(Inputs!$C$7="BAU",'Output -Jobs vs Yr'!AC13,H14*(1+Inputs!H7) )</f>
        <v>14407.926182531322</v>
      </c>
      <c r="AD14" s="174">
        <f>IF(Inputs!$C$7="BAU",'Output -Jobs vs Yr'!AD13,I14*(1+Inputs!L7) )</f>
        <v>14510.551230752915</v>
      </c>
      <c r="AE14" s="174">
        <f>IF(Inputs!$C$7="BAU",'Output -Jobs vs Yr'!AE13,J14*(1+Inputs!M7) )</f>
        <v>14667.015528298496</v>
      </c>
      <c r="AF14" s="174">
        <f>IF(Inputs!$C$7="BAU",'Output -Jobs vs Yr'!AF13,K14*(1+Inputs!N7) )</f>
        <v>14758.859400381898</v>
      </c>
      <c r="AG14" s="174">
        <f>IF(Inputs!$C$7="BAU",'Output -Jobs vs Yr'!AG13,L14*(1+Inputs!O7) )</f>
        <v>14928.594470431211</v>
      </c>
      <c r="AH14" s="184">
        <f>IF(Inputs!$C$7="BAU",'Output -Jobs vs Yr'!AH13,M14*(1+Inputs!P7) )</f>
        <v>15043.633506789303</v>
      </c>
      <c r="AI14" s="99"/>
      <c r="AJ14" s="165" t="s">
        <v>0</v>
      </c>
      <c r="AK14" s="30" t="s">
        <v>0</v>
      </c>
      <c r="AL14" s="121"/>
    </row>
    <row r="15" spans="1:38" s="20" customFormat="1">
      <c r="A15" s="20" t="s">
        <v>208</v>
      </c>
      <c r="B15" s="33"/>
      <c r="C15" s="295">
        <f>C14-C13</f>
        <v>0</v>
      </c>
      <c r="D15" s="295">
        <f>D13-D14</f>
        <v>0</v>
      </c>
      <c r="E15" s="295">
        <f t="shared" ref="E15:AH15" si="0">E13-E14</f>
        <v>0</v>
      </c>
      <c r="F15" s="295">
        <f t="shared" si="0"/>
        <v>0</v>
      </c>
      <c r="G15" s="295">
        <f t="shared" si="0"/>
        <v>0</v>
      </c>
      <c r="H15" s="251">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44" customFormat="1">
      <c r="A16" s="344" t="s">
        <v>123</v>
      </c>
      <c r="B16" s="345"/>
      <c r="C16" s="346">
        <f t="shared" ref="C16:M16" si="1">C95</f>
        <v>6.6178917639874824E-2</v>
      </c>
      <c r="D16" s="346">
        <f t="shared" si="1"/>
        <v>8.4661846388169981E-2</v>
      </c>
      <c r="E16" s="346">
        <f t="shared" si="1"/>
        <v>0.10085839881838189</v>
      </c>
      <c r="F16" s="346">
        <f t="shared" si="1"/>
        <v>0.11661631918395962</v>
      </c>
      <c r="G16" s="346">
        <f t="shared" si="1"/>
        <v>0.14397642668459898</v>
      </c>
      <c r="H16" s="346">
        <f t="shared" si="1"/>
        <v>0.11888542936480204</v>
      </c>
      <c r="I16" s="346">
        <f t="shared" si="1"/>
        <v>0.13137748445954875</v>
      </c>
      <c r="J16" s="346">
        <f t="shared" si="1"/>
        <v>0.14085810867980494</v>
      </c>
      <c r="K16" s="346">
        <f t="shared" si="1"/>
        <v>0.15392015115903257</v>
      </c>
      <c r="L16" s="346">
        <f t="shared" si="1"/>
        <v>0.16779891522654938</v>
      </c>
      <c r="M16" s="346">
        <f t="shared" si="1"/>
        <v>0.18325410897692088</v>
      </c>
      <c r="N16" s="346">
        <f>Inputs!C11</f>
        <v>0.2</v>
      </c>
      <c r="O16" s="346">
        <f t="shared" ref="O16:W16" si="2">O95</f>
        <v>0.2034356576491626</v>
      </c>
      <c r="P16" s="346">
        <f t="shared" si="2"/>
        <v>0.20635898425390953</v>
      </c>
      <c r="Q16" s="346">
        <f t="shared" si="2"/>
        <v>0.2093233703544648</v>
      </c>
      <c r="R16" s="346">
        <f t="shared" si="2"/>
        <v>0.21249353925999329</v>
      </c>
      <c r="S16" s="346">
        <f t="shared" si="2"/>
        <v>0.21652004738516747</v>
      </c>
      <c r="T16" s="346">
        <f t="shared" si="2"/>
        <v>0.22078193678841679</v>
      </c>
      <c r="U16" s="346">
        <f t="shared" si="2"/>
        <v>0.22500139412737152</v>
      </c>
      <c r="V16" s="346">
        <f t="shared" si="2"/>
        <v>0.22865060572570339</v>
      </c>
      <c r="W16" s="346">
        <f t="shared" si="2"/>
        <v>0.23159559113005462</v>
      </c>
      <c r="X16" s="347">
        <f>Inputs!C12</f>
        <v>0.23</v>
      </c>
      <c r="Y16" s="348">
        <f>Y95</f>
        <v>0.24125158418280235</v>
      </c>
      <c r="Z16" s="348">
        <f t="shared" ref="Z16:AG16" si="3">Z95</f>
        <v>0.24826115690161027</v>
      </c>
      <c r="AA16" s="348">
        <f t="shared" si="3"/>
        <v>0.25506760950352036</v>
      </c>
      <c r="AB16" s="348">
        <f t="shared" si="3"/>
        <v>0.26194887711761172</v>
      </c>
      <c r="AC16" s="348">
        <f t="shared" si="3"/>
        <v>0.26711870217511358</v>
      </c>
      <c r="AD16" s="348">
        <f t="shared" si="3"/>
        <v>0.272232843364967</v>
      </c>
      <c r="AE16" s="348">
        <f t="shared" si="3"/>
        <v>0.27718469926003919</v>
      </c>
      <c r="AF16" s="348">
        <f t="shared" si="3"/>
        <v>0.28261453580854046</v>
      </c>
      <c r="AG16" s="348">
        <f t="shared" si="3"/>
        <v>0.28804981536870133</v>
      </c>
      <c r="AH16" s="347">
        <f>Inputs!C13</f>
        <v>0.28000000000000003</v>
      </c>
      <c r="AI16" s="349" t="s">
        <v>0</v>
      </c>
      <c r="AJ16" s="350"/>
      <c r="AK16" s="351"/>
      <c r="AL16" s="352"/>
    </row>
    <row r="17" spans="1:37" s="246" customFormat="1">
      <c r="A17" s="246" t="s">
        <v>115</v>
      </c>
      <c r="B17" s="247"/>
      <c r="C17" s="302"/>
      <c r="D17" s="297">
        <f>D16/C16-1</f>
        <v>0.27928726258222492</v>
      </c>
      <c r="E17" s="297">
        <f t="shared" ref="E17:M17" si="4">E16/D16-1</f>
        <v>0.19130875501996014</v>
      </c>
      <c r="F17" s="297">
        <f t="shared" si="4"/>
        <v>0.15623805801194002</v>
      </c>
      <c r="G17" s="297">
        <f t="shared" si="4"/>
        <v>0.23461645584508117</v>
      </c>
      <c r="H17" s="249"/>
      <c r="I17" s="249">
        <f t="shared" si="4"/>
        <v>0.10507641820777391</v>
      </c>
      <c r="J17" s="249">
        <f t="shared" si="4"/>
        <v>7.2163234508994423E-2</v>
      </c>
      <c r="K17" s="249">
        <f t="shared" si="4"/>
        <v>9.2731917258096486E-2</v>
      </c>
      <c r="L17" s="249">
        <f t="shared" si="4"/>
        <v>9.0168596918652089E-2</v>
      </c>
      <c r="M17" s="249">
        <f t="shared" si="4"/>
        <v>9.2105444957764293E-2</v>
      </c>
      <c r="N17" s="249">
        <f>N16/M16-1</f>
        <v>9.1380712370209949E-2</v>
      </c>
      <c r="O17" s="249">
        <f>O16/N16-1</f>
        <v>1.7178288245812912E-2</v>
      </c>
      <c r="P17" s="249">
        <f t="shared" ref="P17:X17" si="5">P16/O16-1</f>
        <v>1.4369784719787893E-2</v>
      </c>
      <c r="Q17" s="249">
        <f t="shared" si="5"/>
        <v>1.4365190404832751E-2</v>
      </c>
      <c r="R17" s="249">
        <f t="shared" si="5"/>
        <v>1.5144839776658259E-2</v>
      </c>
      <c r="S17" s="249">
        <f t="shared" si="5"/>
        <v>1.8948849641247767E-2</v>
      </c>
      <c r="T17" s="249">
        <f t="shared" si="5"/>
        <v>1.9683578748104669E-2</v>
      </c>
      <c r="U17" s="249">
        <f t="shared" si="5"/>
        <v>1.9111424604443039E-2</v>
      </c>
      <c r="V17" s="249">
        <f t="shared" si="5"/>
        <v>1.6218617722279838E-2</v>
      </c>
      <c r="W17" s="249">
        <f t="shared" si="5"/>
        <v>1.287984956350452E-2</v>
      </c>
      <c r="X17" s="248">
        <f t="shared" si="5"/>
        <v>-6.8895574491251166E-3</v>
      </c>
      <c r="Y17" s="253">
        <v>2.9000000000000001E-2</v>
      </c>
      <c r="Z17" s="253">
        <v>2.9000000000000001E-2</v>
      </c>
      <c r="AA17" s="253">
        <v>2.9000000000000001E-2</v>
      </c>
      <c r="AB17" s="253">
        <v>2.9000000000000001E-2</v>
      </c>
      <c r="AC17" s="253">
        <v>2.9000000000000001E-2</v>
      </c>
      <c r="AD17" s="253">
        <v>2.9000000000000001E-2</v>
      </c>
      <c r="AE17" s="253">
        <v>2.9000000000000001E-2</v>
      </c>
      <c r="AF17" s="253">
        <v>2.9000000000000001E-2</v>
      </c>
      <c r="AG17" s="253">
        <v>2.9000000000000001E-2</v>
      </c>
      <c r="AH17" s="337">
        <v>2.9000000000000001E-2</v>
      </c>
    </row>
    <row r="18" spans="1:37" s="20" customFormat="1">
      <c r="A18" s="20" t="s">
        <v>135</v>
      </c>
      <c r="B18" s="33"/>
      <c r="C18" s="297">
        <f>C32/C14</f>
        <v>0</v>
      </c>
      <c r="D18" s="297">
        <f t="shared" ref="D18:G18" si="6">($N$18-$C$18)/($N$11-$C$11)+C18</f>
        <v>0</v>
      </c>
      <c r="E18" s="297">
        <f t="shared" si="6"/>
        <v>0</v>
      </c>
      <c r="F18" s="297">
        <f t="shared" si="6"/>
        <v>0</v>
      </c>
      <c r="G18" s="297">
        <f t="shared" si="6"/>
        <v>0</v>
      </c>
      <c r="H18" s="249">
        <f>H32/H14</f>
        <v>0</v>
      </c>
      <c r="I18" s="172">
        <f>($N$18-$H$18)/($N$11-$H$11)+H18</f>
        <v>0</v>
      </c>
      <c r="J18" s="172">
        <f t="shared" ref="J18:M18" si="7">($N$18-$H$18)/($N$11-$H$11)+I18</f>
        <v>0</v>
      </c>
      <c r="K18" s="172">
        <f t="shared" si="7"/>
        <v>0</v>
      </c>
      <c r="L18" s="172">
        <f t="shared" si="7"/>
        <v>0</v>
      </c>
      <c r="M18" s="172">
        <f t="shared" si="7"/>
        <v>0</v>
      </c>
      <c r="N18" s="180">
        <f>Inputs!C36</f>
        <v>0</v>
      </c>
      <c r="O18" s="91">
        <f t="shared" ref="O18:W18" si="8">($X$18-$N$18)/($X$11-$N$11)+N18</f>
        <v>0</v>
      </c>
      <c r="P18" s="91">
        <f t="shared" si="8"/>
        <v>0</v>
      </c>
      <c r="Q18" s="91">
        <f t="shared" si="8"/>
        <v>0</v>
      </c>
      <c r="R18" s="91">
        <f t="shared" si="8"/>
        <v>0</v>
      </c>
      <c r="S18" s="22">
        <f t="shared" si="8"/>
        <v>0</v>
      </c>
      <c r="T18" s="91">
        <f t="shared" si="8"/>
        <v>0</v>
      </c>
      <c r="U18" s="91">
        <f t="shared" si="8"/>
        <v>0</v>
      </c>
      <c r="V18" s="91">
        <f t="shared" si="8"/>
        <v>0</v>
      </c>
      <c r="W18" s="91">
        <f t="shared" si="8"/>
        <v>0</v>
      </c>
      <c r="X18" s="185">
        <f>Inputs!F36</f>
        <v>0</v>
      </c>
      <c r="Y18" s="172">
        <f>($AH$18-$X$18)/($AH$11-$X$11)+X18</f>
        <v>0</v>
      </c>
      <c r="Z18" s="172">
        <f t="shared" ref="Z18:AG18" si="9">($AH$18-$X$18)/($AH$11-$X$11)+Y18</f>
        <v>0</v>
      </c>
      <c r="AA18" s="172">
        <f t="shared" si="9"/>
        <v>0</v>
      </c>
      <c r="AB18" s="172">
        <f t="shared" si="9"/>
        <v>0</v>
      </c>
      <c r="AC18" s="172">
        <f t="shared" si="9"/>
        <v>0</v>
      </c>
      <c r="AD18" s="172">
        <f t="shared" si="9"/>
        <v>0</v>
      </c>
      <c r="AE18" s="172">
        <f t="shared" si="9"/>
        <v>0</v>
      </c>
      <c r="AF18" s="172">
        <f t="shared" si="9"/>
        <v>0</v>
      </c>
      <c r="AG18" s="172">
        <f t="shared" si="9"/>
        <v>0</v>
      </c>
      <c r="AH18" s="185">
        <f>Inputs!H36</f>
        <v>0</v>
      </c>
      <c r="AK18"/>
    </row>
    <row r="19" spans="1:37" s="246" customFormat="1">
      <c r="A19" s="246" t="s">
        <v>114</v>
      </c>
      <c r="B19" s="250"/>
      <c r="C19" s="295">
        <f t="shared" ref="C19:AH19" si="10">C16*C14</f>
        <v>867.0100000000001</v>
      </c>
      <c r="D19" s="295">
        <f t="shared" si="10"/>
        <v>1017.9740409713559</v>
      </c>
      <c r="E19" s="295">
        <f t="shared" si="10"/>
        <v>1402.2619795406558</v>
      </c>
      <c r="F19" s="295">
        <f t="shared" si="10"/>
        <v>1567.1963669306654</v>
      </c>
      <c r="G19" s="295">
        <f t="shared" si="10"/>
        <v>1690.9863262006979</v>
      </c>
      <c r="H19" s="251">
        <f t="shared" si="10"/>
        <v>1421.7219790946174</v>
      </c>
      <c r="I19" s="251">
        <f t="shared" si="10"/>
        <v>1548.0008780686076</v>
      </c>
      <c r="J19" s="251">
        <f t="shared" si="10"/>
        <v>1704.7486533641199</v>
      </c>
      <c r="K19" s="251">
        <f t="shared" si="10"/>
        <v>1892.4911765919112</v>
      </c>
      <c r="L19" s="251">
        <f t="shared" si="10"/>
        <v>2094.0276018647237</v>
      </c>
      <c r="M19" s="251">
        <f t="shared" si="10"/>
        <v>2308.8217043383056</v>
      </c>
      <c r="N19" s="252">
        <f t="shared" si="10"/>
        <v>2530.2898416915832</v>
      </c>
      <c r="O19" s="251">
        <f t="shared" si="10"/>
        <v>2621.6185204482604</v>
      </c>
      <c r="P19" s="251">
        <f t="shared" si="10"/>
        <v>2693.0446402314201</v>
      </c>
      <c r="Q19" s="251">
        <f t="shared" si="10"/>
        <v>2756.5391323432541</v>
      </c>
      <c r="R19" s="251">
        <f t="shared" si="10"/>
        <v>2815.9662425836041</v>
      </c>
      <c r="S19" s="251">
        <f t="shared" si="10"/>
        <v>2890.2061344099948</v>
      </c>
      <c r="T19" s="251">
        <f t="shared" si="10"/>
        <v>2984.0314801223512</v>
      </c>
      <c r="U19" s="251">
        <f t="shared" si="10"/>
        <v>3062.2490524136056</v>
      </c>
      <c r="V19" s="251">
        <f t="shared" si="10"/>
        <v>3124.8993340402376</v>
      </c>
      <c r="W19" s="251">
        <f t="shared" si="10"/>
        <v>3202.3161553343934</v>
      </c>
      <c r="X19" s="252">
        <f>Inputs!C12*'Output -Jobs vs Yr'!X14</f>
        <v>3202.7593690436593</v>
      </c>
      <c r="Y19" s="251">
        <f t="shared" si="10"/>
        <v>3373.0104627851601</v>
      </c>
      <c r="Z19" s="251">
        <f t="shared" si="10"/>
        <v>3513.762077135736</v>
      </c>
      <c r="AA19" s="251">
        <f t="shared" si="10"/>
        <v>3632.8667150327447</v>
      </c>
      <c r="AB19" s="251">
        <f t="shared" si="10"/>
        <v>3752.7382921446383</v>
      </c>
      <c r="AC19" s="251">
        <f t="shared" si="10"/>
        <v>3848.6265429126056</v>
      </c>
      <c r="AD19" s="251">
        <f t="shared" si="10"/>
        <v>3950.2486203408876</v>
      </c>
      <c r="AE19" s="251">
        <f t="shared" si="10"/>
        <v>4065.4722882537435</v>
      </c>
      <c r="AF19" s="251">
        <f t="shared" si="10"/>
        <v>4171.0681985024439</v>
      </c>
      <c r="AG19" s="251">
        <f t="shared" si="10"/>
        <v>4300.1788809219261</v>
      </c>
      <c r="AH19" s="252">
        <f t="shared" si="10"/>
        <v>4212.217381901005</v>
      </c>
    </row>
    <row r="20" spans="1:37" s="20" customFormat="1">
      <c r="A20" s="20" t="s">
        <v>211</v>
      </c>
      <c r="B20" s="33"/>
      <c r="C20" s="295">
        <f>'Output - Jobs vs Yr (BAU)'!C18</f>
        <v>867.01</v>
      </c>
      <c r="D20" s="295">
        <f>'Output - Jobs vs Yr (BAU)'!D18</f>
        <v>991.01</v>
      </c>
      <c r="E20" s="295">
        <f>'Output - Jobs vs Yr (BAU)'!E18</f>
        <v>1172.727910463708</v>
      </c>
      <c r="F20" s="295">
        <f>'Output - Jobs vs Yr (BAU)'!F18</f>
        <v>1250.4013984379608</v>
      </c>
      <c r="G20" s="295">
        <f>'Output - Jobs vs Yr (BAU)'!G18</f>
        <v>1381.5098064973308</v>
      </c>
      <c r="H20" s="251">
        <f>'Output - Jobs vs Yr (BAU)'!H18</f>
        <v>1420.7219790946174</v>
      </c>
      <c r="I20" s="83">
        <f>'Output - Jobs vs Yr (BAU)'!I18</f>
        <v>1477.2890740817402</v>
      </c>
      <c r="J20" s="83">
        <f>'Output - Jobs vs Yr (BAU)'!J18</f>
        <v>1571.2428154932968</v>
      </c>
      <c r="K20" s="83">
        <f>'Output - Jobs vs Yr (BAU)'!K18</f>
        <v>1648.538103543664</v>
      </c>
      <c r="L20" s="83">
        <f>'Output - Jobs vs Yr (BAU)'!L18</f>
        <v>1793.9844855665658</v>
      </c>
      <c r="M20" s="83">
        <f>'Output - Jobs vs Yr (BAU)'!M18</f>
        <v>1880.0327587040349</v>
      </c>
      <c r="N20" s="177">
        <f>'Output - Jobs vs Yr (BAU)'!N18</f>
        <v>1894.2782965905428</v>
      </c>
      <c r="O20" s="83">
        <f>'Output - Jobs vs Yr (BAU)'!O18</f>
        <v>1942.8683687480145</v>
      </c>
      <c r="P20" s="83">
        <f>'Output - Jobs vs Yr (BAU)'!P18</f>
        <v>1978.6857143570069</v>
      </c>
      <c r="Q20" s="83">
        <f>'Output - Jobs vs Yr (BAU)'!Q18</f>
        <v>2011.9912975912546</v>
      </c>
      <c r="R20" s="83">
        <f>'Output - Jobs vs Yr (BAU)'!R18</f>
        <v>2061.5984189364622</v>
      </c>
      <c r="S20" s="83">
        <f>'Output - Jobs vs Yr (BAU)'!S18</f>
        <v>2090.75023471036</v>
      </c>
      <c r="T20" s="83">
        <f>'Output - Jobs vs Yr (BAU)'!T18</f>
        <v>2166.0325485959247</v>
      </c>
      <c r="U20" s="83">
        <f>'Output - Jobs vs Yr (BAU)'!U18</f>
        <v>2206.5822622695805</v>
      </c>
      <c r="V20" s="83">
        <f>'Output - Jobs vs Yr (BAU)'!V18</f>
        <v>2225.8319762610372</v>
      </c>
      <c r="W20" s="83">
        <f>'Output - Jobs vs Yr (BAU)'!W18</f>
        <v>2245.3513314466909</v>
      </c>
      <c r="X20" s="184">
        <f>'Output - Jobs vs Yr (BAU)'!X18</f>
        <v>2270.7812041255256</v>
      </c>
      <c r="Y20" s="174">
        <f>'Output - Jobs vs Yr (BAU)'!Y18</f>
        <v>2315.2437317725821</v>
      </c>
      <c r="Z20" s="174">
        <f>'Output - Jobs vs Yr (BAU)'!Z18</f>
        <v>2418.2089193124939</v>
      </c>
      <c r="AA20" s="174">
        <f>'Output - Jobs vs Yr (BAU)'!AA18</f>
        <v>2475.0204460456966</v>
      </c>
      <c r="AB20" s="174">
        <f>'Output - Jobs vs Yr (BAU)'!AB18</f>
        <v>2541.9621773450845</v>
      </c>
      <c r="AC20" s="174">
        <f>'Output - Jobs vs Yr (BAU)'!AC18</f>
        <v>2583.0957698472935</v>
      </c>
      <c r="AD20" s="174">
        <f>'Output - Jobs vs Yr (BAU)'!AD18</f>
        <v>2697.5725886301061</v>
      </c>
      <c r="AE20" s="174">
        <f>'Output - Jobs vs Yr (BAU)'!AE18</f>
        <v>2848.5549874578255</v>
      </c>
      <c r="AF20" s="174">
        <f>'Output - Jobs vs Yr (BAU)'!AF18</f>
        <v>2910.7953903330117</v>
      </c>
      <c r="AG20" s="174">
        <f>'Output - Jobs vs Yr (BAU)'!AG18</f>
        <v>2964.8486960680852</v>
      </c>
      <c r="AH20" s="184">
        <f>'Output - Jobs vs Yr (BAU)'!AH18</f>
        <v>3017.6601048953312</v>
      </c>
    </row>
    <row r="21" spans="1:37" s="20" customFormat="1">
      <c r="A21" s="20" t="s">
        <v>116</v>
      </c>
      <c r="B21" s="33"/>
      <c r="C21" s="295">
        <f t="shared" ref="C21:AH21" si="11">MAX(C19:C20)</f>
        <v>867.0100000000001</v>
      </c>
      <c r="D21" s="295">
        <f t="shared" si="11"/>
        <v>1017.9740409713559</v>
      </c>
      <c r="E21" s="295">
        <f t="shared" si="11"/>
        <v>1402.2619795406558</v>
      </c>
      <c r="F21" s="295">
        <f t="shared" si="11"/>
        <v>1567.1963669306654</v>
      </c>
      <c r="G21" s="295">
        <f t="shared" si="11"/>
        <v>1690.9863262006979</v>
      </c>
      <c r="H21" s="251">
        <f t="shared" si="11"/>
        <v>1421.7219790946174</v>
      </c>
      <c r="I21" s="83">
        <f t="shared" si="11"/>
        <v>1548.0008780686076</v>
      </c>
      <c r="J21" s="83">
        <f t="shared" si="11"/>
        <v>1704.7486533641199</v>
      </c>
      <c r="K21" s="83">
        <f t="shared" si="11"/>
        <v>1892.4911765919112</v>
      </c>
      <c r="L21" s="83">
        <f t="shared" si="11"/>
        <v>2094.0276018647237</v>
      </c>
      <c r="M21" s="83">
        <f t="shared" si="11"/>
        <v>2308.8217043383056</v>
      </c>
      <c r="N21" s="177">
        <f t="shared" si="11"/>
        <v>2530.2898416915832</v>
      </c>
      <c r="O21" s="83">
        <f t="shared" si="11"/>
        <v>2621.6185204482604</v>
      </c>
      <c r="P21" s="83">
        <f t="shared" si="11"/>
        <v>2693.0446402314201</v>
      </c>
      <c r="Q21" s="83">
        <f t="shared" si="11"/>
        <v>2756.5391323432541</v>
      </c>
      <c r="R21" s="83">
        <f t="shared" si="11"/>
        <v>2815.9662425836041</v>
      </c>
      <c r="S21" s="83">
        <f t="shared" si="11"/>
        <v>2890.2061344099948</v>
      </c>
      <c r="T21" s="83">
        <f t="shared" si="11"/>
        <v>2984.0314801223512</v>
      </c>
      <c r="U21" s="83">
        <f t="shared" si="11"/>
        <v>3062.2490524136056</v>
      </c>
      <c r="V21" s="83">
        <f t="shared" si="11"/>
        <v>3124.8993340402376</v>
      </c>
      <c r="W21" s="83">
        <f t="shared" si="11"/>
        <v>3202.3161553343934</v>
      </c>
      <c r="X21" s="184">
        <f t="shared" si="11"/>
        <v>3202.7593690436593</v>
      </c>
      <c r="Y21" s="174">
        <f t="shared" si="11"/>
        <v>3373.0104627851601</v>
      </c>
      <c r="Z21" s="174">
        <f t="shared" si="11"/>
        <v>3513.762077135736</v>
      </c>
      <c r="AA21" s="174">
        <f t="shared" si="11"/>
        <v>3632.8667150327447</v>
      </c>
      <c r="AB21" s="174">
        <f t="shared" si="11"/>
        <v>3752.7382921446383</v>
      </c>
      <c r="AC21" s="174">
        <f t="shared" si="11"/>
        <v>3848.6265429126056</v>
      </c>
      <c r="AD21" s="174">
        <f t="shared" si="11"/>
        <v>3950.2486203408876</v>
      </c>
      <c r="AE21" s="174">
        <f t="shared" si="11"/>
        <v>4065.4722882537435</v>
      </c>
      <c r="AF21" s="174">
        <f t="shared" si="11"/>
        <v>4171.0681985024439</v>
      </c>
      <c r="AG21" s="174">
        <f t="shared" si="11"/>
        <v>4300.1788809219261</v>
      </c>
      <c r="AH21" s="184">
        <f t="shared" si="11"/>
        <v>4212.217381901005</v>
      </c>
      <c r="AI21" s="99"/>
    </row>
    <row r="22" spans="1:37" s="20" customFormat="1">
      <c r="A22" s="20" t="s">
        <v>379</v>
      </c>
      <c r="B22" s="33"/>
      <c r="C22" s="295" t="s">
        <v>0</v>
      </c>
      <c r="D22" s="295"/>
      <c r="E22" s="295"/>
      <c r="F22" s="295"/>
      <c r="G22" s="295"/>
      <c r="H22" s="251"/>
      <c r="I22" s="83"/>
      <c r="J22" s="83"/>
      <c r="K22" s="83"/>
      <c r="L22" s="83"/>
      <c r="M22" s="83"/>
      <c r="N22" s="177"/>
      <c r="O22" s="83"/>
      <c r="P22" s="83"/>
      <c r="Q22" s="83"/>
      <c r="R22" s="83"/>
      <c r="S22" s="83"/>
      <c r="T22" s="83"/>
      <c r="U22" s="83"/>
      <c r="V22" s="83"/>
      <c r="W22" s="173" t="s">
        <v>0</v>
      </c>
      <c r="X22" s="184"/>
      <c r="Y22"/>
      <c r="Z22"/>
      <c r="AA22"/>
      <c r="AB22"/>
      <c r="AC22"/>
      <c r="AD22"/>
      <c r="AE22"/>
      <c r="AF22"/>
      <c r="AG22"/>
      <c r="AH22" s="245"/>
      <c r="AI22" s="99"/>
    </row>
    <row r="23" spans="1:37" s="20" customFormat="1">
      <c r="A23" t="s">
        <v>538</v>
      </c>
      <c r="B23" s="33"/>
      <c r="C23" s="295">
        <v>0</v>
      </c>
      <c r="D23" s="297">
        <f t="shared" ref="D23:G23" si="12">C23+($N$23-$C$23)/($N$11-$C$11)</f>
        <v>0</v>
      </c>
      <c r="E23" s="297">
        <f t="shared" si="12"/>
        <v>0</v>
      </c>
      <c r="F23" s="297">
        <f t="shared" si="12"/>
        <v>0</v>
      </c>
      <c r="G23" s="297">
        <f t="shared" si="12"/>
        <v>0</v>
      </c>
      <c r="H23" s="251">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295">
        <v>0</v>
      </c>
      <c r="D24" s="297">
        <f t="shared" ref="D24:G24" si="16">C24+($N$24-$C$24)/($N$11-$C$11)</f>
        <v>0</v>
      </c>
      <c r="E24" s="297">
        <f t="shared" si="16"/>
        <v>0</v>
      </c>
      <c r="F24" s="297">
        <f t="shared" si="16"/>
        <v>0</v>
      </c>
      <c r="G24" s="297">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295"/>
      <c r="D25" s="297">
        <f t="shared" ref="D25:AH25" si="20">D30/(D30+D47)</f>
        <v>0</v>
      </c>
      <c r="E25" s="297">
        <f t="shared" si="20"/>
        <v>0</v>
      </c>
      <c r="F25" s="297">
        <f t="shared" si="20"/>
        <v>0</v>
      </c>
      <c r="G25" s="297">
        <f t="shared" si="20"/>
        <v>0</v>
      </c>
      <c r="H25" s="249"/>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297">
        <f>C31/C14</f>
        <v>0.79642699030608344</v>
      </c>
      <c r="D26" s="297">
        <f t="shared" ref="D26:G26" si="21">C26+($N$26-$C$26)/($N$11-$C$11)</f>
        <v>0.79414161778761116</v>
      </c>
      <c r="E26" s="297">
        <f t="shared" si="21"/>
        <v>0.79185624526913889</v>
      </c>
      <c r="F26" s="297">
        <f t="shared" si="21"/>
        <v>0.78957087275066662</v>
      </c>
      <c r="G26" s="297">
        <f t="shared" si="21"/>
        <v>0.78728550023219435</v>
      </c>
      <c r="H26" s="249">
        <f>H31/H14</f>
        <v>0.78265617272406751</v>
      </c>
      <c r="I26" s="91">
        <f>H26+($N$26-$H$26)/($N$11-$H$11)</f>
        <v>0.78076145937053765</v>
      </c>
      <c r="J26" s="172">
        <f t="shared" ref="J26:M26" si="22">I26+($N$26-$H$26)/($N$11-$H$11)</f>
        <v>0.77886674601700778</v>
      </c>
      <c r="K26" s="172">
        <f t="shared" si="22"/>
        <v>0.77697203266347792</v>
      </c>
      <c r="L26" s="172">
        <f t="shared" si="22"/>
        <v>0.77507731930994805</v>
      </c>
      <c r="M26" s="172">
        <f t="shared" si="22"/>
        <v>0.77318260595641819</v>
      </c>
      <c r="N26" s="180">
        <f>Inputs!C35</f>
        <v>0.77128789260288799</v>
      </c>
      <c r="O26" s="91">
        <f t="shared" ref="O26:W26" si="23">N26+($X$26-$N$26)/($X$11-$N$11)</f>
        <v>0.76502146572773422</v>
      </c>
      <c r="P26" s="91">
        <f t="shared" si="23"/>
        <v>0.75875503885258044</v>
      </c>
      <c r="Q26" s="91">
        <f t="shared" si="23"/>
        <v>0.75248861197742667</v>
      </c>
      <c r="R26" s="91">
        <f t="shared" si="23"/>
        <v>0.74622218510227289</v>
      </c>
      <c r="S26" s="22">
        <f t="shared" si="23"/>
        <v>0.73995575822711912</v>
      </c>
      <c r="T26" s="91">
        <f t="shared" si="23"/>
        <v>0.73368933135196535</v>
      </c>
      <c r="U26" s="91">
        <f t="shared" si="23"/>
        <v>0.72742290447681157</v>
      </c>
      <c r="V26" s="91">
        <f t="shared" si="23"/>
        <v>0.7211564776016578</v>
      </c>
      <c r="W26" s="91">
        <f t="shared" si="23"/>
        <v>0.71489005072650402</v>
      </c>
      <c r="X26" s="185">
        <f>Inputs!F35</f>
        <v>0.70862362385135036</v>
      </c>
      <c r="Y26" s="172">
        <f>X26+($AH$26-$X$26)/($AH$11-$X$11)</f>
        <v>0.70386936745478335</v>
      </c>
      <c r="Z26" s="172">
        <f t="shared" ref="Z26:AG26" si="24">Y26+($AH$26-$X$26)/($AH$11-$X$11)</f>
        <v>0.69911511105821633</v>
      </c>
      <c r="AA26" s="172">
        <f t="shared" si="24"/>
        <v>0.69436085466164932</v>
      </c>
      <c r="AB26" s="172">
        <f t="shared" si="24"/>
        <v>0.6896065982650823</v>
      </c>
      <c r="AC26" s="172">
        <f t="shared" si="24"/>
        <v>0.68485234186851529</v>
      </c>
      <c r="AD26" s="172">
        <f t="shared" si="24"/>
        <v>0.68009808547194828</v>
      </c>
      <c r="AE26" s="172">
        <f t="shared" si="24"/>
        <v>0.67534382907538126</v>
      </c>
      <c r="AF26" s="172">
        <f t="shared" si="24"/>
        <v>0.67058957267881425</v>
      </c>
      <c r="AG26" s="172">
        <f t="shared" si="24"/>
        <v>0.66583531628224724</v>
      </c>
      <c r="AH26" s="185">
        <f>Inputs!H35</f>
        <v>0.66108105988568011</v>
      </c>
      <c r="AI26" s="99"/>
    </row>
    <row r="27" spans="1:37" s="1" customFormat="1">
      <c r="B27" s="33"/>
      <c r="C27" s="303"/>
      <c r="D27" s="294"/>
      <c r="E27" s="357"/>
      <c r="F27" s="357"/>
      <c r="G27" s="357"/>
      <c r="H27" s="366"/>
      <c r="I27" s="25"/>
      <c r="J27" s="25"/>
      <c r="K27" s="24"/>
      <c r="L27" s="24"/>
      <c r="M27" s="24"/>
      <c r="N27" s="181" t="s">
        <v>0</v>
      </c>
      <c r="O27" s="26"/>
      <c r="P27" s="13"/>
      <c r="Q27" s="13"/>
      <c r="R27" s="13"/>
      <c r="S27" s="169">
        <f>SUM(S18,S24,S26)</f>
        <v>0.73995575822711912</v>
      </c>
      <c r="T27" s="13"/>
      <c r="U27" s="13"/>
      <c r="V27" s="13"/>
      <c r="W27" s="13"/>
      <c r="X27" s="176"/>
      <c r="Y27"/>
      <c r="Z27"/>
      <c r="AA27"/>
      <c r="AB27"/>
      <c r="AC27"/>
      <c r="AD27"/>
      <c r="AE27"/>
      <c r="AF27"/>
      <c r="AG27"/>
      <c r="AH27" s="245"/>
      <c r="AI27" s="24"/>
    </row>
    <row r="28" spans="1:37" s="1" customFormat="1">
      <c r="A28" s="1" t="s">
        <v>378</v>
      </c>
      <c r="B28" s="33"/>
      <c r="C28" s="293">
        <v>2009</v>
      </c>
      <c r="D28" s="293">
        <v>2010</v>
      </c>
      <c r="E28" s="293">
        <v>2011</v>
      </c>
      <c r="F28" s="293">
        <v>2012</v>
      </c>
      <c r="G28" s="293">
        <v>2013</v>
      </c>
      <c r="H28" s="365">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295" t="s">
        <v>377</v>
      </c>
      <c r="D29" s="295">
        <f t="shared" ref="D29:AH29" si="25">D13-D14</f>
        <v>0</v>
      </c>
      <c r="E29" s="295">
        <f t="shared" si="25"/>
        <v>0</v>
      </c>
      <c r="F29" s="295">
        <f t="shared" si="25"/>
        <v>0</v>
      </c>
      <c r="G29" s="295">
        <f t="shared" si="25"/>
        <v>0</v>
      </c>
      <c r="H29" s="251">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295">
        <f>C23*C47</f>
        <v>0</v>
      </c>
      <c r="D30" s="295">
        <f t="shared" ref="D30:AH30" si="26">D24*D14</f>
        <v>0</v>
      </c>
      <c r="E30" s="295">
        <f t="shared" si="26"/>
        <v>0</v>
      </c>
      <c r="F30" s="295">
        <f t="shared" si="26"/>
        <v>0</v>
      </c>
      <c r="G30" s="295">
        <f t="shared" si="26"/>
        <v>0</v>
      </c>
      <c r="H30" s="251">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295">
        <f>'Output - Jobs vs Yr (BAU)'!C7</f>
        <v>10433.99</v>
      </c>
      <c r="D31" s="295">
        <f t="shared" ref="D31:AH31" si="27">D26*D14</f>
        <v>9548.7588122782363</v>
      </c>
      <c r="E31" s="295">
        <f t="shared" si="27"/>
        <v>11009.394547322125</v>
      </c>
      <c r="F31" s="295">
        <f t="shared" si="27"/>
        <v>10610.972905577039</v>
      </c>
      <c r="G31" s="295">
        <f t="shared" si="27"/>
        <v>9246.5763067248263</v>
      </c>
      <c r="H31" s="251">
        <f>'Output - Jobs vs Yr (BAU)'!H7</f>
        <v>9359.5951058180617</v>
      </c>
      <c r="I31" s="174">
        <f t="shared" si="27"/>
        <v>9199.5932913440338</v>
      </c>
      <c r="J31" s="174">
        <f t="shared" si="27"/>
        <v>9426.3088498571669</v>
      </c>
      <c r="K31" s="174">
        <f t="shared" si="27"/>
        <v>9553.0877874142807</v>
      </c>
      <c r="L31" s="174">
        <f t="shared" si="27"/>
        <v>9672.489825235476</v>
      </c>
      <c r="M31" s="174">
        <f t="shared" si="27"/>
        <v>9741.3410919689213</v>
      </c>
      <c r="N31" s="184">
        <f t="shared" si="27"/>
        <v>9757.90959836398</v>
      </c>
      <c r="O31" s="174">
        <f t="shared" si="27"/>
        <v>9858.6180331821379</v>
      </c>
      <c r="P31" s="174">
        <f t="shared" si="27"/>
        <v>9901.9734857597432</v>
      </c>
      <c r="Q31" s="174">
        <f t="shared" si="27"/>
        <v>9909.3775436823416</v>
      </c>
      <c r="R31" s="174">
        <f t="shared" si="27"/>
        <v>9888.9429299020503</v>
      </c>
      <c r="S31" s="174">
        <f t="shared" si="27"/>
        <v>9877.2593921320349</v>
      </c>
      <c r="T31" s="174">
        <f t="shared" si="27"/>
        <v>9916.3549936710533</v>
      </c>
      <c r="U31" s="174">
        <f t="shared" si="27"/>
        <v>9900.1613237874881</v>
      </c>
      <c r="V31" s="174">
        <f t="shared" si="27"/>
        <v>9855.8295502599485</v>
      </c>
      <c r="W31" s="174">
        <f t="shared" si="27"/>
        <v>9884.9202938570979</v>
      </c>
      <c r="X31" s="184">
        <f t="shared" si="27"/>
        <v>9867.612827893834</v>
      </c>
      <c r="Y31" s="174">
        <f t="shared" si="27"/>
        <v>9841.0078793928133</v>
      </c>
      <c r="Z31" s="174">
        <f t="shared" si="27"/>
        <v>9894.9195091459987</v>
      </c>
      <c r="AA31" s="174">
        <f t="shared" si="27"/>
        <v>9889.6149222239055</v>
      </c>
      <c r="AB31" s="174">
        <f t="shared" si="27"/>
        <v>9879.4586039131536</v>
      </c>
      <c r="AC31" s="174">
        <f t="shared" si="27"/>
        <v>9867.3019875752743</v>
      </c>
      <c r="AD31" s="174">
        <f t="shared" si="27"/>
        <v>9868.59811117768</v>
      </c>
      <c r="AE31" s="174">
        <f t="shared" si="27"/>
        <v>9905.2784279891821</v>
      </c>
      <c r="AF31" s="174">
        <f t="shared" si="27"/>
        <v>9897.1372185287983</v>
      </c>
      <c r="AG31" s="174">
        <f t="shared" si="27"/>
        <v>9939.9854208689721</v>
      </c>
      <c r="AH31" s="184">
        <f t="shared" si="27"/>
        <v>9945.0611832000031</v>
      </c>
      <c r="AI31" s="127"/>
    </row>
    <row r="32" spans="1:37">
      <c r="A32" s="9" t="s">
        <v>59</v>
      </c>
      <c r="B32" s="35">
        <v>0</v>
      </c>
      <c r="C32" s="295">
        <f>EIA_electricity_aeo2014!E52*1000</f>
        <v>0</v>
      </c>
      <c r="D32" s="295">
        <f t="shared" ref="D32:AH32" si="28">D18*D14</f>
        <v>0</v>
      </c>
      <c r="E32" s="295">
        <f t="shared" si="28"/>
        <v>0</v>
      </c>
      <c r="F32" s="295">
        <f t="shared" si="28"/>
        <v>0</v>
      </c>
      <c r="G32" s="295">
        <f t="shared" si="28"/>
        <v>0</v>
      </c>
      <c r="H32" s="251">
        <f>EIA_electricity_aeo2014!J52*1000</f>
        <v>0</v>
      </c>
      <c r="I32" s="174">
        <f t="shared" si="28"/>
        <v>0</v>
      </c>
      <c r="J32" s="174">
        <f t="shared" si="28"/>
        <v>0</v>
      </c>
      <c r="K32" s="174">
        <f t="shared" si="28"/>
        <v>0</v>
      </c>
      <c r="L32" s="174">
        <f t="shared" si="28"/>
        <v>0</v>
      </c>
      <c r="M32" s="174">
        <f t="shared" si="28"/>
        <v>0</v>
      </c>
      <c r="N32" s="184">
        <f t="shared" si="28"/>
        <v>0</v>
      </c>
      <c r="O32" s="174">
        <f t="shared" si="28"/>
        <v>0</v>
      </c>
      <c r="P32" s="174">
        <f t="shared" si="28"/>
        <v>0</v>
      </c>
      <c r="Q32" s="174">
        <f t="shared" si="28"/>
        <v>0</v>
      </c>
      <c r="R32" s="174">
        <f t="shared" si="28"/>
        <v>0</v>
      </c>
      <c r="S32" s="174">
        <f t="shared" si="28"/>
        <v>0</v>
      </c>
      <c r="T32" s="174">
        <f t="shared" si="28"/>
        <v>0</v>
      </c>
      <c r="U32" s="174">
        <f t="shared" si="28"/>
        <v>0</v>
      </c>
      <c r="V32" s="174">
        <f t="shared" si="28"/>
        <v>0</v>
      </c>
      <c r="W32" s="174">
        <f t="shared" si="28"/>
        <v>0</v>
      </c>
      <c r="X32" s="184">
        <f t="shared" si="28"/>
        <v>0</v>
      </c>
      <c r="Y32" s="174">
        <f t="shared" si="28"/>
        <v>0</v>
      </c>
      <c r="Z32" s="174">
        <f t="shared" si="28"/>
        <v>0</v>
      </c>
      <c r="AA32" s="174">
        <f t="shared" si="28"/>
        <v>0</v>
      </c>
      <c r="AB32" s="174">
        <f t="shared" si="28"/>
        <v>0</v>
      </c>
      <c r="AC32" s="174">
        <f t="shared" si="28"/>
        <v>0</v>
      </c>
      <c r="AD32" s="174">
        <f t="shared" si="28"/>
        <v>0</v>
      </c>
      <c r="AE32" s="174">
        <f t="shared" si="28"/>
        <v>0</v>
      </c>
      <c r="AF32" s="174">
        <f t="shared" si="28"/>
        <v>0</v>
      </c>
      <c r="AG32" s="174">
        <f t="shared" si="28"/>
        <v>0</v>
      </c>
      <c r="AH32" s="184">
        <f t="shared" si="28"/>
        <v>0</v>
      </c>
      <c r="AI32" s="128"/>
    </row>
    <row r="33" spans="1:36">
      <c r="A33" s="9"/>
      <c r="B33" s="35"/>
      <c r="C33" s="295"/>
      <c r="D33" s="295"/>
      <c r="E33" s="295"/>
      <c r="F33" s="295"/>
      <c r="G33" s="295"/>
      <c r="H33" s="251"/>
      <c r="I33" s="118"/>
      <c r="J33" s="118"/>
      <c r="K33" s="118"/>
      <c r="L33" s="118"/>
      <c r="M33" s="118"/>
      <c r="N33" s="184"/>
      <c r="O33" s="118"/>
      <c r="P33" s="118"/>
      <c r="Q33" s="118"/>
      <c r="R33" s="118"/>
      <c r="S33" s="118"/>
      <c r="T33" s="118"/>
      <c r="U33" s="118"/>
      <c r="V33" s="118"/>
      <c r="W33" s="118"/>
      <c r="X33" s="184"/>
      <c r="AI33" s="128"/>
    </row>
    <row r="34" spans="1:36">
      <c r="A34" s="9" t="s">
        <v>121</v>
      </c>
      <c r="B34" s="35">
        <v>1</v>
      </c>
      <c r="C34" s="295">
        <f>EIA_RE_aeo2014!E76*1000</f>
        <v>478</v>
      </c>
      <c r="D34" s="295">
        <f>MAX(D58*D$14,'Output - Jobs vs Yr (BAU)'!D10)</f>
        <v>494.82479937618479</v>
      </c>
      <c r="E34" s="295">
        <f>MAX(E58*E$14,'Output - Jobs vs Yr (BAU)'!E10)</f>
        <v>645.3549106326177</v>
      </c>
      <c r="F34" s="295">
        <f>MAX(F58*F$14,'Output - Jobs vs Yr (BAU)'!F10)</f>
        <v>703.59809644809957</v>
      </c>
      <c r="G34" s="295">
        <f>MAX(G58*G$14,'Output - Jobs vs Yr (BAU)'!G10)</f>
        <v>693.56682859041655</v>
      </c>
      <c r="H34" s="251">
        <f>'Output - Jobs vs Yr (BAU)'!H10</f>
        <v>489.64170031485315</v>
      </c>
      <c r="I34" s="251">
        <f>MAX(I58*I$14,'Output - Jobs vs Yr (BAU)'!I10)</f>
        <v>544.15378073085401</v>
      </c>
      <c r="J34" s="251">
        <f>MAX(J58*J$14,'Output - Jobs vs Yr (BAU)'!J10)</f>
        <v>630.41847670301979</v>
      </c>
      <c r="K34" s="251">
        <f>MAX(K58*K$14,'Output - Jobs vs Yr (BAU)'!K10)</f>
        <v>722.38355678915434</v>
      </c>
      <c r="L34" s="251">
        <f>MAX(L58*L$14,'Output - Jobs vs Yr (BAU)'!L10)</f>
        <v>826.99286450298177</v>
      </c>
      <c r="M34" s="251">
        <f>MAX(M58*M$14,'Output - Jobs vs Yr (BAU)'!M10)</f>
        <v>941.72526967289014</v>
      </c>
      <c r="N34" s="252">
        <f>MAX(Inputs!$E17*N$21,'Output - Jobs vs Yr (BAU)'!N10)</f>
        <v>1066.6129814120864</v>
      </c>
      <c r="O34" s="251">
        <f>MAX(O58*O$14,'Output - Jobs vs Yr (BAU)'!O10)</f>
        <v>1101.7391748707657</v>
      </c>
      <c r="P34" s="251">
        <f>MAX(P58*P$14,'Output - Jobs vs Yr (BAU)'!P10)</f>
        <v>1131.4264511477725</v>
      </c>
      <c r="Q34" s="251">
        <f>MAX(Q58*Q$14,'Output - Jobs vs Yr (BAU)'!Q10)</f>
        <v>1157.7702460185903</v>
      </c>
      <c r="R34" s="251">
        <f>MAX(R58*R$14,'Output - Jobs vs Yr (BAU)'!R10)</f>
        <v>1181.4828964605344</v>
      </c>
      <c r="S34" s="251">
        <f>MAX(S58*S$14,'Output - Jobs vs Yr (BAU)'!S10)</f>
        <v>1206.8303234695966</v>
      </c>
      <c r="T34" s="251">
        <f>MAX(T58*T$14,'Output - Jobs vs Yr (BAU)'!T10)</f>
        <v>1239.1536331981188</v>
      </c>
      <c r="U34" s="251">
        <f>MAX(U58*U$14,'Output - Jobs vs Yr (BAU)'!U10)</f>
        <v>1265.3491476975385</v>
      </c>
      <c r="V34" s="251">
        <f>MAX(V58*V$14,'Output - Jobs vs Yr (BAU)'!V10)</f>
        <v>1288.5122040779024</v>
      </c>
      <c r="W34" s="251">
        <f>MAX(W58*W$14,'Output - Jobs vs Yr (BAU)'!W10)</f>
        <v>1321.991199046292</v>
      </c>
      <c r="X34" s="252">
        <f>Inputs!F17*'Output -Jobs vs Yr'!$X$14</f>
        <v>1350.0843512367617</v>
      </c>
      <c r="Y34" s="251">
        <f>MAX(Y58*Y$14,'Output - Jobs vs Yr (BAU)'!Y10)</f>
        <v>1382.4676042655121</v>
      </c>
      <c r="Z34" s="251">
        <f>MAX(Z58*Z$14,'Output - Jobs vs Yr (BAU)'!Z10)</f>
        <v>1427.2959866881149</v>
      </c>
      <c r="AA34" s="251">
        <f>MAX(AA58*AA$14,'Output - Jobs vs Yr (BAU)'!AA10)</f>
        <v>1464.8313977277937</v>
      </c>
      <c r="AB34" s="251">
        <f>MAX(AB58*AB$14,'Output - Jobs vs Yr (BAU)'!AB10)</f>
        <v>1502.686015842359</v>
      </c>
      <c r="AC34" s="251">
        <f>MAX(AC58*AC$14,'Output - Jobs vs Yr (BAU)'!AC10)</f>
        <v>1541.2780785865521</v>
      </c>
      <c r="AD34" s="251">
        <f>MAX(AD58*AD$14,'Output - Jobs vs Yr (BAU)'!AD10)</f>
        <v>1583.0931042110342</v>
      </c>
      <c r="AE34" s="251">
        <f>MAX(AE58*AE$14,'Output - Jobs vs Yr (BAU)'!AE10)</f>
        <v>1631.951762371335</v>
      </c>
      <c r="AF34" s="251">
        <f>MAX(AF58*AF$14,'Output - Jobs vs Yr (BAU)'!AF10)</f>
        <v>1674.7939402465499</v>
      </c>
      <c r="AG34" s="251">
        <f>MAX(AG58*AG$14,'Output - Jobs vs Yr (BAU)'!AG10)</f>
        <v>1727.7087218313552</v>
      </c>
      <c r="AH34" s="252">
        <f>Inputs!I17*'Output -Jobs vs Yr'!$AH$14</f>
        <v>1775.6091282655798</v>
      </c>
      <c r="AI34" s="127"/>
    </row>
    <row r="35" spans="1:36" s="20" customFormat="1">
      <c r="A35" s="9" t="s">
        <v>50</v>
      </c>
      <c r="B35" s="35">
        <v>1</v>
      </c>
      <c r="C35" s="295">
        <f>EIA_RE_aeo2014!E74*1000</f>
        <v>76</v>
      </c>
      <c r="D35" s="295">
        <f>MAX(D59*D$14,'Output - Jobs vs Yr (BAU)'!D11)</f>
        <v>82.139241595170986</v>
      </c>
      <c r="E35" s="295">
        <f>MAX(E59*E$14,'Output - Jobs vs Yr (BAU)'!E11)</f>
        <v>111.84366399675629</v>
      </c>
      <c r="F35" s="295">
        <f>MAX(F59*F$14,'Output - Jobs vs Yr (BAU)'!F11)</f>
        <v>127.30661145935522</v>
      </c>
      <c r="G35" s="295">
        <f>MAX(G59*G$14,'Output - Jobs vs Yr (BAU)'!G11)</f>
        <v>131.01715129444497</v>
      </c>
      <c r="H35" s="251">
        <f>'Output - Jobs vs Yr (BAU)'!H11</f>
        <v>62.087820576450682</v>
      </c>
      <c r="I35" s="251">
        <f>MAX(I59*I$14,'Output - Jobs vs Yr (BAU)'!I11)</f>
        <v>72.03825838619909</v>
      </c>
      <c r="J35" s="251">
        <f>MAX(J59*J$14,'Output - Jobs vs Yr (BAU)'!J11)</f>
        <v>87.133271967647886</v>
      </c>
      <c r="K35" s="251">
        <f>MAX(K59*K$14,'Output - Jobs vs Yr (BAU)'!K11)</f>
        <v>108.36777409017537</v>
      </c>
      <c r="L35" s="251">
        <f>MAX(L59*L$14,'Output - Jobs vs Yr (BAU)'!L11)</f>
        <v>126.31576537853955</v>
      </c>
      <c r="M35" s="251">
        <f>MAX(M59*M$14,'Output - Jobs vs Yr (BAU)'!M11)</f>
        <v>148.12212048816954</v>
      </c>
      <c r="N35" s="252">
        <f>MAX(Inputs!$E19*N$21,'Output - Jobs vs Yr (BAU)'!N11)</f>
        <v>175.15240190747792</v>
      </c>
      <c r="O35" s="251">
        <f>MAX(O59*O$14,'Output - Jobs vs Yr (BAU)'!O11)</f>
        <v>180.92060205258505</v>
      </c>
      <c r="P35" s="251">
        <f>MAX(P59*P$14,'Output - Jobs vs Yr (BAU)'!P11)</f>
        <v>185.79565780066395</v>
      </c>
      <c r="Q35" s="251">
        <f>MAX(Q59*Q$14,'Output - Jobs vs Yr (BAU)'!Q11)</f>
        <v>190.1216682912478</v>
      </c>
      <c r="R35" s="251">
        <f>MAX(R59*R$14,'Output - Jobs vs Yr (BAU)'!R11)</f>
        <v>196.19000189417133</v>
      </c>
      <c r="S35" s="251">
        <f>MAX(S59*S$14,'Output - Jobs vs Yr (BAU)'!S11)</f>
        <v>213.46144462836699</v>
      </c>
      <c r="T35" s="251">
        <f>MAX(T59*T$14,'Output - Jobs vs Yr (BAU)'!T11)</f>
        <v>234.91522610324628</v>
      </c>
      <c r="U35" s="251">
        <f>MAX(U59*U$14,'Output - Jobs vs Yr (BAU)'!U11)</f>
        <v>254.29172761518726</v>
      </c>
      <c r="V35" s="251">
        <f>MAX(V59*V$14,'Output - Jobs vs Yr (BAU)'!V11)</f>
        <v>264.79676513556115</v>
      </c>
      <c r="W35" s="251">
        <f>MAX(W59*W$14,'Output - Jobs vs Yr (BAU)'!W11)</f>
        <v>267.2902085311926</v>
      </c>
      <c r="X35" s="252">
        <f>Inputs!F19*'Output -Jobs vs Yr'!$X$14</f>
        <v>221.70226784953911</v>
      </c>
      <c r="Y35" s="251">
        <f>MAX(Y59*Y$14,'Output - Jobs vs Yr (BAU)'!Y11)</f>
        <v>302.44943940077957</v>
      </c>
      <c r="Z35" s="251">
        <f>MAX(Z59*Z$14,'Output - Jobs vs Yr (BAU)'!Z11)</f>
        <v>343.21763272767907</v>
      </c>
      <c r="AA35" s="251">
        <f>MAX(AA59*AA$14,'Output - Jobs vs Yr (BAU)'!AA11)</f>
        <v>378.44211315632441</v>
      </c>
      <c r="AB35" s="251">
        <f>MAX(AB59*AB$14,'Output - Jobs vs Yr (BAU)'!AB11)</f>
        <v>413.72870682622732</v>
      </c>
      <c r="AC35" s="251">
        <f>MAX(AC59*AC$14,'Output - Jobs vs Yr (BAU)'!AC11)</f>
        <v>423.40365770821552</v>
      </c>
      <c r="AD35" s="251">
        <f>MAX(AD59*AD$14,'Output - Jobs vs Yr (BAU)'!AD11)</f>
        <v>431.69596406679625</v>
      </c>
      <c r="AE35" s="251">
        <f>MAX(AE59*AE$14,'Output - Jobs vs Yr (BAU)'!AE11)</f>
        <v>438.03715061457541</v>
      </c>
      <c r="AF35" s="251">
        <f>MAX(AF59*AF$14,'Output - Jobs vs Yr (BAU)'!AF11)</f>
        <v>448.03528371806516</v>
      </c>
      <c r="AG35" s="251">
        <f>MAX(AG59*AG$14,'Output - Jobs vs Yr (BAU)'!AG11)</f>
        <v>459.30735138209315</v>
      </c>
      <c r="AH35" s="252">
        <f>Inputs!I19*'Output -Jobs vs Yr'!$AH$14</f>
        <v>291.57924109720119</v>
      </c>
      <c r="AI35" s="127"/>
    </row>
    <row r="36" spans="1:36">
      <c r="A36" s="9" t="s">
        <v>119</v>
      </c>
      <c r="B36" s="35">
        <v>1</v>
      </c>
      <c r="C36" s="295">
        <v>0</v>
      </c>
      <c r="D36" s="295">
        <v>0</v>
      </c>
      <c r="E36" s="295">
        <v>0</v>
      </c>
      <c r="F36" s="295">
        <v>0</v>
      </c>
      <c r="G36" s="295">
        <v>0</v>
      </c>
      <c r="H36" s="251">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295">
        <f>EIA_RE_aeo2014!E75*1000</f>
        <v>0</v>
      </c>
      <c r="D37" s="295">
        <f>MAX(D61*D$14,'Output - Jobs vs Yr (BAU)'!D12)</f>
        <v>0</v>
      </c>
      <c r="E37" s="295">
        <f>MAX(E61*E$14,'Output - Jobs vs Yr (BAU)'!E12)</f>
        <v>0.62751400000000002</v>
      </c>
      <c r="F37" s="295">
        <f>MAX(F61*F$14,'Output - Jobs vs Yr (BAU)'!F12)</f>
        <v>0.73646300000000009</v>
      </c>
      <c r="G37" s="295">
        <f>MAX(G61*G$14,'Output - Jobs vs Yr (BAU)'!G12)</f>
        <v>0.87872300000000014</v>
      </c>
      <c r="H37" s="251">
        <f>'Output - Jobs vs Yr (BAU)'!H12</f>
        <v>0.78539499999999995</v>
      </c>
      <c r="I37" s="118">
        <f>MAX(I61*I$14,'Output - Jobs vs Yr (BAU)'!I12)</f>
        <v>0.87771600000000005</v>
      </c>
      <c r="J37" s="118">
        <f>MAX(J61*J$14,'Output - Jobs vs Yr (BAU)'!J12)</f>
        <v>0.92374407529754754</v>
      </c>
      <c r="K37" s="118">
        <f>MAX(K61*K$14,'Output - Jobs vs Yr (BAU)'!K12)</f>
        <v>1.0116891293034347</v>
      </c>
      <c r="L37" s="118">
        <f>MAX(L61*L$14,'Output - Jobs vs Yr (BAU)'!L12)</f>
        <v>1.1069741847523498</v>
      </c>
      <c r="M37" s="118">
        <f>MAX(M61*M$14,'Output - Jobs vs Yr (BAU)'!M12)</f>
        <v>1.204804147156662</v>
      </c>
      <c r="N37" s="184">
        <f>MAX(Inputs!$E20*N$21,'Output - Jobs vs Yr (BAU)'!N12)</f>
        <v>1.3042342282778185</v>
      </c>
      <c r="O37" s="174">
        <f>MAX(O61*O$14,'Output - Jobs vs Yr (BAU)'!O12)</f>
        <v>1.3471858748603172</v>
      </c>
      <c r="P37" s="174">
        <f>MAX(P61*P$14,'Output - Jobs vs Yr (BAU)'!P12)</f>
        <v>1.3834869161373056</v>
      </c>
      <c r="Q37" s="174">
        <f>MAX(Q61*Q$14,'Output - Jobs vs Yr (BAU)'!Q12)</f>
        <v>1.4156996114373037</v>
      </c>
      <c r="R37" s="174">
        <f>MAX(R61*R$14,'Output - Jobs vs Yr (BAU)'!R12)</f>
        <v>1.4446949929754378</v>
      </c>
      <c r="S37" s="174">
        <f>MAX(S61*S$14,'Output - Jobs vs Yr (BAU)'!S12)</f>
        <v>1.4756893484540532</v>
      </c>
      <c r="T37" s="174">
        <f>MAX(T61*T$14,'Output - Jobs vs Yr (BAU)'!T12)</f>
        <v>1.5152136816975432</v>
      </c>
      <c r="U37" s="174">
        <f>MAX(U61*U$14,'Output - Jobs vs Yr (BAU)'!U12)</f>
        <v>1.5472450625572243</v>
      </c>
      <c r="V37" s="174">
        <f>MAX(V61*V$14,'Output - Jobs vs Yr (BAU)'!V12)</f>
        <v>1.575568410846877</v>
      </c>
      <c r="W37" s="174">
        <f>MAX(W61*W$14,'Output - Jobs vs Yr (BAU)'!W12)</f>
        <v>1.6165058941956234</v>
      </c>
      <c r="X37" s="184">
        <f>Inputs!F20*'Output -Jobs vs Yr'!$X$14</f>
        <v>1.6508576706183375</v>
      </c>
      <c r="Y37" s="174">
        <f>MAX(Y61*Y$14,'Output - Jobs vs Yr (BAU)'!Y12)</f>
        <v>1.6904553013983066</v>
      </c>
      <c r="Z37" s="174">
        <f>MAX(Z61*Z$14,'Output - Jobs vs Yr (BAU)'!Z12)</f>
        <v>1.7452706015800858</v>
      </c>
      <c r="AA37" s="174">
        <f>MAX(AA61*AA$14,'Output - Jobs vs Yr (BAU)'!AA12)</f>
        <v>1.7911681939622963</v>
      </c>
      <c r="AB37" s="174">
        <f>MAX(AB61*AB$14,'Output - Jobs vs Yr (BAU)'!AB12)</f>
        <v>1.8374561067327175</v>
      </c>
      <c r="AC37" s="174">
        <f>MAX(AC61*AC$14,'Output - Jobs vs Yr (BAU)'!AC12)</f>
        <v>1.8846457528817695</v>
      </c>
      <c r="AD37" s="174">
        <f>MAX(AD61*AD$14,'Output - Jobs vs Yr (BAU)'!AD12)</f>
        <v>1.9357763772283463</v>
      </c>
      <c r="AE37" s="174">
        <f>MAX(AE61*AE$14,'Output - Jobs vs Yr (BAU)'!AE12)</f>
        <v>1.9955198225369031</v>
      </c>
      <c r="AF37" s="174">
        <f>MAX(AF61*AF$14,'Output - Jobs vs Yr (BAU)'!AF12)</f>
        <v>2.0479064292748479</v>
      </c>
      <c r="AG37" s="174">
        <f>MAX(AG61*AG$14,'Output - Jobs vs Yr (BAU)'!AG12)</f>
        <v>2.112609625773902</v>
      </c>
      <c r="AH37" s="184">
        <f>Inputs!I20*'Output -Jobs vs Yr'!$AH$14</f>
        <v>2.1711813389525907</v>
      </c>
      <c r="AI37" s="127"/>
    </row>
    <row r="38" spans="1:36" s="20" customFormat="1">
      <c r="A38" s="9" t="s">
        <v>347</v>
      </c>
      <c r="B38" s="35">
        <v>1</v>
      </c>
      <c r="C38" s="295">
        <f>'Output - Jobs vs Yr (BAU)'!C13</f>
        <v>0</v>
      </c>
      <c r="D38" s="295">
        <f>MAX(D62*D$14,'Output - Jobs vs Yr (BAU)'!D13)</f>
        <v>0</v>
      </c>
      <c r="E38" s="295">
        <f>MAX(E62*E$14,'Output - Jobs vs Yr (BAU)'!E13)</f>
        <v>0.02</v>
      </c>
      <c r="F38" s="295">
        <f>MAX(F62*F$14,'Output - Jobs vs Yr (BAU)'!F13)</f>
        <v>0.02</v>
      </c>
      <c r="G38" s="295">
        <f>MAX(G62*G$14,'Output - Jobs vs Yr (BAU)'!G13)</f>
        <v>0.02</v>
      </c>
      <c r="H38" s="251">
        <f>'Output - Jobs vs Yr (BAU)'!H13</f>
        <v>0.02</v>
      </c>
      <c r="I38" s="118">
        <f>MAX(I62*I$14,'Output - Jobs vs Yr (BAU)'!I13)</f>
        <v>2.0486743000029284E-2</v>
      </c>
      <c r="J38" s="118">
        <f>MAX(J62*J$14,'Output - Jobs vs Yr (BAU)'!J13)</f>
        <v>2.1876602303967856E-2</v>
      </c>
      <c r="K38" s="118">
        <f>MAX(K62*K$14,'Output - Jobs vs Yr (BAU)'!K13)</f>
        <v>2.3105664368931005E-2</v>
      </c>
      <c r="L38" s="118">
        <f>MAX(L62*L$14,'Output - Jobs vs Yr (BAU)'!L13)</f>
        <v>2.4381029571264427E-2</v>
      </c>
      <c r="M38" s="118">
        <f>MAX(M62*M$14,'Output - Jobs vs Yr (BAU)'!M13)</f>
        <v>2.5590229051293625E-2</v>
      </c>
      <c r="N38" s="184">
        <f>MAX(Inputs!$E21*N$21,'Output - Jobs vs Yr (BAU)'!N13)</f>
        <v>2.6715080315767536E-2</v>
      </c>
      <c r="O38" s="174">
        <f>MAX(O62*O$14,'Output - Jobs vs Yr (BAU)'!O13)</f>
        <v>2.7594873732676332E-2</v>
      </c>
      <c r="P38" s="174">
        <f>MAX(P62*P$14,'Output - Jobs vs Yr (BAU)'!P13)</f>
        <v>2.8338440503302566E-2</v>
      </c>
      <c r="Q38" s="174">
        <f>MAX(Q62*Q$14,'Output - Jobs vs Yr (BAU)'!Q13)</f>
        <v>2.8998264270742816E-2</v>
      </c>
      <c r="R38" s="174">
        <f>MAX(R62*R$14,'Output - Jobs vs Yr (BAU)'!R13)</f>
        <v>2.9592186688804503E-2</v>
      </c>
      <c r="S38" s="174">
        <f>MAX(S62*S$14,'Output - Jobs vs Yr (BAU)'!S13)</f>
        <v>3.0227054780742266E-2</v>
      </c>
      <c r="T38" s="174">
        <f>MAX(T62*T$14,'Output - Jobs vs Yr (BAU)'!T13)</f>
        <v>3.103664535437815E-2</v>
      </c>
      <c r="U38" s="174">
        <f>MAX(U62*U$14,'Output - Jobs vs Yr (BAU)'!U13)</f>
        <v>3.1692755195492549E-2</v>
      </c>
      <c r="V38" s="174">
        <f>MAX(V62*V$14,'Output - Jobs vs Yr (BAU)'!V13)</f>
        <v>3.2272912124335508E-2</v>
      </c>
      <c r="W38" s="174">
        <f>MAX(W62*W$14,'Output - Jobs vs Yr (BAU)'!W13)</f>
        <v>3.3111448739826174E-2</v>
      </c>
      <c r="X38" s="184">
        <f>Inputs!F21*'Output -Jobs vs Yr'!$X$14</f>
        <v>3.3815088044963748E-2</v>
      </c>
      <c r="Y38" s="174">
        <f>MAX(Y62*Y$14,'Output - Jobs vs Yr (BAU)'!Y13)</f>
        <v>3.4626179997363921E-2</v>
      </c>
      <c r="Z38" s="174">
        <f>MAX(Z62*Z$14,'Output - Jobs vs Yr (BAU)'!Z13)</f>
        <v>3.5748980729884805E-2</v>
      </c>
      <c r="AA38" s="174">
        <f>MAX(AA62*AA$14,'Output - Jobs vs Yr (BAU)'!AA13)</f>
        <v>3.6689116972444702E-2</v>
      </c>
      <c r="AB38" s="174">
        <f>MAX(AB62*AB$14,'Output - Jobs vs Yr (BAU)'!AB13)</f>
        <v>3.7637248282373512E-2</v>
      </c>
      <c r="AC38" s="174">
        <f>MAX(AC62*AC$14,'Output - Jobs vs Yr (BAU)'!AC13)</f>
        <v>3.8603850108649182E-2</v>
      </c>
      <c r="AD38" s="174">
        <f>MAX(AD62*AD$14,'Output - Jobs vs Yr (BAU)'!AD13)</f>
        <v>3.9651176352967908E-2</v>
      </c>
      <c r="AE38" s="174">
        <f>MAX(AE62*AE$14,'Output - Jobs vs Yr (BAU)'!AE13)</f>
        <v>4.0874921984813718E-2</v>
      </c>
      <c r="AF38" s="174">
        <f>MAX(AF62*AF$14,'Output - Jobs vs Yr (BAU)'!AF13)</f>
        <v>4.194797495040159E-2</v>
      </c>
      <c r="AG38" s="174">
        <f>MAX(AG62*AG$14,'Output - Jobs vs Yr (BAU)'!AG13)</f>
        <v>4.3273312879495499E-2</v>
      </c>
      <c r="AH38" s="184">
        <f>Inputs!I21*'Output -Jobs vs Yr'!$AH$14</f>
        <v>4.4473057517287223E-2</v>
      </c>
      <c r="AI38" s="127"/>
    </row>
    <row r="39" spans="1:36" s="20" customFormat="1">
      <c r="A39" s="9" t="s">
        <v>348</v>
      </c>
      <c r="B39" s="35">
        <v>1</v>
      </c>
      <c r="C39" s="295">
        <f>'Output - Jobs vs Yr (BAU)'!C14</f>
        <v>0</v>
      </c>
      <c r="D39" s="295">
        <f>MAX(D63*D$14,'Output - Jobs vs Yr (BAU)'!D14)</f>
        <v>0</v>
      </c>
      <c r="E39" s="295">
        <f>MAX(E63*E$14,'Output - Jobs vs Yr (BAU)'!E14)</f>
        <v>0.01</v>
      </c>
      <c r="F39" s="295">
        <f>MAX(F63*F$14,'Output - Jobs vs Yr (BAU)'!F14)</f>
        <v>0.01</v>
      </c>
      <c r="G39" s="295">
        <f>MAX(G63*G$14,'Output - Jobs vs Yr (BAU)'!G14)</f>
        <v>0.01</v>
      </c>
      <c r="H39" s="251">
        <f>'Output - Jobs vs Yr (BAU)'!H14</f>
        <v>0.01</v>
      </c>
      <c r="I39" s="118">
        <f>MAX(I63*I$14,'Output - Jobs vs Yr (BAU)'!I14)</f>
        <v>1.0243371500014642E-2</v>
      </c>
      <c r="J39" s="118">
        <f>MAX(J63*J$14,'Output - Jobs vs Yr (BAU)'!J14)</f>
        <v>1.0938301151983928E-2</v>
      </c>
      <c r="K39" s="118">
        <f>MAX(K63*K$14,'Output - Jobs vs Yr (BAU)'!K14)</f>
        <v>1.1552832184465503E-2</v>
      </c>
      <c r="L39" s="118">
        <f>MAX(L63*L$14,'Output - Jobs vs Yr (BAU)'!L14)</f>
        <v>1.2190514785632213E-2</v>
      </c>
      <c r="M39" s="118">
        <f>MAX(M63*M$14,'Output - Jobs vs Yr (BAU)'!M14)</f>
        <v>1.2795114525646812E-2</v>
      </c>
      <c r="N39" s="184">
        <f>MAX(Inputs!$E22*N$21,'Output - Jobs vs Yr (BAU)'!N14)</f>
        <v>1.3357540157883768E-2</v>
      </c>
      <c r="O39" s="174">
        <f>MAX(O63*O$14,'Output - Jobs vs Yr (BAU)'!O14)</f>
        <v>1.3797436866338166E-2</v>
      </c>
      <c r="P39" s="174">
        <f>MAX(P63*P$14,'Output - Jobs vs Yr (BAU)'!P14)</f>
        <v>1.4169220251651283E-2</v>
      </c>
      <c r="Q39" s="174">
        <f>MAX(Q63*Q$14,'Output - Jobs vs Yr (BAU)'!Q14)</f>
        <v>1.4499132135371408E-2</v>
      </c>
      <c r="R39" s="174">
        <f>MAX(R63*R$14,'Output - Jobs vs Yr (BAU)'!R14)</f>
        <v>1.4796093344402251E-2</v>
      </c>
      <c r="S39" s="174">
        <f>MAX(S63*S$14,'Output - Jobs vs Yr (BAU)'!S14)</f>
        <v>1.5113527390371133E-2</v>
      </c>
      <c r="T39" s="174">
        <f>MAX(T63*T$14,'Output - Jobs vs Yr (BAU)'!T14)</f>
        <v>1.5518322677189075E-2</v>
      </c>
      <c r="U39" s="174">
        <f>MAX(U63*U$14,'Output - Jobs vs Yr (BAU)'!U14)</f>
        <v>1.5846377597746274E-2</v>
      </c>
      <c r="V39" s="174">
        <f>MAX(V63*V$14,'Output - Jobs vs Yr (BAU)'!V14)</f>
        <v>1.6136456062167754E-2</v>
      </c>
      <c r="W39" s="174">
        <f>MAX(W63*W$14,'Output - Jobs vs Yr (BAU)'!W14)</f>
        <v>1.6555724369913087E-2</v>
      </c>
      <c r="X39" s="184">
        <f>Inputs!F22*'Output -Jobs vs Yr'!$X$14</f>
        <v>1.6907544022481874E-2</v>
      </c>
      <c r="Y39" s="174">
        <f>MAX(Y63*Y$14,'Output - Jobs vs Yr (BAU)'!Y14)</f>
        <v>1.731308999868196E-2</v>
      </c>
      <c r="Z39" s="174">
        <f>MAX(Z63*Z$14,'Output - Jobs vs Yr (BAU)'!Z14)</f>
        <v>1.7874490364942403E-2</v>
      </c>
      <c r="AA39" s="174">
        <f>MAX(AA63*AA$14,'Output - Jobs vs Yr (BAU)'!AA14)</f>
        <v>1.8344558486222351E-2</v>
      </c>
      <c r="AB39" s="174">
        <f>MAX(AB63*AB$14,'Output - Jobs vs Yr (BAU)'!AB14)</f>
        <v>1.8818624141186756E-2</v>
      </c>
      <c r="AC39" s="174">
        <f>MAX(AC63*AC$14,'Output - Jobs vs Yr (BAU)'!AC14)</f>
        <v>1.9301925054324591E-2</v>
      </c>
      <c r="AD39" s="174">
        <f>MAX(AD63*AD$14,'Output - Jobs vs Yr (BAU)'!AD14)</f>
        <v>1.9825588176483954E-2</v>
      </c>
      <c r="AE39" s="174">
        <f>MAX(AE63*AE$14,'Output - Jobs vs Yr (BAU)'!AE14)</f>
        <v>2.0437460992406859E-2</v>
      </c>
      <c r="AF39" s="174">
        <f>MAX(AF63*AF$14,'Output - Jobs vs Yr (BAU)'!AF14)</f>
        <v>2.0973987475200795E-2</v>
      </c>
      <c r="AG39" s="174">
        <f>MAX(AG63*AG$14,'Output - Jobs vs Yr (BAU)'!AG14)</f>
        <v>2.1636656439747749E-2</v>
      </c>
      <c r="AH39" s="184">
        <f>Inputs!I22*'Output -Jobs vs Yr'!$AH$14</f>
        <v>2.2236528758643612E-2</v>
      </c>
      <c r="AI39" s="127"/>
    </row>
    <row r="40" spans="1:36" s="20" customFormat="1">
      <c r="A40" s="9" t="s">
        <v>344</v>
      </c>
      <c r="B40" s="35">
        <v>1</v>
      </c>
      <c r="C40" s="295">
        <f>'Output - Jobs vs Yr (BAU)'!C15</f>
        <v>0.01</v>
      </c>
      <c r="D40" s="295">
        <f>MAX(D64*D$14,'Output - Jobs vs Yr (BAU)'!D15)</f>
        <v>0.01</v>
      </c>
      <c r="E40" s="295">
        <f>MAX(E64*E$14,'Output - Jobs vs Yr (BAU)'!E15)</f>
        <v>1.1470175495036384E-2</v>
      </c>
      <c r="F40" s="295">
        <f>MAX(F64*F$14,'Output - Jobs vs Yr (BAU)'!F15)</f>
        <v>1.1526455279668439E-2</v>
      </c>
      <c r="G40" s="295">
        <f>MAX(G64*G$14,'Output - Jobs vs Yr (BAU)'!G15)</f>
        <v>1.0472710486108519E-2</v>
      </c>
      <c r="H40" s="251">
        <f>'Output - Jobs vs Yr (BAU)'!H15</f>
        <v>0.01</v>
      </c>
      <c r="I40" s="118">
        <f>MAX(I64*I$14,'Output - Jobs vs Yr (BAU)'!I15)</f>
        <v>1.0243371500014642E-2</v>
      </c>
      <c r="J40" s="118">
        <f>MAX(J64*J$14,'Output - Jobs vs Yr (BAU)'!J15)</f>
        <v>1.0938301151983928E-2</v>
      </c>
      <c r="K40" s="118">
        <f>MAX(K64*K$14,'Output - Jobs vs Yr (BAU)'!K15)</f>
        <v>1.1552832184465503E-2</v>
      </c>
      <c r="L40" s="118">
        <f>MAX(L64*L$14,'Output - Jobs vs Yr (BAU)'!L15)</f>
        <v>1.2190514785632213E-2</v>
      </c>
      <c r="M40" s="118">
        <f>MAX(M64*M$14,'Output - Jobs vs Yr (BAU)'!M15)</f>
        <v>1.2795114525646812E-2</v>
      </c>
      <c r="N40" s="184">
        <f>MAX(Inputs!$E18*N$21,'Output - Jobs vs Yr (BAU)'!N15)</f>
        <v>1.3357540157883768E-2</v>
      </c>
      <c r="O40" s="174">
        <f>MAX(O64*O$14,'Output - Jobs vs Yr (BAU)'!O15)</f>
        <v>1.3797436866338166E-2</v>
      </c>
      <c r="P40" s="174">
        <f>MAX(P64*P$14,'Output - Jobs vs Yr (BAU)'!P15)</f>
        <v>1.4169220251651283E-2</v>
      </c>
      <c r="Q40" s="174">
        <f>MAX(Q64*Q$14,'Output - Jobs vs Yr (BAU)'!Q15)</f>
        <v>1.4499132135371408E-2</v>
      </c>
      <c r="R40" s="174">
        <f>MAX(R64*R$14,'Output - Jobs vs Yr (BAU)'!R15)</f>
        <v>1.4796093344402251E-2</v>
      </c>
      <c r="S40" s="174">
        <f>MAX(S64*S$14,'Output - Jobs vs Yr (BAU)'!S15)</f>
        <v>1.5113527390371133E-2</v>
      </c>
      <c r="T40" s="174">
        <f>MAX(T64*T$14,'Output - Jobs vs Yr (BAU)'!T15)</f>
        <v>1.5518322677189075E-2</v>
      </c>
      <c r="U40" s="174">
        <f>MAX(U64*U$14,'Output - Jobs vs Yr (BAU)'!U15)</f>
        <v>1.5846377597746274E-2</v>
      </c>
      <c r="V40" s="174">
        <f>MAX(V64*V$14,'Output - Jobs vs Yr (BAU)'!V15)</f>
        <v>1.6136456062167754E-2</v>
      </c>
      <c r="W40" s="174">
        <f>MAX(W64*W$14,'Output - Jobs vs Yr (BAU)'!W15)</f>
        <v>1.6555724369913087E-2</v>
      </c>
      <c r="X40" s="184">
        <f>Inputs!F18*'Output -Jobs vs Yr'!$X$14</f>
        <v>1.6907544022481874E-2</v>
      </c>
      <c r="Y40" s="174">
        <f>MAX(Y64*Y$14,'Output - Jobs vs Yr (BAU)'!Y15)</f>
        <v>1.731308999868196E-2</v>
      </c>
      <c r="Z40" s="174">
        <f>MAX(Z64*Z$14,'Output - Jobs vs Yr (BAU)'!Z15)</f>
        <v>1.7874490364942403E-2</v>
      </c>
      <c r="AA40" s="174">
        <f>MAX(AA64*AA$14,'Output - Jobs vs Yr (BAU)'!AA15)</f>
        <v>1.8344558486222351E-2</v>
      </c>
      <c r="AB40" s="174">
        <f>MAX(AB64*AB$14,'Output - Jobs vs Yr (BAU)'!AB15)</f>
        <v>1.8818624141186756E-2</v>
      </c>
      <c r="AC40" s="174">
        <f>MAX(AC64*AC$14,'Output - Jobs vs Yr (BAU)'!AC15)</f>
        <v>1.9301925054324591E-2</v>
      </c>
      <c r="AD40" s="174">
        <f>MAX(AD64*AD$14,'Output - Jobs vs Yr (BAU)'!AD15)</f>
        <v>1.9825588176483954E-2</v>
      </c>
      <c r="AE40" s="174">
        <f>MAX(AE64*AE$14,'Output - Jobs vs Yr (BAU)'!AE15)</f>
        <v>2.0437460992406859E-2</v>
      </c>
      <c r="AF40" s="174">
        <f>MAX(AF64*AF$14,'Output - Jobs vs Yr (BAU)'!AF15)</f>
        <v>2.0973987475200795E-2</v>
      </c>
      <c r="AG40" s="174">
        <f>MAX(AG64*AG$14,'Output - Jobs vs Yr (BAU)'!AG15)</f>
        <v>2.1636656439747749E-2</v>
      </c>
      <c r="AH40" s="184">
        <f>Inputs!I18*'Output -Jobs vs Yr'!$AH$14</f>
        <v>2.2236528758643612E-2</v>
      </c>
      <c r="AI40" s="127"/>
    </row>
    <row r="41" spans="1:36" s="217" customFormat="1">
      <c r="A41" s="10" t="s">
        <v>120</v>
      </c>
      <c r="B41" s="37">
        <v>1</v>
      </c>
      <c r="C41" s="295">
        <v>0</v>
      </c>
      <c r="D41" s="295">
        <v>0</v>
      </c>
      <c r="E41" s="295">
        <v>0</v>
      </c>
      <c r="F41" s="295">
        <v>0</v>
      </c>
      <c r="G41" s="295">
        <v>0</v>
      </c>
      <c r="H41" s="251">
        <v>1</v>
      </c>
      <c r="I41" s="251">
        <v>2</v>
      </c>
      <c r="J41" s="251">
        <v>3</v>
      </c>
      <c r="K41" s="251">
        <v>4</v>
      </c>
      <c r="L41" s="251">
        <v>5</v>
      </c>
      <c r="M41" s="251">
        <v>6</v>
      </c>
      <c r="N41" s="252">
        <v>7</v>
      </c>
      <c r="O41" s="251">
        <v>8</v>
      </c>
      <c r="P41" s="251">
        <v>9</v>
      </c>
      <c r="Q41" s="251">
        <v>10</v>
      </c>
      <c r="R41" s="251">
        <v>11</v>
      </c>
      <c r="S41" s="251">
        <v>12</v>
      </c>
      <c r="T41" s="251">
        <v>13</v>
      </c>
      <c r="U41" s="251">
        <v>14</v>
      </c>
      <c r="V41" s="251">
        <v>15</v>
      </c>
      <c r="W41" s="251">
        <v>16</v>
      </c>
      <c r="X41" s="252">
        <v>17</v>
      </c>
      <c r="Y41" s="217">
        <v>18</v>
      </c>
      <c r="Z41" s="217">
        <v>19</v>
      </c>
      <c r="AA41" s="217">
        <v>20</v>
      </c>
      <c r="AB41" s="217">
        <v>21</v>
      </c>
      <c r="AC41" s="217">
        <v>22</v>
      </c>
      <c r="AD41" s="197">
        <v>23</v>
      </c>
      <c r="AE41" s="217">
        <v>24</v>
      </c>
      <c r="AF41" s="217">
        <v>25</v>
      </c>
      <c r="AG41" s="217">
        <v>26</v>
      </c>
      <c r="AH41" s="252">
        <v>27</v>
      </c>
      <c r="AI41" s="217">
        <f>EXP(0.01)</f>
        <v>1.0100501670841679</v>
      </c>
      <c r="AJ41" s="390">
        <v>0.01</v>
      </c>
    </row>
    <row r="42" spans="1:36" s="20" customFormat="1">
      <c r="A42" s="9" t="s">
        <v>53</v>
      </c>
      <c r="B42" s="35">
        <v>1</v>
      </c>
      <c r="C42" s="295">
        <f>EIA_RE_aeo2014!E78*1000</f>
        <v>313</v>
      </c>
      <c r="D42" s="295">
        <f>MAX(D66*D$14,'Output - Jobs vs Yr (BAU)'!D16)</f>
        <v>441</v>
      </c>
      <c r="E42" s="295">
        <f>MAX(E66*E$14,'Output - Jobs vs Yr (BAU)'!E16)</f>
        <v>644.39442073578698</v>
      </c>
      <c r="F42" s="295">
        <f>MAX(F66*F$14,'Output - Jobs vs Yr (BAU)'!F16)</f>
        <v>735.51366956793083</v>
      </c>
      <c r="G42" s="295">
        <f>MAX(G66*G$14,'Output - Jobs vs Yr (BAU)'!G16)</f>
        <v>865.48315060535026</v>
      </c>
      <c r="H42" s="251">
        <f>'Output - Jobs vs Yr (BAU)'!H16</f>
        <v>868.16706320331355</v>
      </c>
      <c r="I42" s="118">
        <f>MAX(I66*I$14,'Output - Jobs vs Yr (BAU)'!I16)</f>
        <v>928.89014946555449</v>
      </c>
      <c r="J42" s="118">
        <f>MAX(J66*J$14,'Output - Jobs vs Yr (BAU)'!J16)</f>
        <v>983.22940741354671</v>
      </c>
      <c r="K42" s="118">
        <f>MAX(K66*K$14,'Output - Jobs vs Yr (BAU)'!K16)</f>
        <v>1056.6819452545401</v>
      </c>
      <c r="L42" s="118">
        <f>MAX(L66*L$14,'Output - Jobs vs Yr (BAU)'!L16)</f>
        <v>1134.5632357393072</v>
      </c>
      <c r="M42" s="118">
        <f>MAX(M66*M$14,'Output - Jobs vs Yr (BAU)'!M16)</f>
        <v>1211.7183295719865</v>
      </c>
      <c r="N42" s="184">
        <f>MAX(Inputs!$E23*N$21,'Output - Jobs vs Yr (BAU)'!N16)</f>
        <v>1287.1667939831095</v>
      </c>
      <c r="O42" s="174">
        <f>MAX(O66*O$14,'Output - Jobs vs Yr (BAU)'!O16)</f>
        <v>1329.5563679025836</v>
      </c>
      <c r="P42" s="174">
        <f>MAX(P66*P$14,'Output - Jobs vs Yr (BAU)'!P16)</f>
        <v>1365.3823674858397</v>
      </c>
      <c r="Q42" s="174">
        <f>MAX(Q66*Q$14,'Output - Jobs vs Yr (BAU)'!Q16)</f>
        <v>1397.1735218934368</v>
      </c>
      <c r="R42" s="174">
        <f>MAX(R66*R$14,'Output - Jobs vs Yr (BAU)'!R16)</f>
        <v>1425.7894648625454</v>
      </c>
      <c r="S42" s="174">
        <f>MAX(S66*S$14,'Output - Jobs vs Yr (BAU)'!S16)</f>
        <v>1456.3782228540158</v>
      </c>
      <c r="T42" s="174">
        <f>MAX(T66*T$14,'Output - Jobs vs Yr (BAU)'!T16)</f>
        <v>1495.3853338485806</v>
      </c>
      <c r="U42" s="174">
        <f>MAX(U66*U$14,'Output - Jobs vs Yr (BAU)'!U16)</f>
        <v>1526.9975465279315</v>
      </c>
      <c r="V42" s="174">
        <f>MAX(V66*V$14,'Output - Jobs vs Yr (BAU)'!V16)</f>
        <v>1554.9502505916785</v>
      </c>
      <c r="W42" s="174">
        <f>MAX(W66*W$14,'Output - Jobs vs Yr (BAU)'!W16)</f>
        <v>1595.3520189652336</v>
      </c>
      <c r="X42" s="184">
        <f>Inputs!F23*'Output -Jobs vs Yr'!$X$14</f>
        <v>1629.2542621106495</v>
      </c>
      <c r="Y42" s="174">
        <f>MAX(Y66*Y$14,'Output - Jobs vs Yr (BAU)'!Y16)</f>
        <v>1668.3337114574754</v>
      </c>
      <c r="Z42" s="174">
        <f>MAX(Z66*Z$14,'Output - Jobs vs Yr (BAU)'!Z16)</f>
        <v>1722.4316891569024</v>
      </c>
      <c r="AA42" s="174">
        <f>MAX(AA66*AA$14,'Output - Jobs vs Yr (BAU)'!AA16)</f>
        <v>1767.7286577207187</v>
      </c>
      <c r="AB42" s="174">
        <f>MAX(AB66*AB$14,'Output - Jobs vs Yr (BAU)'!AB16)</f>
        <v>1813.4108388727548</v>
      </c>
      <c r="AC42" s="174">
        <f>MAX(AC66*AC$14,'Output - Jobs vs Yr (BAU)'!AC16)</f>
        <v>1859.982953164739</v>
      </c>
      <c r="AD42" s="174">
        <f>MAX(AD66*AD$14,'Output - Jobs vs Yr (BAU)'!AD16)</f>
        <v>1910.4444733331231</v>
      </c>
      <c r="AE42" s="174">
        <f>MAX(AE66*AE$14,'Output - Jobs vs Yr (BAU)'!AE16)</f>
        <v>1969.4061056013263</v>
      </c>
      <c r="AF42" s="174">
        <f>MAX(AF66*AF$14,'Output - Jobs vs Yr (BAU)'!AF16)</f>
        <v>2021.1071721586527</v>
      </c>
      <c r="AG42" s="174">
        <f>MAX(AG66*AG$14,'Output - Jobs vs Yr (BAU)'!AG16)</f>
        <v>2084.9636514569447</v>
      </c>
      <c r="AH42" s="184">
        <f>Inputs!I23*'Output -Jobs vs Yr'!$AH$14</f>
        <v>2142.7688850842369</v>
      </c>
      <c r="AI42" s="127"/>
    </row>
    <row r="43" spans="1:36">
      <c r="A43" s="10" t="s">
        <v>332</v>
      </c>
      <c r="B43" s="37"/>
      <c r="C43" s="295">
        <f>SUM(C31:C42)</f>
        <v>11301</v>
      </c>
      <c r="D43" s="295">
        <f t="shared" ref="D43:AG43" si="29">SUM(D31:D42)</f>
        <v>10566.732853249592</v>
      </c>
      <c r="E43" s="295">
        <f t="shared" si="29"/>
        <v>12411.656526862782</v>
      </c>
      <c r="F43" s="295">
        <f t="shared" si="29"/>
        <v>12178.169272507705</v>
      </c>
      <c r="G43" s="295">
        <f t="shared" si="29"/>
        <v>10937.562632925525</v>
      </c>
      <c r="H43" s="251">
        <f t="shared" si="29"/>
        <v>10781.31708491268</v>
      </c>
      <c r="I43" s="83">
        <f t="shared" si="29"/>
        <v>10747.594169412643</v>
      </c>
      <c r="J43" s="83">
        <f t="shared" si="29"/>
        <v>11131.057503221286</v>
      </c>
      <c r="K43" s="83">
        <f t="shared" si="29"/>
        <v>11445.578964006192</v>
      </c>
      <c r="L43" s="83">
        <f t="shared" si="29"/>
        <v>11766.517427100202</v>
      </c>
      <c r="M43" s="83">
        <f t="shared" si="29"/>
        <v>12050.162796307228</v>
      </c>
      <c r="N43" s="184">
        <f t="shared" si="29"/>
        <v>12295.199440055563</v>
      </c>
      <c r="O43" s="83">
        <f t="shared" si="29"/>
        <v>12480.236553630397</v>
      </c>
      <c r="P43" s="83">
        <f t="shared" si="29"/>
        <v>12595.018125991162</v>
      </c>
      <c r="Q43" s="83">
        <f t="shared" si="29"/>
        <v>12665.916676025598</v>
      </c>
      <c r="R43" s="83">
        <f t="shared" si="29"/>
        <v>12704.909172485655</v>
      </c>
      <c r="S43" s="83">
        <f t="shared" si="29"/>
        <v>12767.465526542026</v>
      </c>
      <c r="T43" s="83">
        <f t="shared" si="29"/>
        <v>12900.386473793407</v>
      </c>
      <c r="U43" s="83">
        <f t="shared" si="29"/>
        <v>12962.410376201091</v>
      </c>
      <c r="V43" s="83">
        <f t="shared" si="29"/>
        <v>12980.728884300186</v>
      </c>
      <c r="W43" s="83">
        <f t="shared" si="29"/>
        <v>13087.236449191489</v>
      </c>
      <c r="X43" s="184">
        <f t="shared" si="29"/>
        <v>13087.372196937493</v>
      </c>
      <c r="Y43" s="174">
        <f t="shared" si="29"/>
        <v>13214.018342177973</v>
      </c>
      <c r="Z43" s="174">
        <f t="shared" si="29"/>
        <v>13408.681586281735</v>
      </c>
      <c r="AA43" s="174">
        <f t="shared" si="29"/>
        <v>13522.481637256649</v>
      </c>
      <c r="AB43" s="174">
        <f t="shared" si="29"/>
        <v>13632.196896057791</v>
      </c>
      <c r="AC43" s="174">
        <f t="shared" si="29"/>
        <v>13715.928530487881</v>
      </c>
      <c r="AD43" s="174">
        <f t="shared" si="29"/>
        <v>13818.846731518568</v>
      </c>
      <c r="AE43" s="174">
        <f t="shared" si="29"/>
        <v>13970.750716242925</v>
      </c>
      <c r="AF43" s="174">
        <f t="shared" si="29"/>
        <v>14068.20541703124</v>
      </c>
      <c r="AG43" s="174">
        <f t="shared" si="29"/>
        <v>14240.164301790899</v>
      </c>
      <c r="AH43" s="184">
        <f>SUM(AH31:AH42)</f>
        <v>14184.278565101009</v>
      </c>
      <c r="AI43" s="127"/>
    </row>
    <row r="44" spans="1:36">
      <c r="A44" s="10" t="s">
        <v>124</v>
      </c>
      <c r="B44" s="37"/>
      <c r="C44" s="296">
        <f>SUMPRODUCT($B34:$B42,C34:C42)</f>
        <v>867.01</v>
      </c>
      <c r="D44" s="296">
        <f>SUMPRODUCT($B34:$B42,D34:D42)</f>
        <v>1017.9740409713557</v>
      </c>
      <c r="E44" s="296">
        <f t="shared" ref="E44:AG44" si="30">SUMPRODUCT($B34:$B42*E34:E42)</f>
        <v>1402.2619795406558</v>
      </c>
      <c r="F44" s="296">
        <f t="shared" si="30"/>
        <v>1567.1963669306651</v>
      </c>
      <c r="G44" s="296">
        <f t="shared" si="30"/>
        <v>1690.9863262006979</v>
      </c>
      <c r="H44" s="367">
        <f t="shared" si="30"/>
        <v>1421.7219790946174</v>
      </c>
      <c r="I44" s="14">
        <f>SUMPRODUCT($B34:$B42*I34:I42)</f>
        <v>1548.0008780686076</v>
      </c>
      <c r="J44" s="14">
        <f t="shared" si="30"/>
        <v>1704.7486533641199</v>
      </c>
      <c r="K44" s="14">
        <f t="shared" si="30"/>
        <v>1892.4911765919114</v>
      </c>
      <c r="L44" s="14">
        <f t="shared" si="30"/>
        <v>2094.0276018647237</v>
      </c>
      <c r="M44" s="14">
        <f t="shared" si="30"/>
        <v>2308.8217043383056</v>
      </c>
      <c r="N44" s="182">
        <f t="shared" si="30"/>
        <v>2537.2898416915832</v>
      </c>
      <c r="O44" s="14">
        <f t="shared" si="30"/>
        <v>2621.6185204482599</v>
      </c>
      <c r="P44" s="14">
        <f t="shared" si="30"/>
        <v>2693.0446402314201</v>
      </c>
      <c r="Q44" s="14">
        <f t="shared" si="30"/>
        <v>2756.5391323432536</v>
      </c>
      <c r="R44" s="14">
        <f t="shared" si="30"/>
        <v>2815.9662425836041</v>
      </c>
      <c r="S44" s="14">
        <f t="shared" si="30"/>
        <v>2890.2061344099948</v>
      </c>
      <c r="T44" s="14">
        <f t="shared" si="30"/>
        <v>2984.0314801223521</v>
      </c>
      <c r="U44" s="14">
        <f t="shared" si="30"/>
        <v>3062.2490524136056</v>
      </c>
      <c r="V44" s="14">
        <f t="shared" si="30"/>
        <v>3124.8993340402376</v>
      </c>
      <c r="W44" s="14">
        <f t="shared" si="30"/>
        <v>3202.3161553343934</v>
      </c>
      <c r="X44" s="187">
        <f t="shared" si="30"/>
        <v>3219.7593690436584</v>
      </c>
      <c r="Y44" s="14">
        <f t="shared" si="30"/>
        <v>3373.0104627851597</v>
      </c>
      <c r="Z44" s="14">
        <f t="shared" si="30"/>
        <v>3513.762077135736</v>
      </c>
      <c r="AA44" s="14">
        <f t="shared" si="30"/>
        <v>3632.8667150327437</v>
      </c>
      <c r="AB44" s="14">
        <f t="shared" si="30"/>
        <v>3752.7382921446388</v>
      </c>
      <c r="AC44" s="14">
        <f t="shared" si="30"/>
        <v>3848.6265429126061</v>
      </c>
      <c r="AD44" s="14">
        <f t="shared" si="30"/>
        <v>3950.248620340888</v>
      </c>
      <c r="AE44" s="14">
        <f t="shared" si="30"/>
        <v>4065.4722882537435</v>
      </c>
      <c r="AF44" s="14">
        <f t="shared" si="30"/>
        <v>4171.0681985024439</v>
      </c>
      <c r="AG44" s="14">
        <f t="shared" si="30"/>
        <v>4300.1788809219252</v>
      </c>
      <c r="AH44" s="187">
        <f>SUMPRODUCT($B34:$B42*AH34:AH42)</f>
        <v>4239.217381901005</v>
      </c>
      <c r="AI44" s="127"/>
    </row>
    <row r="45" spans="1:36">
      <c r="A45" s="10" t="s">
        <v>117</v>
      </c>
      <c r="B45" s="37"/>
      <c r="C45" s="297">
        <f t="shared" ref="C45:AG45" si="31">C44/C14</f>
        <v>6.6178917639874824E-2</v>
      </c>
      <c r="D45" s="297">
        <f t="shared" si="31"/>
        <v>8.4661846388169967E-2</v>
      </c>
      <c r="E45" s="297">
        <f t="shared" si="31"/>
        <v>0.10085839881838189</v>
      </c>
      <c r="F45" s="297">
        <f t="shared" si="31"/>
        <v>0.11661631918395961</v>
      </c>
      <c r="G45" s="297">
        <f t="shared" si="31"/>
        <v>0.14397642668459898</v>
      </c>
      <c r="H45" s="249">
        <f t="shared" si="31"/>
        <v>0.11888542936480204</v>
      </c>
      <c r="I45" s="23">
        <f t="shared" si="31"/>
        <v>0.13137748445954875</v>
      </c>
      <c r="J45" s="23">
        <f t="shared" si="31"/>
        <v>0.14085810867980494</v>
      </c>
      <c r="K45" s="23">
        <f t="shared" si="31"/>
        <v>0.1539201511590326</v>
      </c>
      <c r="L45" s="23">
        <f t="shared" si="31"/>
        <v>0.16779891522654941</v>
      </c>
      <c r="M45" s="23">
        <f t="shared" si="31"/>
        <v>0.18325410897692088</v>
      </c>
      <c r="N45" s="178">
        <f t="shared" si="31"/>
        <v>0.20055329629710095</v>
      </c>
      <c r="O45" s="23">
        <f t="shared" si="31"/>
        <v>0.20343565764916255</v>
      </c>
      <c r="P45" s="23">
        <f t="shared" si="31"/>
        <v>0.20635898425390956</v>
      </c>
      <c r="Q45" s="207">
        <f t="shared" si="31"/>
        <v>0.20932337035446477</v>
      </c>
      <c r="R45" s="207">
        <f t="shared" si="31"/>
        <v>0.21249353925999329</v>
      </c>
      <c r="S45" s="207">
        <f t="shared" si="31"/>
        <v>0.21652004738516747</v>
      </c>
      <c r="T45" s="207">
        <f t="shared" si="31"/>
        <v>0.22078193678841684</v>
      </c>
      <c r="U45" s="207">
        <f t="shared" si="31"/>
        <v>0.22500139412737152</v>
      </c>
      <c r="V45" s="207">
        <f t="shared" si="31"/>
        <v>0.22865060572570339</v>
      </c>
      <c r="W45" s="207">
        <f t="shared" si="31"/>
        <v>0.23159559113005462</v>
      </c>
      <c r="X45" s="185">
        <f t="shared" si="31"/>
        <v>0.2312208222814964</v>
      </c>
      <c r="Y45" s="172">
        <f t="shared" si="31"/>
        <v>0.24125158418280232</v>
      </c>
      <c r="Z45" s="172">
        <f t="shared" si="31"/>
        <v>0.24826115690161027</v>
      </c>
      <c r="AA45" s="172">
        <f t="shared" si="31"/>
        <v>0.25506760950352031</v>
      </c>
      <c r="AB45" s="172">
        <f t="shared" si="31"/>
        <v>0.26194887711761178</v>
      </c>
      <c r="AC45" s="172">
        <f t="shared" si="31"/>
        <v>0.26711870217511363</v>
      </c>
      <c r="AD45" s="172">
        <f t="shared" si="31"/>
        <v>0.27223284336496706</v>
      </c>
      <c r="AE45" s="172">
        <f t="shared" si="31"/>
        <v>0.27718469926003919</v>
      </c>
      <c r="AF45" s="172">
        <f t="shared" si="31"/>
        <v>0.28261453580854046</v>
      </c>
      <c r="AG45" s="172">
        <f t="shared" si="31"/>
        <v>0.28804981536870128</v>
      </c>
      <c r="AH45" s="185">
        <f>AH44/AH14</f>
        <v>0.28179477916607149</v>
      </c>
      <c r="AI45" s="127"/>
    </row>
    <row r="46" spans="1:36" s="217" customFormat="1">
      <c r="A46" s="10" t="s">
        <v>333</v>
      </c>
      <c r="B46" s="37"/>
      <c r="C46" s="295">
        <f>SUM(EIA_electricity_aeo2014!E50,EIA_electricity_aeo2014!E55)*1000</f>
        <v>72</v>
      </c>
      <c r="D46" s="295">
        <f>SUM(EIA_electricity_aeo2014!F50,EIA_electricity_aeo2014!F55)*1000</f>
        <v>79</v>
      </c>
      <c r="E46" s="295">
        <f>SUM(EIA_electricity_aeo2014!G50,EIA_electricity_aeo2014!G55)*1000</f>
        <v>42.49619976562704</v>
      </c>
      <c r="F46" s="295">
        <f>SUM(EIA_electricity_aeo2014!H50,EIA_electricity_aeo2014!H55)*1000</f>
        <v>60.713320154025013</v>
      </c>
      <c r="G46" s="295">
        <f>SUM(EIA_electricity_aeo2014!I50,EIA_electricity_aeo2014!I55)*1000</f>
        <v>2.4833006869114138</v>
      </c>
      <c r="H46" s="251">
        <f>SUM(EIA_electricity_aeo2014!J50,EIA_electricity_aeo2014!J55)*1000</f>
        <v>2.4833006869114138</v>
      </c>
      <c r="I46" s="251">
        <f>SUM(EIA_electricity_aeo2014!K50,EIA_electricity_aeo2014!K55)*1000</f>
        <v>2.4833006869114138</v>
      </c>
      <c r="J46" s="251">
        <f>SUM(EIA_electricity_aeo2014!L50,EIA_electricity_aeo2014!L55)*1000</f>
        <v>2.4833006869114138</v>
      </c>
      <c r="K46" s="251">
        <f>SUM(EIA_electricity_aeo2014!M50,EIA_electricity_aeo2014!M55)*1000</f>
        <v>2.5755606739473476</v>
      </c>
      <c r="L46" s="251">
        <f>SUM(EIA_electricity_aeo2014!N50,EIA_electricity_aeo2014!N55)*1000</f>
        <v>2.6244474399863087</v>
      </c>
      <c r="M46" s="251">
        <f>SUM(EIA_electricity_aeo2014!O50,EIA_electricity_aeo2014!O55)*1000</f>
        <v>2.6362096694092156</v>
      </c>
      <c r="N46" s="251">
        <f>SUM(EIA_electricity_aeo2014!P50,EIA_electricity_aeo2014!P55)*1000</f>
        <v>2.6402529357733417</v>
      </c>
      <c r="O46" s="251">
        <f>SUM(EIA_electricity_aeo2014!Q50,EIA_electricity_aeo2014!Q55)*1000</f>
        <v>3.0080063900739447</v>
      </c>
      <c r="P46" s="251">
        <f>SUM(EIA_electricity_aeo2014!R50,EIA_electricity_aeo2014!R55)*1000</f>
        <v>3.1258124691377565</v>
      </c>
      <c r="Q46" s="251">
        <f>SUM(EIA_electricity_aeo2014!S50,EIA_electricity_aeo2014!S55)*1000</f>
        <v>3.1298557355018799</v>
      </c>
      <c r="R46" s="251">
        <f>SUM(EIA_electricity_aeo2014!T50,EIA_electricity_aeo2014!T55)*1000</f>
        <v>3.1631207905885388</v>
      </c>
      <c r="S46" s="251">
        <f>SUM(EIA_electricity_aeo2014!U50,EIA_electricity_aeo2014!U55)*1000</f>
        <v>3.1888506674511521</v>
      </c>
      <c r="T46" s="251">
        <f>SUM(EIA_electricity_aeo2014!V50,EIA_electricity_aeo2014!V55)*1000</f>
        <v>3.2259752040672067</v>
      </c>
      <c r="U46" s="251">
        <f>SUM(EIA_electricity_aeo2014!W50,EIA_electricity_aeo2014!W55)*1000</f>
        <v>3.24711046006149</v>
      </c>
      <c r="V46" s="251">
        <f>SUM(EIA_electricity_aeo2014!X50,EIA_electricity_aeo2014!X55)*1000</f>
        <v>3.2566672714676042</v>
      </c>
      <c r="W46" s="251">
        <f>SUM(EIA_electricity_aeo2014!Y50,EIA_electricity_aeo2014!Y55)*1000</f>
        <v>3.2697159947336432</v>
      </c>
      <c r="X46" s="251">
        <f>SUM(EIA_electricity_aeo2014!Z50,EIA_electricity_aeo2014!Z55)*1000</f>
        <v>3.2862566298596056</v>
      </c>
      <c r="Y46" s="251">
        <f>SUM(EIA_electricity_aeo2014!AA50,EIA_electricity_aeo2014!AA55)*1000</f>
        <v>3.3311001295344429</v>
      </c>
      <c r="Z46" s="251">
        <f>SUM(EIA_electricity_aeo2014!AB50,EIA_electricity_aeo2014!AB55)*1000</f>
        <v>3.3537056642065939</v>
      </c>
      <c r="AA46" s="251">
        <f>SUM(EIA_electricity_aeo2014!AC50,EIA_electricity_aeo2014!AC55)*1000</f>
        <v>3.3663868178031664</v>
      </c>
      <c r="AB46" s="251">
        <f>SUM(EIA_electricity_aeo2014!AD50,EIA_electricity_aeo2014!AD55)*1000</f>
        <v>3.3805382500776013</v>
      </c>
      <c r="AC46" s="251">
        <f>SUM(EIA_electricity_aeo2014!AE50,EIA_electricity_aeo2014!AE55)*1000</f>
        <v>3.3950572520215023</v>
      </c>
      <c r="AD46" s="251">
        <f>SUM(EIA_electricity_aeo2014!AF50,EIA_electricity_aeo2014!AF55)*1000</f>
        <v>3.4474359299203896</v>
      </c>
      <c r="AE46" s="251">
        <f>SUM(EIA_electricity_aeo2014!AG50,EIA_electricity_aeo2014!AG55)*1000</f>
        <v>3.4685711859146782</v>
      </c>
      <c r="AF46" s="251">
        <f>SUM(EIA_electricity_aeo2014!AH50,EIA_electricity_aeo2014!AH55)*1000</f>
        <v>3.4887875177353012</v>
      </c>
      <c r="AG46" s="251">
        <f>SUM(EIA_electricity_aeo2014!AI50,EIA_electricity_aeo2014!AI55)*1000</f>
        <v>3.5025713803402696</v>
      </c>
      <c r="AH46" s="251">
        <f>SUM(EIA_electricity_aeo2014!AJ50,EIA_electricity_aeo2014!AJ55)*1000</f>
        <v>3.5194795851357008</v>
      </c>
      <c r="AI46" s="257"/>
    </row>
    <row r="47" spans="1:36" s="217" customFormat="1">
      <c r="A47" s="10" t="s">
        <v>142</v>
      </c>
      <c r="B47" s="37"/>
      <c r="C47" s="295">
        <f>(C$14-C$43-C$46)*0.7</f>
        <v>1209.5999999999999</v>
      </c>
      <c r="D47" s="295">
        <f>(D$14-D$30-D$43-D$46)*EIA_electricity_aeo2014!F60</f>
        <v>68.254084926300436</v>
      </c>
      <c r="E47" s="295">
        <f>(E$14-E$30-E$43-E$46)*EIA_electricity_aeo2014!G60</f>
        <v>119.23404898576875</v>
      </c>
      <c r="F47" s="295">
        <f>(F$14-F$30-F$43-F$46)*EIA_electricity_aeo2014!H60</f>
        <v>83.789662353859157</v>
      </c>
      <c r="G47" s="295">
        <f>(G$14-G$30-G$43-G$46)*EIA_electricity_aeo2014!I60</f>
        <v>42.824843139989191</v>
      </c>
      <c r="H47" s="251">
        <f>(H$14-H$30-H$43-H$46)*EIA_electricity_aeo2014!J60</f>
        <v>66.042085214308017</v>
      </c>
      <c r="I47" s="251">
        <f>(I$14-I$30-I$43-I$46)*EIA_electricity_aeo2014!K60</f>
        <v>93.676224576480138</v>
      </c>
      <c r="J47" s="251">
        <f>(J$14-J$30-J$43-J$46)*EIA_electricity_aeo2014!L60</f>
        <v>81.426416314446485</v>
      </c>
      <c r="K47" s="251">
        <f>(K$14-K$30-K$43-K$46)*EIA_electricity_aeo2014!M60</f>
        <v>73.558394472170761</v>
      </c>
      <c r="L47" s="251">
        <f>(L$14-L$30-L$43-L$46)*EIA_electricity_aeo2014!N60</f>
        <v>56.657391688237929</v>
      </c>
      <c r="M47" s="251">
        <f>(M$14-M$30-M$43-M$46)*EIA_electricity_aeo2014!O60</f>
        <v>41.965529932313402</v>
      </c>
      <c r="N47" s="252">
        <f>(N$14-N$43-N$46)*EIA_electricity_aeo2014!P60 - N30</f>
        <v>26.144910677650909</v>
      </c>
      <c r="O47" s="251">
        <f>(O$14-O$43-O$46)*EIA_electricity_aeo2014!Q60 - O30</f>
        <v>25.479794922728097</v>
      </c>
      <c r="P47" s="251">
        <f>(P$14-P$43-P$46)*EIA_electricity_aeo2014!R60 - P30</f>
        <v>25.329893486067245</v>
      </c>
      <c r="Q47" s="251">
        <f>(Q$14-Q$43-Q$46)*EIA_electricity_aeo2014!S60 - Q30</f>
        <v>26.233867437934286</v>
      </c>
      <c r="R47" s="251">
        <f>(R$14-R$43-R$46)*EIA_electricity_aeo2014!T60 - R30</f>
        <v>27.855793885781246</v>
      </c>
      <c r="S47" s="251">
        <f>(S$14-S$43-S$46)*EIA_electricity_aeo2014!U60 - S30</f>
        <v>28.224528922138255</v>
      </c>
      <c r="T47" s="251">
        <f>(T$14-T$43-T$46)*EIA_electricity_aeo2014!V60 - T30</f>
        <v>28.020461352295971</v>
      </c>
      <c r="U47" s="251">
        <f>(U$14-U$43-U$46)*EIA_electricity_aeo2014!W60 - U30</f>
        <v>28.454620388506957</v>
      </c>
      <c r="V47" s="251">
        <f>(V$14-V$43-V$46)*EIA_electricity_aeo2014!X60 - V30</f>
        <v>29.41565205106631</v>
      </c>
      <c r="W47" s="251">
        <f>(W$14-W$43-W$46)*EIA_electricity_aeo2014!Y60 - W30</f>
        <v>30.195197845513096</v>
      </c>
      <c r="X47" s="252">
        <f>(X$14-X$43-X$46)*EIA_electricity_aeo2014!Z60 - X30</f>
        <v>32.772943720932133</v>
      </c>
      <c r="Y47" s="251">
        <f>(Y$14-Y$43-Y$46)*EIA_electricity_aeo2014!AA60 - Y30</f>
        <v>29.98807884653176</v>
      </c>
      <c r="Z47" s="251">
        <f>(Z$14-Z$43-Z$46)*EIA_electricity_aeo2014!AB60 - Z30</f>
        <v>27.913807210145961</v>
      </c>
      <c r="AA47" s="251">
        <f>(AA$14-AA$43-AA$46)*EIA_electricity_aeo2014!AC60 - AA30</f>
        <v>26.492964143456483</v>
      </c>
      <c r="AB47" s="251">
        <f>(AB$14-AB$43-AB$46)*EIA_electricity_aeo2014!AD60 - AB30</f>
        <v>25.272033641546074</v>
      </c>
      <c r="AC47" s="251">
        <f>(AC$14-AC$43-AC$46)*EIA_electricity_aeo2014!AE60 - AC30</f>
        <v>24.891975435264346</v>
      </c>
      <c r="AD47" s="251">
        <f>(AD$14-AD$43-AD$46)*EIA_electricity_aeo2014!AF60 - AD30</f>
        <v>25.019723875873154</v>
      </c>
      <c r="AE47" s="251">
        <f>(AE$14-AE$43-AE$46)*EIA_electricity_aeo2014!AG60 - AE30</f>
        <v>25.079606424710178</v>
      </c>
      <c r="AF47" s="251">
        <f>(AF$14-AF$43-AF$46)*EIA_electricity_aeo2014!AH60 - AF30</f>
        <v>24.468627297934173</v>
      </c>
      <c r="AG47" s="251">
        <f>(AG$14-AG$43-AG$46)*EIA_electricity_aeo2014!AI60 - AG30</f>
        <v>23.517436435994423</v>
      </c>
      <c r="AH47" s="252">
        <f>(AH$14-AH$43-AH$46)*EIA_electricity_aeo2014!AJ60 - AH30</f>
        <v>28.47220906944559</v>
      </c>
      <c r="AI47" s="257"/>
      <c r="AJ47" s="363"/>
    </row>
    <row r="48" spans="1:36" s="217" customFormat="1">
      <c r="A48" s="10" t="s">
        <v>222</v>
      </c>
      <c r="B48" s="37"/>
      <c r="C48" s="295">
        <f>(C$14-C$43-C$46)* 0.3</f>
        <v>518.4</v>
      </c>
      <c r="D48" s="295">
        <f t="shared" ref="D48:AH48" si="32">(D$14-SUM(D30:D42,D46:D47))</f>
        <v>1310.0130618241074</v>
      </c>
      <c r="E48" s="295">
        <f t="shared" si="32"/>
        <v>1329.8874778839599</v>
      </c>
      <c r="F48" s="295">
        <f>(F$14-SUM(F30:F42,F46:F47))</f>
        <v>1116.2390217024513</v>
      </c>
      <c r="G48" s="295">
        <f t="shared" si="32"/>
        <v>762.01250129312575</v>
      </c>
      <c r="H48" s="251">
        <f t="shared" si="32"/>
        <v>1108.9146846322765</v>
      </c>
      <c r="I48" s="251">
        <f t="shared" si="32"/>
        <v>939.09390996993716</v>
      </c>
      <c r="J48" s="251">
        <f t="shared" si="32"/>
        <v>887.62786174960456</v>
      </c>
      <c r="K48" s="251">
        <f t="shared" si="32"/>
        <v>773.56591432909227</v>
      </c>
      <c r="L48" s="251">
        <f t="shared" si="32"/>
        <v>653.5877371829265</v>
      </c>
      <c r="M48" s="251">
        <f t="shared" si="32"/>
        <v>504.25284617376201</v>
      </c>
      <c r="N48" s="252">
        <f t="shared" si="32"/>
        <v>327.46460478892732</v>
      </c>
      <c r="O48" s="251">
        <f t="shared" si="32"/>
        <v>377.99644288961827</v>
      </c>
      <c r="P48" s="251">
        <f t="shared" si="32"/>
        <v>426.81641816373667</v>
      </c>
      <c r="Q48" s="251">
        <f t="shared" si="32"/>
        <v>473.5269235350479</v>
      </c>
      <c r="R48" s="251">
        <f t="shared" si="32"/>
        <v>516.08066750496255</v>
      </c>
      <c r="S48" s="251">
        <f t="shared" si="32"/>
        <v>549.56697365616856</v>
      </c>
      <c r="T48" s="251">
        <f t="shared" si="32"/>
        <v>584.10811235017718</v>
      </c>
      <c r="U48" s="251">
        <f t="shared" si="32"/>
        <v>615.7993527881863</v>
      </c>
      <c r="V48" s="251">
        <f t="shared" si="32"/>
        <v>653.29923708797469</v>
      </c>
      <c r="W48" s="251">
        <f t="shared" si="32"/>
        <v>706.48826397676748</v>
      </c>
      <c r="X48" s="252">
        <f t="shared" si="32"/>
        <v>801.60933768414543</v>
      </c>
      <c r="Y48" s="251">
        <f t="shared" si="32"/>
        <v>733.9611891140994</v>
      </c>
      <c r="Z48" s="251">
        <f t="shared" si="32"/>
        <v>713.54201072500473</v>
      </c>
      <c r="AA48" s="251">
        <f t="shared" si="32"/>
        <v>690.41889063924827</v>
      </c>
      <c r="AB48" s="251">
        <f t="shared" si="32"/>
        <v>665.37453972100775</v>
      </c>
      <c r="AC48" s="251">
        <f t="shared" si="32"/>
        <v>663.7106193561558</v>
      </c>
      <c r="AD48" s="251">
        <f t="shared" si="32"/>
        <v>663.23733942855324</v>
      </c>
      <c r="AE48" s="251">
        <f t="shared" si="32"/>
        <v>667.71663444494698</v>
      </c>
      <c r="AF48" s="251">
        <f t="shared" si="32"/>
        <v>662.69656853498782</v>
      </c>
      <c r="AG48" s="251">
        <f t="shared" si="32"/>
        <v>661.410160823978</v>
      </c>
      <c r="AH48" s="252">
        <f t="shared" si="32"/>
        <v>827.3632530337145</v>
      </c>
      <c r="AI48" s="257"/>
    </row>
    <row r="49" spans="1:35" s="217" customFormat="1">
      <c r="A49" s="10" t="s">
        <v>334</v>
      </c>
      <c r="B49" s="37"/>
      <c r="C49" s="295">
        <f>SUM(C43,C46:C48)</f>
        <v>13101</v>
      </c>
      <c r="D49" s="295">
        <f t="shared" ref="D49:M49" si="33">SUM(D43,D46:D48)+D30</f>
        <v>12024</v>
      </c>
      <c r="E49" s="295">
        <f t="shared" si="33"/>
        <v>13903.274253498137</v>
      </c>
      <c r="F49" s="295">
        <f t="shared" si="33"/>
        <v>13438.911276718041</v>
      </c>
      <c r="G49" s="295">
        <f t="shared" si="33"/>
        <v>11744.883278045552</v>
      </c>
      <c r="H49" s="251">
        <f>SUM(H43,H46:H48)+H30</f>
        <v>11958.757155446177</v>
      </c>
      <c r="I49" s="251">
        <f t="shared" si="33"/>
        <v>11782.847604645973</v>
      </c>
      <c r="J49" s="251">
        <f t="shared" si="33"/>
        <v>12102.595081972249</v>
      </c>
      <c r="K49" s="251">
        <f t="shared" si="33"/>
        <v>12295.278833481403</v>
      </c>
      <c r="L49" s="251">
        <f t="shared" si="33"/>
        <v>12479.387003411352</v>
      </c>
      <c r="M49" s="251">
        <f t="shared" si="33"/>
        <v>12599.017382082711</v>
      </c>
      <c r="N49" s="252">
        <f t="shared" ref="N49:AH49" si="34">SUM(N43,N46:N48)+N30</f>
        <v>12651.449208457914</v>
      </c>
      <c r="O49" s="251">
        <f t="shared" si="34"/>
        <v>12886.720797832817</v>
      </c>
      <c r="P49" s="251">
        <f t="shared" si="34"/>
        <v>13050.290250110103</v>
      </c>
      <c r="Q49" s="251">
        <f t="shared" si="34"/>
        <v>13168.807322734081</v>
      </c>
      <c r="R49" s="251">
        <f t="shared" si="34"/>
        <v>13252.008754666987</v>
      </c>
      <c r="S49" s="251">
        <f t="shared" si="34"/>
        <v>13348.445879787785</v>
      </c>
      <c r="T49" s="251">
        <f t="shared" si="34"/>
        <v>13515.741022699947</v>
      </c>
      <c r="U49" s="251">
        <f t="shared" si="34"/>
        <v>13609.911459837846</v>
      </c>
      <c r="V49" s="251">
        <f t="shared" si="34"/>
        <v>13666.700440710694</v>
      </c>
      <c r="W49" s="251">
        <f t="shared" si="34"/>
        <v>13827.189627008502</v>
      </c>
      <c r="X49" s="252">
        <f t="shared" si="34"/>
        <v>13925.04073497243</v>
      </c>
      <c r="Y49" s="251">
        <f t="shared" si="34"/>
        <v>13981.29871026814</v>
      </c>
      <c r="Z49" s="251">
        <f t="shared" si="34"/>
        <v>14153.491109881094</v>
      </c>
      <c r="AA49" s="251">
        <f t="shared" si="34"/>
        <v>14242.759878857158</v>
      </c>
      <c r="AB49" s="251">
        <f t="shared" si="34"/>
        <v>14326.224007670422</v>
      </c>
      <c r="AC49" s="251">
        <f t="shared" si="34"/>
        <v>14407.926182531322</v>
      </c>
      <c r="AD49" s="251">
        <f t="shared" si="34"/>
        <v>14510.551230752915</v>
      </c>
      <c r="AE49" s="251">
        <f t="shared" si="34"/>
        <v>14667.015528298496</v>
      </c>
      <c r="AF49" s="251">
        <f t="shared" si="34"/>
        <v>14758.859400381898</v>
      </c>
      <c r="AG49" s="251">
        <f t="shared" si="34"/>
        <v>14928.594470431211</v>
      </c>
      <c r="AH49" s="252">
        <f t="shared" si="34"/>
        <v>15043.633506789303</v>
      </c>
      <c r="AI49" s="257"/>
    </row>
    <row r="50" spans="1:35">
      <c r="A50" s="10"/>
      <c r="B50" s="37"/>
      <c r="C50" s="297" t="b">
        <f t="shared" ref="C50:AH50" si="35">(C49=C14)</f>
        <v>1</v>
      </c>
      <c r="D50" s="297" t="b">
        <f t="shared" si="35"/>
        <v>1</v>
      </c>
      <c r="E50" s="297" t="b">
        <f t="shared" si="35"/>
        <v>1</v>
      </c>
      <c r="F50" s="297" t="b">
        <f t="shared" si="35"/>
        <v>1</v>
      </c>
      <c r="G50" s="297" t="b">
        <f t="shared" si="35"/>
        <v>1</v>
      </c>
      <c r="H50" s="249"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297"/>
      <c r="D51" s="297">
        <f>D44/C44-1</f>
        <v>0.1741202996174851</v>
      </c>
      <c r="E51" s="297">
        <f t="shared" ref="E51:X51" si="36">E44/D44-1</f>
        <v>0.37750268975681411</v>
      </c>
      <c r="F51" s="297">
        <f t="shared" si="36"/>
        <v>0.11762023772764452</v>
      </c>
      <c r="G51" s="297">
        <f>G44/F44-1</f>
        <v>7.8988161204376572E-2</v>
      </c>
      <c r="H51" s="249"/>
      <c r="I51" s="164">
        <f t="shared" ref="I51:N51" si="37">I44/H44-1</f>
        <v>8.8821092190195516E-2</v>
      </c>
      <c r="J51" s="172">
        <f t="shared" si="37"/>
        <v>0.10125819533841729</v>
      </c>
      <c r="K51" s="172">
        <f t="shared" si="37"/>
        <v>0.11012915180035709</v>
      </c>
      <c r="L51" s="172">
        <f t="shared" si="37"/>
        <v>0.10649266309169736</v>
      </c>
      <c r="M51" s="172">
        <f t="shared" si="37"/>
        <v>0.10257462809100915</v>
      </c>
      <c r="N51" s="172">
        <f t="shared" si="37"/>
        <v>9.8954430705490593E-2</v>
      </c>
      <c r="O51" s="172">
        <f t="shared" ref="O51:R51" si="38">O44/N44-1</f>
        <v>3.323572946654596E-2</v>
      </c>
      <c r="P51" s="172">
        <f t="shared" si="38"/>
        <v>2.7245046991408728E-2</v>
      </c>
      <c r="Q51" s="172">
        <f t="shared" si="38"/>
        <v>2.3577214860566631E-2</v>
      </c>
      <c r="R51" s="172">
        <f t="shared" si="38"/>
        <v>2.1558594812994158E-2</v>
      </c>
      <c r="S51" s="164">
        <f t="shared" si="36"/>
        <v>2.6363913992902388E-2</v>
      </c>
      <c r="T51" s="164">
        <f t="shared" si="36"/>
        <v>3.2463202051680184E-2</v>
      </c>
      <c r="U51" s="164">
        <f t="shared" si="36"/>
        <v>2.6212046626279628E-2</v>
      </c>
      <c r="V51" s="164">
        <f t="shared" si="36"/>
        <v>2.045891126237831E-2</v>
      </c>
      <c r="W51" s="164">
        <f t="shared" si="36"/>
        <v>2.4774180867471962E-2</v>
      </c>
      <c r="X51" s="185">
        <f t="shared" si="36"/>
        <v>5.4470617088222539E-3</v>
      </c>
      <c r="Y51" s="172">
        <f t="shared" ref="Y51:AH51" si="39">Y44/X44-1</f>
        <v>4.7597064307020043E-2</v>
      </c>
      <c r="Z51" s="172">
        <f t="shared" si="39"/>
        <v>4.1728780833473866E-2</v>
      </c>
      <c r="AA51" s="172">
        <f t="shared" si="39"/>
        <v>3.3896614307505013E-2</v>
      </c>
      <c r="AB51" s="172">
        <f t="shared" si="39"/>
        <v>3.2996414819147724E-2</v>
      </c>
      <c r="AC51" s="172">
        <f t="shared" si="39"/>
        <v>2.5551542181527553E-2</v>
      </c>
      <c r="AD51" s="172">
        <f t="shared" si="39"/>
        <v>2.6404764477713005E-2</v>
      </c>
      <c r="AE51" s="172">
        <f t="shared" si="39"/>
        <v>2.9168712905698557E-2</v>
      </c>
      <c r="AF51" s="172">
        <f t="shared" si="39"/>
        <v>2.5973835943684964E-2</v>
      </c>
      <c r="AG51" s="172">
        <f t="shared" si="39"/>
        <v>3.0953865119212498E-2</v>
      </c>
      <c r="AH51" s="185">
        <f t="shared" si="39"/>
        <v>-1.4176503049996514E-2</v>
      </c>
      <c r="AI51" s="127"/>
    </row>
    <row r="52" spans="1:35">
      <c r="A52" s="10"/>
      <c r="B52" s="37"/>
      <c r="C52" s="297"/>
      <c r="D52" s="297"/>
      <c r="E52" s="297"/>
      <c r="F52" s="297"/>
      <c r="G52" s="297"/>
      <c r="H52" s="249"/>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44"/>
      <c r="AI52" s="127"/>
    </row>
    <row r="53" spans="1:35">
      <c r="A53" s="1" t="s">
        <v>542</v>
      </c>
      <c r="B53" s="37"/>
      <c r="C53" s="297"/>
      <c r="D53" s="297"/>
      <c r="E53" s="297"/>
      <c r="F53" s="297"/>
      <c r="G53" s="297"/>
      <c r="H53" s="249"/>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44"/>
      <c r="AI53" s="127"/>
    </row>
    <row r="54" spans="1:35">
      <c r="A54" s="9" t="s">
        <v>282</v>
      </c>
      <c r="B54" s="37"/>
      <c r="C54" s="297"/>
      <c r="D54" s="297"/>
      <c r="E54" s="297"/>
      <c r="F54" s="297"/>
      <c r="G54" s="297"/>
      <c r="H54" s="249"/>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44"/>
      <c r="AI54" s="127"/>
    </row>
    <row r="55" spans="1:35">
      <c r="A55" s="20" t="s">
        <v>122</v>
      </c>
      <c r="B55" s="37"/>
      <c r="C55" s="297"/>
      <c r="D55" s="297"/>
      <c r="E55" s="297"/>
      <c r="F55" s="297"/>
      <c r="G55" s="297"/>
      <c r="H55" s="249"/>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44"/>
      <c r="AI55" s="127"/>
    </row>
    <row r="56" spans="1:35">
      <c r="A56" s="9" t="s">
        <v>49</v>
      </c>
      <c r="B56" s="37"/>
      <c r="C56" s="301">
        <f t="shared" ref="C56:M56" si="40">C31/C$49</f>
        <v>0.79642699030608344</v>
      </c>
      <c r="D56" s="301">
        <f t="shared" si="40"/>
        <v>0.79414161778761116</v>
      </c>
      <c r="E56" s="301">
        <f t="shared" si="40"/>
        <v>0.79185624526913889</v>
      </c>
      <c r="F56" s="301">
        <f t="shared" si="40"/>
        <v>0.78957087275066662</v>
      </c>
      <c r="G56" s="301">
        <f t="shared" si="40"/>
        <v>0.78728550023219424</v>
      </c>
      <c r="H56" s="361">
        <f t="shared" si="40"/>
        <v>0.78265617272406751</v>
      </c>
      <c r="I56" s="173">
        <f t="shared" si="40"/>
        <v>0.78076145937053765</v>
      </c>
      <c r="J56" s="173">
        <f t="shared" si="40"/>
        <v>0.77886674601700778</v>
      </c>
      <c r="K56" s="173">
        <f t="shared" si="40"/>
        <v>0.77697203266347781</v>
      </c>
      <c r="L56" s="173">
        <f t="shared" si="40"/>
        <v>0.77507731930994805</v>
      </c>
      <c r="M56" s="173">
        <f t="shared" si="40"/>
        <v>0.7731826059564183</v>
      </c>
      <c r="N56" s="178">
        <f>N26</f>
        <v>0.77128789260288799</v>
      </c>
      <c r="O56" s="116">
        <f t="shared" ref="O56:AH56" si="41">O31/O$49</f>
        <v>0.76502146572773422</v>
      </c>
      <c r="P56" s="116">
        <f t="shared" si="41"/>
        <v>0.75875503885258044</v>
      </c>
      <c r="Q56" s="116">
        <f t="shared" si="41"/>
        <v>0.75248861197742678</v>
      </c>
      <c r="R56" s="116">
        <f t="shared" si="41"/>
        <v>0.74622218510227289</v>
      </c>
      <c r="S56" s="116">
        <f t="shared" si="41"/>
        <v>0.73995575822711912</v>
      </c>
      <c r="T56" s="116">
        <f t="shared" si="41"/>
        <v>0.73368933135196535</v>
      </c>
      <c r="U56" s="116">
        <f t="shared" si="41"/>
        <v>0.72742290447681157</v>
      </c>
      <c r="V56" s="116">
        <f t="shared" si="41"/>
        <v>0.7211564776016578</v>
      </c>
      <c r="W56" s="116">
        <f t="shared" si="41"/>
        <v>0.71489005072650402</v>
      </c>
      <c r="X56" s="178">
        <f t="shared" si="41"/>
        <v>0.70862362385135036</v>
      </c>
      <c r="Y56" s="173">
        <f t="shared" si="41"/>
        <v>0.70386936745478335</v>
      </c>
      <c r="Z56" s="173">
        <f t="shared" si="41"/>
        <v>0.69911511105821633</v>
      </c>
      <c r="AA56" s="173">
        <f t="shared" si="41"/>
        <v>0.69436085466164932</v>
      </c>
      <c r="AB56" s="173">
        <f t="shared" si="41"/>
        <v>0.6896065982650823</v>
      </c>
      <c r="AC56" s="173">
        <f t="shared" si="41"/>
        <v>0.68485234186851529</v>
      </c>
      <c r="AD56" s="173">
        <f t="shared" si="41"/>
        <v>0.68009808547194828</v>
      </c>
      <c r="AE56" s="173">
        <f t="shared" si="41"/>
        <v>0.67534382907538126</v>
      </c>
      <c r="AF56" s="173">
        <f t="shared" si="41"/>
        <v>0.67058957267881425</v>
      </c>
      <c r="AG56" s="173">
        <f t="shared" si="41"/>
        <v>0.66583531628224724</v>
      </c>
      <c r="AH56" s="178">
        <f t="shared" si="41"/>
        <v>0.66108105988568011</v>
      </c>
      <c r="AI56" s="127"/>
    </row>
    <row r="57" spans="1:35">
      <c r="A57" s="9" t="s">
        <v>59</v>
      </c>
      <c r="B57" s="37"/>
      <c r="C57" s="301">
        <f t="shared" ref="C57:M57" si="42">C32/C$49</f>
        <v>0</v>
      </c>
      <c r="D57" s="301">
        <f t="shared" si="42"/>
        <v>0</v>
      </c>
      <c r="E57" s="301">
        <f t="shared" si="42"/>
        <v>0</v>
      </c>
      <c r="F57" s="301">
        <f t="shared" si="42"/>
        <v>0</v>
      </c>
      <c r="G57" s="301">
        <f t="shared" si="42"/>
        <v>0</v>
      </c>
      <c r="H57" s="361">
        <f t="shared" si="42"/>
        <v>0</v>
      </c>
      <c r="I57" s="116">
        <f t="shared" si="42"/>
        <v>0</v>
      </c>
      <c r="J57" s="116">
        <f t="shared" si="42"/>
        <v>0</v>
      </c>
      <c r="K57" s="116">
        <f t="shared" si="42"/>
        <v>0</v>
      </c>
      <c r="L57" s="116">
        <f t="shared" si="42"/>
        <v>0</v>
      </c>
      <c r="M57" s="116">
        <f t="shared" si="42"/>
        <v>0</v>
      </c>
      <c r="N57" s="178">
        <f>N18</f>
        <v>0</v>
      </c>
      <c r="O57" s="116">
        <f t="shared" ref="O57:AH57" si="43">O32/O$49</f>
        <v>0</v>
      </c>
      <c r="P57" s="116">
        <f t="shared" si="43"/>
        <v>0</v>
      </c>
      <c r="Q57" s="116">
        <f t="shared" si="43"/>
        <v>0</v>
      </c>
      <c r="R57" s="116">
        <f t="shared" si="43"/>
        <v>0</v>
      </c>
      <c r="S57" s="116">
        <f t="shared" si="43"/>
        <v>0</v>
      </c>
      <c r="T57" s="116">
        <f t="shared" si="43"/>
        <v>0</v>
      </c>
      <c r="U57" s="116">
        <f t="shared" si="43"/>
        <v>0</v>
      </c>
      <c r="V57" s="116">
        <f t="shared" si="43"/>
        <v>0</v>
      </c>
      <c r="W57" s="116">
        <f>W32/W$49</f>
        <v>0</v>
      </c>
      <c r="X57" s="178">
        <f t="shared" si="43"/>
        <v>0</v>
      </c>
      <c r="Y57" s="173">
        <f t="shared" si="43"/>
        <v>0</v>
      </c>
      <c r="Z57" s="173">
        <f t="shared" si="43"/>
        <v>0</v>
      </c>
      <c r="AA57" s="173">
        <f t="shared" si="43"/>
        <v>0</v>
      </c>
      <c r="AB57" s="173">
        <f t="shared" si="43"/>
        <v>0</v>
      </c>
      <c r="AC57" s="173">
        <f t="shared" si="43"/>
        <v>0</v>
      </c>
      <c r="AD57" s="173">
        <f t="shared" si="43"/>
        <v>0</v>
      </c>
      <c r="AE57" s="173">
        <f t="shared" si="43"/>
        <v>0</v>
      </c>
      <c r="AF57" s="173">
        <f t="shared" si="43"/>
        <v>0</v>
      </c>
      <c r="AG57" s="173">
        <f t="shared" si="43"/>
        <v>0</v>
      </c>
      <c r="AH57" s="178">
        <f t="shared" si="43"/>
        <v>0</v>
      </c>
      <c r="AI57" s="127"/>
    </row>
    <row r="58" spans="1:35">
      <c r="A58" s="9" t="s">
        <v>121</v>
      </c>
      <c r="B58" s="37"/>
      <c r="C58" s="301">
        <f>C34/C$49</f>
        <v>3.6485764445462178E-2</v>
      </c>
      <c r="D58" s="301">
        <f t="shared" ref="D58:G59" si="44">C58*($N71)</f>
        <v>4.1153093760494412E-2</v>
      </c>
      <c r="E58" s="301">
        <f t="shared" si="44"/>
        <v>4.6417476837892553E-2</v>
      </c>
      <c r="F58" s="301">
        <f t="shared" si="44"/>
        <v>5.2355289945773605E-2</v>
      </c>
      <c r="G58" s="301">
        <f t="shared" si="44"/>
        <v>5.9052679551689156E-2</v>
      </c>
      <c r="H58" s="361">
        <f>H34/H$49</f>
        <v>4.0944196286473111E-2</v>
      </c>
      <c r="I58" s="116">
        <f t="shared" ref="I58:N59" si="45">H58*($N71)</f>
        <v>4.6181856796339654E-2</v>
      </c>
      <c r="J58" s="116">
        <f t="shared" si="45"/>
        <v>5.2089528934342093E-2</v>
      </c>
      <c r="K58" s="116">
        <f t="shared" si="45"/>
        <v>5.8752921879414728E-2</v>
      </c>
      <c r="L58" s="116">
        <f t="shared" si="45"/>
        <v>6.6268708893867614E-2</v>
      </c>
      <c r="M58" s="116">
        <f t="shared" si="45"/>
        <v>7.4745929870065467E-2</v>
      </c>
      <c r="N58" s="178">
        <f t="shared" si="45"/>
        <v>8.4307573293581267E-2</v>
      </c>
      <c r="O58" s="116">
        <f t="shared" ref="O58:W58" si="46">N58*$X71</f>
        <v>8.5494144876332487E-2</v>
      </c>
      <c r="P58" s="116">
        <f t="shared" si="46"/>
        <v>8.6697416644677824E-2</v>
      </c>
      <c r="Q58" s="116">
        <f t="shared" si="46"/>
        <v>8.7917623642337295E-2</v>
      </c>
      <c r="R58" s="116">
        <f t="shared" si="46"/>
        <v>8.9155004221110945E-2</v>
      </c>
      <c r="S58" s="116">
        <f t="shared" si="46"/>
        <v>9.0409800087437805E-2</v>
      </c>
      <c r="T58" s="116">
        <f t="shared" si="46"/>
        <v>9.1682256349610164E-2</v>
      </c>
      <c r="U58" s="116">
        <f t="shared" si="46"/>
        <v>9.2972621565652294E-2</v>
      </c>
      <c r="V58" s="116">
        <f t="shared" si="46"/>
        <v>9.4281147791873118E-2</v>
      </c>
      <c r="W58" s="116">
        <f t="shared" si="46"/>
        <v>9.5608090632102183E-2</v>
      </c>
      <c r="X58" s="178">
        <f t="shared" ref="X58:X66" si="47">X34/X$49</f>
        <v>9.6953709287618442E-2</v>
      </c>
      <c r="Y58" s="173">
        <f>X58*$AH71</f>
        <v>9.8879770249826707E-2</v>
      </c>
      <c r="Z58" s="173">
        <f t="shared" ref="Z58:AG58" si="48">Y58*$AH71</f>
        <v>0.1008440939134561</v>
      </c>
      <c r="AA58" s="173">
        <f t="shared" si="48"/>
        <v>0.10284744039687709</v>
      </c>
      <c r="AB58" s="173">
        <f t="shared" si="48"/>
        <v>0.10489058491880372</v>
      </c>
      <c r="AC58" s="173">
        <f t="shared" si="48"/>
        <v>0.10697431809827371</v>
      </c>
      <c r="AD58" s="173">
        <f t="shared" si="48"/>
        <v>0.10909944626058782</v>
      </c>
      <c r="AE58" s="173">
        <f t="shared" si="48"/>
        <v>0.11126679174932706</v>
      </c>
      <c r="AF58" s="173">
        <f t="shared" si="48"/>
        <v>0.11347719324456829</v>
      </c>
      <c r="AG58" s="173">
        <f t="shared" si="48"/>
        <v>0.1157315060874214</v>
      </c>
      <c r="AH58" s="178">
        <f t="shared" ref="AH58:AH66" si="49">AH34/AH$49</f>
        <v>0.11803060261101377</v>
      </c>
      <c r="AI58" s="127"/>
    </row>
    <row r="59" spans="1:35">
      <c r="A59" s="9" t="s">
        <v>50</v>
      </c>
      <c r="B59" s="37"/>
      <c r="C59" s="301">
        <f t="shared" ref="C59:C65" si="50">C35/C$49</f>
        <v>5.801083886726204E-3</v>
      </c>
      <c r="D59" s="301">
        <f t="shared" si="44"/>
        <v>6.831274251095391E-3</v>
      </c>
      <c r="E59" s="301">
        <f t="shared" si="44"/>
        <v>8.0444118383564099E-3</v>
      </c>
      <c r="F59" s="301">
        <f t="shared" si="44"/>
        <v>9.4729854850597074E-3</v>
      </c>
      <c r="G59" s="301">
        <f t="shared" si="44"/>
        <v>1.1155253585137997E-2</v>
      </c>
      <c r="H59" s="361">
        <f>H35/H$49</f>
        <v>5.1918288639363382E-3</v>
      </c>
      <c r="I59" s="116">
        <f t="shared" si="45"/>
        <v>6.1138241623183206E-3</v>
      </c>
      <c r="J59" s="116">
        <f t="shared" si="45"/>
        <v>7.1995527717389823E-3</v>
      </c>
      <c r="K59" s="116">
        <f t="shared" si="45"/>
        <v>8.4780914100413916E-3</v>
      </c>
      <c r="L59" s="116">
        <f t="shared" si="45"/>
        <v>9.9836804084785097E-3</v>
      </c>
      <c r="M59" s="116">
        <f t="shared" si="45"/>
        <v>1.175664069634642E-2</v>
      </c>
      <c r="N59" s="178">
        <f t="shared" si="45"/>
        <v>1.3844453629105405E-2</v>
      </c>
      <c r="O59" s="116">
        <f t="shared" ref="O59:V59" si="51">N59*$X72</f>
        <v>1.4039304869785866E-2</v>
      </c>
      <c r="P59" s="116">
        <f t="shared" si="51"/>
        <v>1.4236898508758946E-2</v>
      </c>
      <c r="Q59" s="116">
        <f t="shared" si="51"/>
        <v>1.4437273143409857E-2</v>
      </c>
      <c r="R59" s="116">
        <f t="shared" si="51"/>
        <v>1.4640467914355677E-2</v>
      </c>
      <c r="S59" s="116">
        <f t="shared" si="51"/>
        <v>1.484652251309097E-2</v>
      </c>
      <c r="T59" s="116">
        <f t="shared" si="51"/>
        <v>1.5055477189741007E-2</v>
      </c>
      <c r="U59" s="116">
        <f t="shared" si="51"/>
        <v>1.526737276092412E-2</v>
      </c>
      <c r="V59" s="116">
        <f t="shared" si="51"/>
        <v>1.5482250617724697E-2</v>
      </c>
      <c r="W59" s="116">
        <f>V59*$X72</f>
        <v>1.5700152733778405E-2</v>
      </c>
      <c r="X59" s="178">
        <f t="shared" si="47"/>
        <v>1.5921121673471216E-2</v>
      </c>
      <c r="Y59" s="173">
        <f>X59*$AH72</f>
        <v>1.6237407158112872E-2</v>
      </c>
      <c r="Z59" s="173">
        <f t="shared" ref="Z59:AG59" si="52">Y59*$AH72</f>
        <v>1.6559975900294212E-2</v>
      </c>
      <c r="AA59" s="173">
        <f t="shared" si="52"/>
        <v>1.6888952721820932E-2</v>
      </c>
      <c r="AB59" s="173">
        <f t="shared" si="52"/>
        <v>1.722446492418114E-2</v>
      </c>
      <c r="AC59" s="173">
        <f t="shared" si="52"/>
        <v>1.7566642337806176E-2</v>
      </c>
      <c r="AD59" s="173">
        <f t="shared" si="52"/>
        <v>1.7915617372310032E-2</v>
      </c>
      <c r="AE59" s="173">
        <f t="shared" si="52"/>
        <v>1.8271525067726831E-2</v>
      </c>
      <c r="AF59" s="173">
        <f t="shared" si="52"/>
        <v>1.8634503146766172E-2</v>
      </c>
      <c r="AG59" s="173">
        <f t="shared" si="52"/>
        <v>1.9004692068106562E-2</v>
      </c>
      <c r="AH59" s="178">
        <f t="shared" si="49"/>
        <v>1.9382235080747569E-2</v>
      </c>
      <c r="AI59" s="127"/>
    </row>
    <row r="60" spans="1:35">
      <c r="A60" s="9" t="s">
        <v>119</v>
      </c>
      <c r="B60" s="37"/>
      <c r="C60" s="301">
        <f t="shared" si="50"/>
        <v>0</v>
      </c>
      <c r="D60" s="301">
        <v>0</v>
      </c>
      <c r="E60" s="301">
        <v>0</v>
      </c>
      <c r="F60" s="301">
        <v>0</v>
      </c>
      <c r="G60" s="301">
        <v>0</v>
      </c>
      <c r="H60" s="361">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01">
        <f t="shared" si="50"/>
        <v>0</v>
      </c>
      <c r="D61" s="301">
        <f t="shared" ref="D61:M61" si="56">C61*($N74)</f>
        <v>0</v>
      </c>
      <c r="E61" s="301">
        <f t="shared" si="56"/>
        <v>0</v>
      </c>
      <c r="F61" s="301">
        <f t="shared" si="56"/>
        <v>0</v>
      </c>
      <c r="G61" s="301">
        <f t="shared" si="56"/>
        <v>0</v>
      </c>
      <c r="H61" s="361">
        <f t="shared" si="53"/>
        <v>6.5675303026144362E-5</v>
      </c>
      <c r="I61" s="116">
        <f t="shared" si="56"/>
        <v>7.0800711808597592E-5</v>
      </c>
      <c r="J61" s="116">
        <f t="shared" si="56"/>
        <v>7.6326115931411742E-5</v>
      </c>
      <c r="K61" s="116">
        <f t="shared" si="56"/>
        <v>8.2282731689540333E-5</v>
      </c>
      <c r="L61" s="116">
        <f t="shared" si="56"/>
        <v>8.8704211548992635E-5</v>
      </c>
      <c r="M61" s="116">
        <f t="shared" si="56"/>
        <v>9.5626834269634043E-5</v>
      </c>
      <c r="N61" s="178">
        <f>M61*($N74)</f>
        <v>1.0308970986548276E-4</v>
      </c>
      <c r="O61" s="116">
        <f t="shared" ref="O61:W61" si="57">N61*$X74</f>
        <v>1.0454062720803852E-4</v>
      </c>
      <c r="P61" s="116">
        <f t="shared" si="57"/>
        <v>1.0601196522243122E-4</v>
      </c>
      <c r="Q61" s="116">
        <f t="shared" si="57"/>
        <v>1.0750401131568678E-4</v>
      </c>
      <c r="R61" s="116">
        <f t="shared" si="57"/>
        <v>1.0901705693988895E-4</v>
      </c>
      <c r="S61" s="116">
        <f t="shared" si="57"/>
        <v>1.1055139764911073E-4</v>
      </c>
      <c r="T61" s="116">
        <f t="shared" si="57"/>
        <v>1.1210733315714711E-4</v>
      </c>
      <c r="U61" s="116">
        <f t="shared" si="57"/>
        <v>1.1368516739606025E-4</v>
      </c>
      <c r="V61" s="116">
        <f t="shared" si="57"/>
        <v>1.1528520857554879E-4</v>
      </c>
      <c r="W61" s="116">
        <f t="shared" si="57"/>
        <v>1.1690776924315261E-4</v>
      </c>
      <c r="X61" s="178">
        <f t="shared" si="47"/>
        <v>1.1855316634530521E-4</v>
      </c>
      <c r="Y61" s="173">
        <f t="shared" si="55"/>
        <v>1.2090831734800165E-4</v>
      </c>
      <c r="Z61" s="173">
        <f t="shared" si="55"/>
        <v>1.2331025526003586E-4</v>
      </c>
      <c r="AA61" s="173">
        <f t="shared" si="55"/>
        <v>1.2575990953980895E-4</v>
      </c>
      <c r="AB61" s="173">
        <f t="shared" si="55"/>
        <v>1.2825822811013724E-4</v>
      </c>
      <c r="AC61" s="173">
        <f t="shared" si="55"/>
        <v>1.3080617772506223E-4</v>
      </c>
      <c r="AD61" s="173">
        <f t="shared" si="55"/>
        <v>1.3340474434394756E-4</v>
      </c>
      <c r="AE61" s="173">
        <f t="shared" si="55"/>
        <v>1.3605493351300768E-4</v>
      </c>
      <c r="AF61" s="173">
        <f t="shared" si="55"/>
        <v>1.3875777075441592E-4</v>
      </c>
      <c r="AG61" s="173">
        <f t="shared" si="55"/>
        <v>1.4151430196314251E-4</v>
      </c>
      <c r="AH61" s="178">
        <f t="shared" si="49"/>
        <v>1.4432559381167591E-4</v>
      </c>
      <c r="AI61" s="127"/>
    </row>
    <row r="62" spans="1:35">
      <c r="A62" s="9" t="s">
        <v>347</v>
      </c>
      <c r="B62" s="37"/>
      <c r="C62" s="304">
        <f t="shared" si="50"/>
        <v>0</v>
      </c>
      <c r="D62" s="304">
        <f t="shared" ref="D62:N62" si="58">C62*($N75)</f>
        <v>0</v>
      </c>
      <c r="E62" s="304">
        <f t="shared" si="58"/>
        <v>0</v>
      </c>
      <c r="F62" s="304">
        <f t="shared" si="58"/>
        <v>0</v>
      </c>
      <c r="G62" s="304">
        <f t="shared" si="58"/>
        <v>0</v>
      </c>
      <c r="H62" s="361">
        <f t="shared" si="53"/>
        <v>1.6724145945962062E-6</v>
      </c>
      <c r="I62" s="116">
        <f t="shared" si="58"/>
        <v>1.7386920112546792E-6</v>
      </c>
      <c r="J62" s="116">
        <f t="shared" si="58"/>
        <v>1.8075959871246744E-6</v>
      </c>
      <c r="K62" s="116">
        <f t="shared" si="58"/>
        <v>1.8792306121608016E-6</v>
      </c>
      <c r="L62" s="116">
        <f t="shared" si="58"/>
        <v>1.9537041013793111E-6</v>
      </c>
      <c r="M62" s="116">
        <f t="shared" si="58"/>
        <v>2.0311289583333656E-6</v>
      </c>
      <c r="N62" s="178">
        <f t="shared" si="58"/>
        <v>2.1116221450667983E-6</v>
      </c>
      <c r="O62" s="116">
        <f t="shared" ref="O62:W62" si="59">N62*$X75</f>
        <v>2.1413417862919023E-6</v>
      </c>
      <c r="P62" s="116">
        <f t="shared" si="59"/>
        <v>2.1714797111936631E-6</v>
      </c>
      <c r="Q62" s="116">
        <f t="shared" si="59"/>
        <v>2.2020418068294931E-6</v>
      </c>
      <c r="R62" s="116">
        <f t="shared" si="59"/>
        <v>2.2330340431131212E-6</v>
      </c>
      <c r="S62" s="116">
        <f t="shared" si="59"/>
        <v>2.2644624739807403E-6</v>
      </c>
      <c r="T62" s="116">
        <f t="shared" si="59"/>
        <v>2.2963332385735646E-6</v>
      </c>
      <c r="U62" s="116">
        <f t="shared" si="59"/>
        <v>2.3286525624370338E-6</v>
      </c>
      <c r="V62" s="116">
        <f t="shared" si="59"/>
        <v>2.3614267587368922E-6</v>
      </c>
      <c r="W62" s="116">
        <f t="shared" si="59"/>
        <v>2.394662229492386E-6</v>
      </c>
      <c r="X62" s="178">
        <f t="shared" si="47"/>
        <v>2.4283654668268157E-6</v>
      </c>
      <c r="Y62" s="173">
        <f t="shared" si="55"/>
        <v>2.4766068385287965E-6</v>
      </c>
      <c r="Z62" s="173">
        <f t="shared" si="55"/>
        <v>2.5258065626598E-6</v>
      </c>
      <c r="AA62" s="173">
        <f t="shared" si="55"/>
        <v>2.575983677637388E-6</v>
      </c>
      <c r="AB62" s="173">
        <f t="shared" si="55"/>
        <v>2.6271576000921182E-6</v>
      </c>
      <c r="AC62" s="173">
        <f t="shared" si="55"/>
        <v>2.6793481323810399E-6</v>
      </c>
      <c r="AD62" s="173">
        <f t="shared" si="55"/>
        <v>2.7325754702504512E-6</v>
      </c>
      <c r="AE62" s="173">
        <f t="shared" si="55"/>
        <v>2.7868602106508828E-6</v>
      </c>
      <c r="AF62" s="173">
        <f t="shared" si="55"/>
        <v>2.8422233597073329E-6</v>
      </c>
      <c r="AG62" s="173">
        <f t="shared" si="55"/>
        <v>2.8986863408478367E-6</v>
      </c>
      <c r="AH62" s="178">
        <f t="shared" si="49"/>
        <v>2.9562710030935149E-6</v>
      </c>
      <c r="AI62" s="127"/>
    </row>
    <row r="63" spans="1:35">
      <c r="A63" s="9" t="s">
        <v>348</v>
      </c>
      <c r="B63" s="37"/>
      <c r="C63" s="304">
        <f t="shared" si="50"/>
        <v>0</v>
      </c>
      <c r="D63" s="304">
        <f t="shared" ref="D63:N63" si="60">C63*($N76)</f>
        <v>0</v>
      </c>
      <c r="E63" s="304">
        <f t="shared" si="60"/>
        <v>0</v>
      </c>
      <c r="F63" s="304">
        <f t="shared" si="60"/>
        <v>0</v>
      </c>
      <c r="G63" s="304">
        <f t="shared" si="60"/>
        <v>0</v>
      </c>
      <c r="H63" s="361">
        <f t="shared" si="53"/>
        <v>8.3620729729810312E-7</v>
      </c>
      <c r="I63" s="116">
        <f t="shared" si="60"/>
        <v>8.693460056273396E-7</v>
      </c>
      <c r="J63" s="116">
        <f t="shared" si="60"/>
        <v>9.0379799356233719E-7</v>
      </c>
      <c r="K63" s="116">
        <f t="shared" si="60"/>
        <v>9.396153060804008E-7</v>
      </c>
      <c r="L63" s="116">
        <f t="shared" si="60"/>
        <v>9.7685205068965554E-7</v>
      </c>
      <c r="M63" s="116">
        <f t="shared" si="60"/>
        <v>1.0155644791666828E-6</v>
      </c>
      <c r="N63" s="178">
        <f t="shared" si="60"/>
        <v>1.0558110725333991E-6</v>
      </c>
      <c r="O63" s="116">
        <f t="shared" ref="O63:W63" si="61">N63*$X76</f>
        <v>1.0706708931459511E-6</v>
      </c>
      <c r="P63" s="116">
        <f t="shared" si="61"/>
        <v>1.0857398555968316E-6</v>
      </c>
      <c r="Q63" s="116">
        <f t="shared" si="61"/>
        <v>1.1010209034147465E-6</v>
      </c>
      <c r="R63" s="116">
        <f t="shared" si="61"/>
        <v>1.1165170215565606E-6</v>
      </c>
      <c r="S63" s="116">
        <f t="shared" si="61"/>
        <v>1.1322312369903701E-6</v>
      </c>
      <c r="T63" s="116">
        <f t="shared" si="61"/>
        <v>1.1481666192867823E-6</v>
      </c>
      <c r="U63" s="116">
        <f t="shared" si="61"/>
        <v>1.1643262812185169E-6</v>
      </c>
      <c r="V63" s="116">
        <f t="shared" si="61"/>
        <v>1.1807133793684461E-6</v>
      </c>
      <c r="W63" s="116">
        <f t="shared" si="61"/>
        <v>1.197331114746193E-6</v>
      </c>
      <c r="X63" s="178">
        <f t="shared" si="47"/>
        <v>1.2141827334134079E-6</v>
      </c>
      <c r="Y63" s="173">
        <f t="shared" si="55"/>
        <v>1.2383034192643982E-6</v>
      </c>
      <c r="Z63" s="173">
        <f t="shared" si="55"/>
        <v>1.2629032813299E-6</v>
      </c>
      <c r="AA63" s="173">
        <f t="shared" si="55"/>
        <v>1.287991838818694E-6</v>
      </c>
      <c r="AB63" s="173">
        <f t="shared" si="55"/>
        <v>1.3135788000460591E-6</v>
      </c>
      <c r="AC63" s="173">
        <f t="shared" si="55"/>
        <v>1.33967406619052E-6</v>
      </c>
      <c r="AD63" s="173">
        <f t="shared" si="55"/>
        <v>1.3662877351252256E-6</v>
      </c>
      <c r="AE63" s="173">
        <f t="shared" si="55"/>
        <v>1.3934301053254414E-6</v>
      </c>
      <c r="AF63" s="173">
        <f t="shared" si="55"/>
        <v>1.4211116798536664E-6</v>
      </c>
      <c r="AG63" s="173">
        <f t="shared" si="55"/>
        <v>1.4493431704239183E-6</v>
      </c>
      <c r="AH63" s="178">
        <f t="shared" si="49"/>
        <v>1.4781355015467574E-6</v>
      </c>
      <c r="AI63" s="127"/>
    </row>
    <row r="64" spans="1:35">
      <c r="A64" s="9" t="s">
        <v>344</v>
      </c>
      <c r="B64" s="37"/>
      <c r="C64" s="301">
        <f t="shared" si="50"/>
        <v>7.6330051141134261E-7</v>
      </c>
      <c r="D64" s="301">
        <f t="shared" ref="D64:N64" si="62">C64*($N77)</f>
        <v>7.9354994010796886E-7</v>
      </c>
      <c r="E64" s="301">
        <f t="shared" si="62"/>
        <v>8.2499814690416742E-7</v>
      </c>
      <c r="F64" s="301">
        <f t="shared" si="62"/>
        <v>8.5769263910814E-7</v>
      </c>
      <c r="G64" s="301">
        <f t="shared" si="62"/>
        <v>8.9168280673209604E-7</v>
      </c>
      <c r="H64" s="361">
        <f t="shared" si="53"/>
        <v>8.3620729729810312E-7</v>
      </c>
      <c r="I64" s="116">
        <f t="shared" si="62"/>
        <v>8.693460056273396E-7</v>
      </c>
      <c r="J64" s="116">
        <f t="shared" si="62"/>
        <v>9.0379799356233719E-7</v>
      </c>
      <c r="K64" s="116">
        <f t="shared" si="62"/>
        <v>9.396153060804008E-7</v>
      </c>
      <c r="L64" s="116">
        <f t="shared" si="62"/>
        <v>9.7685205068965554E-7</v>
      </c>
      <c r="M64" s="116">
        <f t="shared" si="62"/>
        <v>1.0155644791666828E-6</v>
      </c>
      <c r="N64" s="178">
        <f t="shared" si="62"/>
        <v>1.0558110725333991E-6</v>
      </c>
      <c r="O64" s="116">
        <f t="shared" ref="O64:W64" si="63">N64*$X77</f>
        <v>1.0706708931459511E-6</v>
      </c>
      <c r="P64" s="116">
        <f t="shared" si="63"/>
        <v>1.0857398555968316E-6</v>
      </c>
      <c r="Q64" s="116">
        <f t="shared" si="63"/>
        <v>1.1010209034147465E-6</v>
      </c>
      <c r="R64" s="116">
        <f t="shared" si="63"/>
        <v>1.1165170215565606E-6</v>
      </c>
      <c r="S64" s="116">
        <f t="shared" si="63"/>
        <v>1.1322312369903701E-6</v>
      </c>
      <c r="T64" s="116">
        <f t="shared" si="63"/>
        <v>1.1481666192867823E-6</v>
      </c>
      <c r="U64" s="116">
        <f t="shared" si="63"/>
        <v>1.1643262812185169E-6</v>
      </c>
      <c r="V64" s="116">
        <f t="shared" si="63"/>
        <v>1.1807133793684461E-6</v>
      </c>
      <c r="W64" s="116">
        <f t="shared" si="63"/>
        <v>1.197331114746193E-6</v>
      </c>
      <c r="X64" s="178">
        <f t="shared" si="47"/>
        <v>1.2141827334134079E-6</v>
      </c>
      <c r="Y64" s="173">
        <f t="shared" si="55"/>
        <v>1.2383034192643982E-6</v>
      </c>
      <c r="Z64" s="173">
        <f t="shared" si="55"/>
        <v>1.2629032813299E-6</v>
      </c>
      <c r="AA64" s="173">
        <f t="shared" si="55"/>
        <v>1.287991838818694E-6</v>
      </c>
      <c r="AB64" s="173">
        <f t="shared" si="55"/>
        <v>1.3135788000460591E-6</v>
      </c>
      <c r="AC64" s="173">
        <f t="shared" si="55"/>
        <v>1.33967406619052E-6</v>
      </c>
      <c r="AD64" s="173">
        <f t="shared" si="55"/>
        <v>1.3662877351252256E-6</v>
      </c>
      <c r="AE64" s="173">
        <f t="shared" si="55"/>
        <v>1.3934301053254414E-6</v>
      </c>
      <c r="AF64" s="173">
        <f t="shared" si="55"/>
        <v>1.4211116798536664E-6</v>
      </c>
      <c r="AG64" s="173">
        <f t="shared" si="55"/>
        <v>1.4493431704239183E-6</v>
      </c>
      <c r="AH64" s="178">
        <f t="shared" si="49"/>
        <v>1.4781355015467574E-6</v>
      </c>
      <c r="AI64" s="127"/>
    </row>
    <row r="65" spans="1:35">
      <c r="A65" s="9" t="s">
        <v>120</v>
      </c>
      <c r="B65" s="37"/>
      <c r="C65" s="301">
        <f t="shared" si="50"/>
        <v>0</v>
      </c>
      <c r="D65" s="301">
        <v>0</v>
      </c>
      <c r="E65" s="301">
        <v>0</v>
      </c>
      <c r="F65" s="301">
        <v>0</v>
      </c>
      <c r="G65" s="301">
        <v>0</v>
      </c>
      <c r="H65" s="361">
        <f t="shared" si="53"/>
        <v>8.3620729729810313E-5</v>
      </c>
      <c r="I65" s="173">
        <v>0</v>
      </c>
      <c r="J65" s="173">
        <v>0</v>
      </c>
      <c r="K65" s="173">
        <v>0</v>
      </c>
      <c r="L65" s="173">
        <v>0</v>
      </c>
      <c r="M65" s="173">
        <v>0</v>
      </c>
      <c r="N65" s="178">
        <v>0</v>
      </c>
      <c r="O65" s="116">
        <f t="shared" ref="O65:AG65" si="64">O41/O$49</f>
        <v>6.2079408140396542E-4</v>
      </c>
      <c r="P65" s="116">
        <f t="shared" si="64"/>
        <v>6.8963983386684203E-4</v>
      </c>
      <c r="Q65" s="116">
        <f t="shared" si="64"/>
        <v>7.5937021135820068E-4</v>
      </c>
      <c r="R65" s="116">
        <f t="shared" si="64"/>
        <v>8.300628382943157E-4</v>
      </c>
      <c r="S65" s="116">
        <f t="shared" si="64"/>
        <v>8.9898105802491948E-4</v>
      </c>
      <c r="T65" s="116">
        <f t="shared" si="64"/>
        <v>9.6184145421003922E-4</v>
      </c>
      <c r="U65" s="116">
        <f t="shared" si="64"/>
        <v>1.0286620924253097E-3</v>
      </c>
      <c r="V65" s="116">
        <f t="shared" si="64"/>
        <v>1.0975582632452849E-3</v>
      </c>
      <c r="W65" s="116">
        <f t="shared" si="64"/>
        <v>1.1571404191020403E-3</v>
      </c>
      <c r="X65" s="178">
        <f t="shared" si="47"/>
        <v>1.2208222814964467E-3</v>
      </c>
      <c r="Y65" s="173">
        <f t="shared" si="64"/>
        <v>1.2874340483677992E-3</v>
      </c>
      <c r="Z65" s="173">
        <f t="shared" si="64"/>
        <v>1.3424249785789863E-3</v>
      </c>
      <c r="AA65" s="173">
        <f t="shared" si="64"/>
        <v>1.4042222273008512E-3</v>
      </c>
      <c r="AB65" s="173">
        <f t="shared" si="64"/>
        <v>1.4658433365802716E-3</v>
      </c>
      <c r="AC65" s="173">
        <f t="shared" si="64"/>
        <v>1.5269373066800951E-3</v>
      </c>
      <c r="AD65" s="173">
        <f t="shared" si="64"/>
        <v>1.5850534989501283E-3</v>
      </c>
      <c r="AE65" s="173">
        <f t="shared" si="64"/>
        <v>1.6363247147106698E-3</v>
      </c>
      <c r="AF65" s="173">
        <f t="shared" si="64"/>
        <v>1.6938978359908425E-3</v>
      </c>
      <c r="AG65" s="173">
        <f t="shared" si="64"/>
        <v>1.7416241061070897E-3</v>
      </c>
      <c r="AH65" s="178">
        <f t="shared" si="49"/>
        <v>1.7947791660714613E-3</v>
      </c>
      <c r="AI65" s="127"/>
    </row>
    <row r="66" spans="1:35">
      <c r="A66" s="9" t="s">
        <v>53</v>
      </c>
      <c r="B66" s="37"/>
      <c r="C66" s="301">
        <f>C42/C$49</f>
        <v>2.3891306007175026E-2</v>
      </c>
      <c r="D66" s="301">
        <f t="shared" ref="D66:N66" si="65">C66*($N79)</f>
        <v>2.527373570689331E-2</v>
      </c>
      <c r="E66" s="301">
        <f t="shared" si="65"/>
        <v>2.6736157344854284E-2</v>
      </c>
      <c r="F66" s="301">
        <f t="shared" si="65"/>
        <v>2.8283199518219258E-2</v>
      </c>
      <c r="G66" s="301">
        <f t="shared" si="65"/>
        <v>2.9919758650034899E-2</v>
      </c>
      <c r="H66" s="361">
        <f t="shared" si="53"/>
        <v>7.2596763352447427E-2</v>
      </c>
      <c r="I66" s="116">
        <f t="shared" si="65"/>
        <v>7.6797451323699528E-2</v>
      </c>
      <c r="J66" s="116">
        <f t="shared" si="65"/>
        <v>8.1241204944396003E-2</v>
      </c>
      <c r="K66" s="116">
        <f t="shared" si="65"/>
        <v>8.5942088794040056E-2</v>
      </c>
      <c r="L66" s="116">
        <f t="shared" si="65"/>
        <v>9.0914981275054957E-2</v>
      </c>
      <c r="M66" s="116">
        <f t="shared" si="65"/>
        <v>9.6175621703260189E-2</v>
      </c>
      <c r="N66" s="178">
        <f t="shared" si="65"/>
        <v>0.1017406601231577</v>
      </c>
      <c r="O66" s="116">
        <f t="shared" ref="O66:W66" si="66">N66*$X79</f>
        <v>0.10317259051085964</v>
      </c>
      <c r="P66" s="116">
        <f t="shared" si="66"/>
        <v>0.10462467434196111</v>
      </c>
      <c r="Q66" s="116">
        <f t="shared" si="66"/>
        <v>0.10609719526243008</v>
      </c>
      <c r="R66" s="116">
        <f t="shared" si="66"/>
        <v>0.10759044091035801</v>
      </c>
      <c r="S66" s="116">
        <f t="shared" si="66"/>
        <v>0.10910470297214626</v>
      </c>
      <c r="T66" s="116">
        <f t="shared" si="66"/>
        <v>0.11064027723948336</v>
      </c>
      <c r="U66" s="116">
        <f t="shared" si="66"/>
        <v>0.11219746366712402</v>
      </c>
      <c r="V66" s="116">
        <f t="shared" si="66"/>
        <v>0.11377656643148155</v>
      </c>
      <c r="W66" s="116">
        <f t="shared" si="66"/>
        <v>0.11537789399004476</v>
      </c>
      <c r="X66" s="178">
        <f t="shared" si="47"/>
        <v>0.11700175914163136</v>
      </c>
      <c r="Y66" s="173">
        <f t="shared" si="55"/>
        <v>0.11932609023167629</v>
      </c>
      <c r="Z66" s="173">
        <f t="shared" si="55"/>
        <v>0.12169659596948536</v>
      </c>
      <c r="AA66" s="173">
        <f t="shared" si="55"/>
        <v>0.12411419365040659</v>
      </c>
      <c r="AB66" s="173">
        <f t="shared" si="55"/>
        <v>0.12657981879257466</v>
      </c>
      <c r="AC66" s="173">
        <f t="shared" si="55"/>
        <v>0.12909442549892072</v>
      </c>
      <c r="AD66" s="173">
        <f t="shared" si="55"/>
        <v>0.131658986826374</v>
      </c>
      <c r="AE66" s="173">
        <f t="shared" si="55"/>
        <v>0.13427449516239756</v>
      </c>
      <c r="AF66" s="173">
        <f t="shared" si="55"/>
        <v>0.13694196260900451</v>
      </c>
      <c r="AG66" s="173">
        <f t="shared" si="55"/>
        <v>0.13966242137440288</v>
      </c>
      <c r="AH66" s="178">
        <f t="shared" si="49"/>
        <v>0.14243692417242082</v>
      </c>
      <c r="AI66" s="127"/>
    </row>
    <row r="67" spans="1:35" s="1" customFormat="1">
      <c r="A67" s="11" t="s">
        <v>541</v>
      </c>
      <c r="B67" s="36"/>
      <c r="C67" s="305">
        <f t="shared" ref="C67:AG67" si="67">SUM(C58:C66)</f>
        <v>6.6178917639874824E-2</v>
      </c>
      <c r="D67" s="305">
        <f t="shared" si="67"/>
        <v>7.3258897268423218E-2</v>
      </c>
      <c r="E67" s="305">
        <f t="shared" si="67"/>
        <v>8.1198871019250149E-2</v>
      </c>
      <c r="F67" s="305">
        <f t="shared" si="67"/>
        <v>9.0112332641691675E-2</v>
      </c>
      <c r="G67" s="305">
        <f t="shared" si="67"/>
        <v>0.1001285834696688</v>
      </c>
      <c r="H67" s="368">
        <f t="shared" si="67"/>
        <v>0.11888542936480204</v>
      </c>
      <c r="I67" s="85">
        <f t="shared" si="67"/>
        <v>0.12916741037818863</v>
      </c>
      <c r="J67" s="85">
        <f t="shared" si="67"/>
        <v>0.14061022795838274</v>
      </c>
      <c r="K67" s="85">
        <f t="shared" si="67"/>
        <v>0.15325914327641005</v>
      </c>
      <c r="L67" s="85">
        <f t="shared" si="67"/>
        <v>0.16725998219715282</v>
      </c>
      <c r="M67" s="85">
        <f t="shared" si="67"/>
        <v>0.18277788136185838</v>
      </c>
      <c r="N67" s="183">
        <f>SUM(N58:N66)</f>
        <v>0.19999999999999998</v>
      </c>
      <c r="O67" s="85">
        <f t="shared" si="67"/>
        <v>0.2034356576491626</v>
      </c>
      <c r="P67" s="85">
        <f t="shared" si="67"/>
        <v>0.20635898425390953</v>
      </c>
      <c r="Q67" s="85">
        <f t="shared" si="67"/>
        <v>0.2093233703544648</v>
      </c>
      <c r="R67" s="85">
        <f t="shared" si="67"/>
        <v>0.21232945900914507</v>
      </c>
      <c r="S67" s="85">
        <f t="shared" si="67"/>
        <v>0.21537508695329705</v>
      </c>
      <c r="T67" s="85">
        <f t="shared" si="67"/>
        <v>0.21845655223267885</v>
      </c>
      <c r="U67" s="85">
        <f t="shared" si="67"/>
        <v>0.22158446255864667</v>
      </c>
      <c r="V67" s="85">
        <f t="shared" si="67"/>
        <v>0.22475753116641767</v>
      </c>
      <c r="W67" s="85">
        <f t="shared" si="67"/>
        <v>0.22796497486872952</v>
      </c>
      <c r="X67" s="183">
        <f t="shared" si="67"/>
        <v>0.23122082228149643</v>
      </c>
      <c r="Y67" s="85">
        <f t="shared" si="67"/>
        <v>0.23585656321900872</v>
      </c>
      <c r="Z67" s="85">
        <f t="shared" si="67"/>
        <v>0.24057145263020002</v>
      </c>
      <c r="AA67" s="85">
        <f t="shared" si="67"/>
        <v>0.24538572087330057</v>
      </c>
      <c r="AB67" s="85">
        <f t="shared" si="67"/>
        <v>0.25029422451545014</v>
      </c>
      <c r="AC67" s="85">
        <f t="shared" si="67"/>
        <v>0.25529848811567057</v>
      </c>
      <c r="AD67" s="85">
        <f t="shared" si="67"/>
        <v>0.26039797385350644</v>
      </c>
      <c r="AE67" s="85">
        <f t="shared" si="67"/>
        <v>0.26559076534809645</v>
      </c>
      <c r="AF67" s="85">
        <f t="shared" si="67"/>
        <v>0.27089199905380368</v>
      </c>
      <c r="AG67" s="85">
        <f t="shared" si="67"/>
        <v>0.27628755531068272</v>
      </c>
      <c r="AH67" s="183">
        <f>SUM(AH58:AH66)</f>
        <v>0.28179477916607149</v>
      </c>
      <c r="AI67" s="196"/>
    </row>
    <row r="68" spans="1:35" s="217" customFormat="1">
      <c r="A68" s="10" t="s">
        <v>549</v>
      </c>
      <c r="B68" s="37"/>
      <c r="C68" s="297"/>
      <c r="D68" s="297">
        <f>D67/C67-1</f>
        <v>0.1069824028714923</v>
      </c>
      <c r="E68" s="297">
        <f t="shared" ref="E68:W68" si="68">E67/D67-1</f>
        <v>0.10838238148377499</v>
      </c>
      <c r="F68" s="297">
        <f t="shared" si="68"/>
        <v>0.10977322111200749</v>
      </c>
      <c r="G68" s="297">
        <f t="shared" si="68"/>
        <v>0.11115294138266463</v>
      </c>
      <c r="H68" s="249"/>
      <c r="I68" s="249">
        <f t="shared" si="68"/>
        <v>8.6486469101576313E-2</v>
      </c>
      <c r="J68" s="249">
        <f t="shared" si="68"/>
        <v>8.8589045384518839E-2</v>
      </c>
      <c r="K68" s="249">
        <f t="shared" si="68"/>
        <v>8.9957291881861412E-2</v>
      </c>
      <c r="L68" s="249">
        <f t="shared" si="68"/>
        <v>9.1354020526472679E-2</v>
      </c>
      <c r="M68" s="249">
        <f t="shared" si="68"/>
        <v>9.2777118357063371E-2</v>
      </c>
      <c r="N68" s="248">
        <f t="shared" si="68"/>
        <v>9.4224303891813577E-2</v>
      </c>
      <c r="O68" s="249">
        <f t="shared" si="68"/>
        <v>1.7178288245813134E-2</v>
      </c>
      <c r="P68" s="249">
        <f t="shared" si="68"/>
        <v>1.4369784719787893E-2</v>
      </c>
      <c r="Q68" s="249">
        <f t="shared" si="68"/>
        <v>1.4365190404832751E-2</v>
      </c>
      <c r="R68" s="249">
        <f t="shared" si="68"/>
        <v>1.4360979615366531E-2</v>
      </c>
      <c r="S68" s="249">
        <f t="shared" si="68"/>
        <v>1.434387841595175E-2</v>
      </c>
      <c r="T68" s="249">
        <f t="shared" si="68"/>
        <v>1.4307436031587129E-2</v>
      </c>
      <c r="U68" s="249">
        <f t="shared" si="68"/>
        <v>1.4318226182734373E-2</v>
      </c>
      <c r="V68" s="249">
        <f t="shared" si="68"/>
        <v>1.4319905697048441E-2</v>
      </c>
      <c r="W68" s="249">
        <f t="shared" si="68"/>
        <v>1.4270683992951394E-2</v>
      </c>
      <c r="X68" s="249">
        <f>X67/W67-1</f>
        <v>1.4282226533447684E-2</v>
      </c>
      <c r="Y68" s="254">
        <f t="shared" ref="Y68:AG68" si="69">Y67/X67-1</f>
        <v>2.0048976955321818E-2</v>
      </c>
      <c r="Z68" s="254">
        <f t="shared" si="69"/>
        <v>1.999049484500981E-2</v>
      </c>
      <c r="AA68" s="254">
        <f t="shared" si="69"/>
        <v>2.0011801859553646E-2</v>
      </c>
      <c r="AB68" s="254">
        <f t="shared" si="69"/>
        <v>2.0003216261650136E-2</v>
      </c>
      <c r="AC68" s="254">
        <f t="shared" si="69"/>
        <v>1.9993524061165502E-2</v>
      </c>
      <c r="AD68" s="254">
        <f t="shared" si="69"/>
        <v>1.9974602182232237E-2</v>
      </c>
      <c r="AE68" s="254">
        <f t="shared" si="69"/>
        <v>1.9941750766122812E-2</v>
      </c>
      <c r="AF68" s="254">
        <f t="shared" si="69"/>
        <v>1.9960158248571558E-2</v>
      </c>
      <c r="AG68" s="254">
        <f t="shared" si="69"/>
        <v>1.9917739452346872E-2</v>
      </c>
      <c r="AH68" s="248">
        <f>AH67/AG67-1</f>
        <v>1.9932942144990751E-2</v>
      </c>
      <c r="AI68" s="257"/>
    </row>
    <row r="69" spans="1:35">
      <c r="A69" s="10"/>
      <c r="B69" s="37"/>
      <c r="C69" s="297"/>
      <c r="D69" s="297"/>
      <c r="E69" s="297"/>
      <c r="F69" s="297"/>
      <c r="G69" s="297"/>
      <c r="H69" s="249"/>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44"/>
      <c r="AI69" s="127"/>
    </row>
    <row r="70" spans="1:35">
      <c r="A70" s="11" t="s">
        <v>546</v>
      </c>
      <c r="B70" s="37"/>
      <c r="C70" s="297"/>
      <c r="D70" s="297"/>
      <c r="E70" s="297"/>
      <c r="F70" s="297"/>
      <c r="G70" s="297"/>
      <c r="H70" s="249"/>
      <c r="I70" s="164"/>
      <c r="J70" s="164"/>
      <c r="K70" s="164"/>
      <c r="L70" s="164"/>
      <c r="M70" s="164"/>
      <c r="N70" s="199" t="s">
        <v>708</v>
      </c>
      <c r="O70" s="164"/>
      <c r="P70" s="164"/>
      <c r="Q70" s="164"/>
      <c r="R70" s="164"/>
      <c r="S70" s="164"/>
      <c r="T70" s="164"/>
      <c r="U70" s="164"/>
      <c r="V70" s="164"/>
      <c r="W70" s="164"/>
      <c r="X70" s="199" t="s">
        <v>547</v>
      </c>
      <c r="Y70" s="20"/>
      <c r="Z70" s="20"/>
      <c r="AA70" s="20"/>
      <c r="AB70" s="20"/>
      <c r="AC70" s="20"/>
      <c r="AD70" s="20"/>
      <c r="AE70" s="20"/>
      <c r="AF70" s="20"/>
      <c r="AG70" s="20"/>
      <c r="AH70" s="244" t="s">
        <v>705</v>
      </c>
      <c r="AI70" s="127"/>
    </row>
    <row r="71" spans="1:35">
      <c r="A71" s="9" t="s">
        <v>121</v>
      </c>
      <c r="B71" s="37"/>
      <c r="C71" s="297"/>
      <c r="D71" s="297"/>
      <c r="E71" s="297"/>
      <c r="F71" s="297"/>
      <c r="G71" s="297"/>
      <c r="H71" s="249"/>
      <c r="I71" s="164"/>
      <c r="J71" s="164"/>
      <c r="K71" s="360"/>
      <c r="L71" s="360"/>
      <c r="M71" s="164"/>
      <c r="N71" s="186">
        <f>(N86/H86)^(1/6)</f>
        <v>1.1279219275235091</v>
      </c>
      <c r="O71" s="164"/>
      <c r="P71" s="164"/>
      <c r="Q71" s="164"/>
      <c r="R71" s="164"/>
      <c r="S71" s="164"/>
      <c r="T71" s="164"/>
      <c r="U71" s="164"/>
      <c r="V71" s="164"/>
      <c r="W71" s="164"/>
      <c r="X71" s="186">
        <f>(X86/N86)^(1/10)</f>
        <v>1.0140743178387932</v>
      </c>
      <c r="Y71" s="20"/>
      <c r="Z71" s="20"/>
      <c r="AA71" s="20"/>
      <c r="AB71" s="20"/>
      <c r="AC71" s="20"/>
      <c r="AD71" s="20"/>
      <c r="AE71" s="20"/>
      <c r="AF71" s="20"/>
      <c r="AG71" s="20"/>
      <c r="AH71" s="186">
        <f>(AH86/X86)^(1/10)</f>
        <v>1.0198657790027867</v>
      </c>
      <c r="AI71" s="127"/>
    </row>
    <row r="72" spans="1:35">
      <c r="A72" s="9" t="s">
        <v>50</v>
      </c>
      <c r="B72" s="37"/>
      <c r="C72" s="297"/>
      <c r="D72" s="297"/>
      <c r="E72" s="297"/>
      <c r="F72" s="297"/>
      <c r="G72" s="297"/>
      <c r="H72" s="249"/>
      <c r="I72" s="164"/>
      <c r="J72" s="164"/>
      <c r="K72" s="360"/>
      <c r="L72" s="360"/>
      <c r="M72" s="164"/>
      <c r="N72" s="186">
        <f>(N87/H87)^(1/6)</f>
        <v>1.1775858416263252</v>
      </c>
      <c r="O72" s="164"/>
      <c r="P72" s="164"/>
      <c r="Q72" s="164"/>
      <c r="R72" s="164"/>
      <c r="S72" s="164"/>
      <c r="T72" s="164"/>
      <c r="U72" s="164"/>
      <c r="V72" s="164"/>
      <c r="W72" s="164"/>
      <c r="X72" s="186">
        <f>(X87/N87)^(1/10)</f>
        <v>1.014074317838793</v>
      </c>
      <c r="Y72" s="20"/>
      <c r="Z72" s="20"/>
      <c r="AA72" s="20"/>
      <c r="AB72" s="20"/>
      <c r="AC72" s="20"/>
      <c r="AD72" s="20"/>
      <c r="AE72" s="20"/>
      <c r="AF72" s="20"/>
      <c r="AG72" s="20"/>
      <c r="AH72" s="186">
        <f>(AH87/X87)^(1/10)</f>
        <v>1.0198657790027867</v>
      </c>
      <c r="AI72" s="127"/>
    </row>
    <row r="73" spans="1:35">
      <c r="A73" s="9" t="s">
        <v>119</v>
      </c>
      <c r="B73" s="37"/>
      <c r="C73" s="297"/>
      <c r="D73" s="297"/>
      <c r="E73" s="297"/>
      <c r="F73" s="297"/>
      <c r="G73" s="297"/>
      <c r="H73" s="249"/>
      <c r="I73" s="164"/>
      <c r="J73" s="164"/>
      <c r="K73" s="360"/>
      <c r="L73" s="360"/>
      <c r="M73" s="164"/>
      <c r="N73" s="186"/>
      <c r="O73" s="164"/>
      <c r="P73" s="164"/>
      <c r="Q73" s="164"/>
      <c r="R73" s="164"/>
      <c r="S73" s="164"/>
      <c r="T73" s="164"/>
      <c r="U73" s="164"/>
      <c r="V73" s="164"/>
      <c r="W73" s="164"/>
      <c r="X73" s="186"/>
      <c r="AH73" s="186"/>
      <c r="AI73" s="127"/>
    </row>
    <row r="74" spans="1:35">
      <c r="A74" s="9" t="s">
        <v>51</v>
      </c>
      <c r="B74" s="37"/>
      <c r="C74" s="297"/>
      <c r="D74" s="297"/>
      <c r="E74" s="297"/>
      <c r="F74" s="297"/>
      <c r="G74" s="297"/>
      <c r="H74" s="249"/>
      <c r="I74" s="164"/>
      <c r="J74" s="164"/>
      <c r="K74" s="360"/>
      <c r="L74" s="360"/>
      <c r="M74" s="164"/>
      <c r="N74" s="179">
        <f>(N89/H89)^(1/6)</f>
        <v>1.0780416464985763</v>
      </c>
      <c r="O74" s="164"/>
      <c r="P74" s="164"/>
      <c r="Q74" s="164"/>
      <c r="R74" s="164"/>
      <c r="S74" s="164"/>
      <c r="T74" s="164"/>
      <c r="U74" s="164"/>
      <c r="V74" s="164"/>
      <c r="W74" s="164"/>
      <c r="X74" s="186">
        <f>(X89/N89)^(1/10)</f>
        <v>1.014074317838793</v>
      </c>
      <c r="AH74" s="186">
        <f>(AH89/X89)^(1/10)</f>
        <v>1.0198657790027867</v>
      </c>
      <c r="AI74" s="127"/>
    </row>
    <row r="75" spans="1:35">
      <c r="A75" s="9" t="s">
        <v>347</v>
      </c>
      <c r="B75" s="37"/>
      <c r="C75" s="297"/>
      <c r="D75" s="297"/>
      <c r="E75" s="297"/>
      <c r="F75" s="297"/>
      <c r="G75" s="297"/>
      <c r="H75" s="249"/>
      <c r="I75" s="164"/>
      <c r="J75" s="164"/>
      <c r="K75" s="360"/>
      <c r="L75" s="360"/>
      <c r="M75" s="164"/>
      <c r="N75" s="179">
        <f>(N90/H90)^(1/6)</f>
        <v>1.0396297765354501</v>
      </c>
      <c r="O75" s="164"/>
      <c r="P75" s="164"/>
      <c r="Q75" s="164"/>
      <c r="R75" s="164"/>
      <c r="S75" s="164"/>
      <c r="T75" s="164"/>
      <c r="U75" s="164"/>
      <c r="V75" s="164"/>
      <c r="W75" s="164"/>
      <c r="X75" s="186">
        <f>(X90/N90)^(1/10)</f>
        <v>1.014074317838793</v>
      </c>
      <c r="AH75" s="186">
        <f>(AH90/X90)^(1/10)</f>
        <v>1.0198657790027867</v>
      </c>
      <c r="AI75" s="127"/>
    </row>
    <row r="76" spans="1:35">
      <c r="A76" s="9" t="s">
        <v>348</v>
      </c>
      <c r="B76" s="37"/>
      <c r="C76" s="297"/>
      <c r="D76" s="297"/>
      <c r="E76" s="297"/>
      <c r="F76" s="297"/>
      <c r="G76" s="297"/>
      <c r="H76" s="249"/>
      <c r="I76" s="164"/>
      <c r="J76" s="164"/>
      <c r="K76" s="360"/>
      <c r="L76" s="360"/>
      <c r="M76" s="164"/>
      <c r="N76" s="179">
        <f>(N91/H91)^(1/6)</f>
        <v>1.0396297765354501</v>
      </c>
      <c r="O76" s="164"/>
      <c r="P76" s="164"/>
      <c r="Q76" s="164"/>
      <c r="R76" s="164"/>
      <c r="S76" s="164"/>
      <c r="T76" s="164"/>
      <c r="U76" s="164"/>
      <c r="V76" s="164"/>
      <c r="W76" s="164"/>
      <c r="X76" s="186">
        <f>(X91/N91)^(1/10)</f>
        <v>1.014074317838793</v>
      </c>
      <c r="AH76" s="186">
        <f>(AH91/X91)^(1/10)</f>
        <v>1.0198657790027867</v>
      </c>
      <c r="AI76" s="127"/>
    </row>
    <row r="77" spans="1:35">
      <c r="A77" s="9" t="s">
        <v>344</v>
      </c>
      <c r="B77" s="37"/>
      <c r="C77" s="297"/>
      <c r="D77" s="297"/>
      <c r="E77" s="297"/>
      <c r="F77" s="297"/>
      <c r="G77" s="297"/>
      <c r="H77" s="249"/>
      <c r="I77" s="164"/>
      <c r="J77" s="164"/>
      <c r="K77" s="360"/>
      <c r="L77" s="360"/>
      <c r="M77" s="164"/>
      <c r="N77" s="179">
        <f>(N92/H92)^(1/6)</f>
        <v>1.0396297765354501</v>
      </c>
      <c r="O77" s="164"/>
      <c r="P77" s="164"/>
      <c r="Q77" s="164"/>
      <c r="R77" s="164"/>
      <c r="S77" s="164"/>
      <c r="T77" s="164"/>
      <c r="U77" s="164"/>
      <c r="V77" s="164"/>
      <c r="W77" s="164"/>
      <c r="X77" s="186">
        <f>(X92/N92)^(1/10)</f>
        <v>1.014074317838793</v>
      </c>
      <c r="AH77" s="186">
        <f>(AH92/X92)^(1/10)</f>
        <v>1.0198657790027867</v>
      </c>
      <c r="AI77" s="127"/>
    </row>
    <row r="78" spans="1:35">
      <c r="A78" s="9" t="s">
        <v>120</v>
      </c>
      <c r="B78" s="37"/>
      <c r="C78" s="297"/>
      <c r="D78" s="297"/>
      <c r="E78" s="297"/>
      <c r="F78" s="297"/>
      <c r="G78" s="297"/>
      <c r="H78" s="249"/>
      <c r="I78" s="164"/>
      <c r="J78" s="164"/>
      <c r="K78" s="360"/>
      <c r="L78" s="360"/>
      <c r="M78" s="164"/>
      <c r="N78" s="186">
        <f t="shared" ref="N78:N79" si="70">(N93/H93)^(1/6)</f>
        <v>1.3701684668870082</v>
      </c>
      <c r="O78" s="164"/>
      <c r="P78" s="164"/>
      <c r="Q78" s="164"/>
      <c r="R78" s="164"/>
      <c r="S78" s="164"/>
      <c r="T78" s="164"/>
      <c r="U78" s="164"/>
      <c r="V78" s="164"/>
      <c r="W78" s="164"/>
      <c r="X78" s="186">
        <f t="shared" ref="X78:X79" si="71">(X93/N93)^(1/10)</f>
        <v>1.0823543535221716</v>
      </c>
      <c r="AH78" s="186">
        <f t="shared" ref="AH78:AH79" si="72">(AH93/X93)^(1/10)</f>
        <v>1.0392878670806016</v>
      </c>
      <c r="AI78" s="127"/>
    </row>
    <row r="79" spans="1:35">
      <c r="A79" s="9" t="s">
        <v>53</v>
      </c>
      <c r="B79" s="37"/>
      <c r="C79" s="297"/>
      <c r="D79" s="297"/>
      <c r="E79" s="297"/>
      <c r="F79" s="297"/>
      <c r="G79" s="297"/>
      <c r="H79" s="249"/>
      <c r="I79" s="164"/>
      <c r="J79" s="164"/>
      <c r="K79" s="360"/>
      <c r="L79" s="360"/>
      <c r="M79" s="164"/>
      <c r="N79" s="186">
        <f t="shared" si="70"/>
        <v>1.0578632955144065</v>
      </c>
      <c r="O79" s="164"/>
      <c r="P79" s="164"/>
      <c r="Q79" s="164"/>
      <c r="R79" s="164"/>
      <c r="S79" s="164"/>
      <c r="T79" s="164"/>
      <c r="U79" s="164"/>
      <c r="V79" s="164"/>
      <c r="W79" s="164"/>
      <c r="X79" s="186">
        <f t="shared" si="71"/>
        <v>1.014074317838793</v>
      </c>
      <c r="AH79" s="186">
        <f t="shared" si="72"/>
        <v>1.0198657790027867</v>
      </c>
      <c r="AI79" s="127"/>
    </row>
    <row r="80" spans="1:35">
      <c r="A80" s="10"/>
      <c r="B80" s="37"/>
      <c r="C80" s="297"/>
      <c r="D80" s="297"/>
      <c r="E80" s="297"/>
      <c r="F80" s="297"/>
      <c r="G80" s="297"/>
      <c r="H80" s="249"/>
      <c r="I80" s="164"/>
      <c r="J80" s="164"/>
      <c r="K80" s="164"/>
      <c r="L80" s="164"/>
      <c r="M80" s="164"/>
      <c r="N80" s="180"/>
      <c r="O80" s="164"/>
      <c r="P80" s="164"/>
      <c r="Q80" s="164"/>
      <c r="R80" s="164"/>
      <c r="S80" s="164"/>
      <c r="T80" s="164"/>
      <c r="U80" s="164"/>
      <c r="V80" s="164"/>
      <c r="W80" s="164"/>
      <c r="X80" s="185"/>
      <c r="AI80" s="127"/>
    </row>
    <row r="81" spans="1:35">
      <c r="A81" s="1" t="s">
        <v>548</v>
      </c>
      <c r="B81" s="37"/>
      <c r="C81" s="297"/>
      <c r="D81" s="297"/>
      <c r="E81" s="297"/>
      <c r="F81" s="297"/>
      <c r="G81" s="297"/>
      <c r="H81" s="249"/>
      <c r="I81" s="164"/>
      <c r="J81" s="164"/>
      <c r="K81" s="164"/>
      <c r="L81" s="164"/>
      <c r="M81" s="164"/>
      <c r="N81" s="184" t="s">
        <v>0</v>
      </c>
      <c r="O81" s="164"/>
      <c r="P81" s="164"/>
      <c r="Q81" s="164"/>
      <c r="R81" s="164"/>
      <c r="S81" s="164"/>
      <c r="T81" s="164"/>
      <c r="U81" s="164"/>
      <c r="V81" s="164"/>
      <c r="W81" s="164"/>
      <c r="X81" s="185"/>
      <c r="AI81" s="127"/>
    </row>
    <row r="82" spans="1:35">
      <c r="A82" s="9" t="s">
        <v>282</v>
      </c>
      <c r="B82" s="37"/>
      <c r="C82" s="297"/>
      <c r="D82" s="297"/>
      <c r="E82" s="297"/>
      <c r="F82" s="297"/>
      <c r="G82" s="297"/>
      <c r="H82" s="249"/>
      <c r="I82" s="164"/>
      <c r="J82" s="164"/>
      <c r="K82" s="164"/>
      <c r="L82" s="164"/>
      <c r="M82" s="164"/>
      <c r="N82" s="185" t="s">
        <v>0</v>
      </c>
      <c r="O82" s="164"/>
      <c r="P82" s="164"/>
      <c r="Q82" s="164"/>
      <c r="R82" s="164"/>
      <c r="S82" s="164"/>
      <c r="T82" s="164"/>
      <c r="U82" s="164"/>
      <c r="V82" s="164"/>
      <c r="W82" s="164"/>
      <c r="X82" s="185"/>
      <c r="AI82" s="127"/>
    </row>
    <row r="83" spans="1:35">
      <c r="A83" s="20" t="s">
        <v>122</v>
      </c>
      <c r="B83" s="37"/>
      <c r="C83" s="297"/>
      <c r="D83" s="297"/>
      <c r="E83" s="297"/>
      <c r="F83" s="297"/>
      <c r="G83" s="297"/>
      <c r="H83" s="249"/>
      <c r="I83" s="164"/>
      <c r="J83" s="164"/>
      <c r="K83" s="164"/>
      <c r="L83" s="164"/>
      <c r="M83" s="164"/>
      <c r="N83" s="180"/>
      <c r="O83" s="164"/>
      <c r="P83" s="164"/>
      <c r="Q83" s="164"/>
      <c r="R83" s="164"/>
      <c r="S83" s="164"/>
      <c r="T83" s="164"/>
      <c r="U83" s="164"/>
      <c r="V83" s="164"/>
      <c r="W83" s="164"/>
      <c r="X83" s="185"/>
      <c r="AI83" s="127"/>
    </row>
    <row r="84" spans="1:35">
      <c r="A84" s="9" t="s">
        <v>49</v>
      </c>
      <c r="B84" s="37"/>
      <c r="C84" s="301">
        <f t="shared" ref="C84:AH84" si="73">C31/C$49</f>
        <v>0.79642699030608344</v>
      </c>
      <c r="D84" s="301">
        <f t="shared" si="73"/>
        <v>0.79414161778761116</v>
      </c>
      <c r="E84" s="301">
        <f t="shared" si="73"/>
        <v>0.79185624526913889</v>
      </c>
      <c r="F84" s="301">
        <f t="shared" si="73"/>
        <v>0.78957087275066662</v>
      </c>
      <c r="G84" s="301">
        <f t="shared" si="73"/>
        <v>0.78728550023219424</v>
      </c>
      <c r="H84" s="361">
        <f t="shared" si="73"/>
        <v>0.78265617272406751</v>
      </c>
      <c r="I84" s="116">
        <f t="shared" si="73"/>
        <v>0.78076145937053765</v>
      </c>
      <c r="J84" s="116">
        <f t="shared" si="73"/>
        <v>0.77886674601700778</v>
      </c>
      <c r="K84" s="116">
        <f t="shared" si="73"/>
        <v>0.77697203266347781</v>
      </c>
      <c r="L84" s="116">
        <f t="shared" si="73"/>
        <v>0.77507731930994805</v>
      </c>
      <c r="M84" s="116">
        <f t="shared" si="73"/>
        <v>0.7731826059564183</v>
      </c>
      <c r="N84" s="178">
        <f t="shared" si="73"/>
        <v>0.77128789260288799</v>
      </c>
      <c r="O84" s="116">
        <f t="shared" si="73"/>
        <v>0.76502146572773422</v>
      </c>
      <c r="P84" s="116">
        <f t="shared" si="73"/>
        <v>0.75875503885258044</v>
      </c>
      <c r="Q84" s="116">
        <f t="shared" si="73"/>
        <v>0.75248861197742678</v>
      </c>
      <c r="R84" s="116">
        <f t="shared" si="73"/>
        <v>0.74622218510227289</v>
      </c>
      <c r="S84" s="116">
        <f t="shared" si="73"/>
        <v>0.73995575822711912</v>
      </c>
      <c r="T84" s="116">
        <f t="shared" si="73"/>
        <v>0.73368933135196535</v>
      </c>
      <c r="U84" s="116">
        <f t="shared" si="73"/>
        <v>0.72742290447681157</v>
      </c>
      <c r="V84" s="116">
        <f t="shared" si="73"/>
        <v>0.7211564776016578</v>
      </c>
      <c r="W84" s="116">
        <f t="shared" si="73"/>
        <v>0.71489005072650402</v>
      </c>
      <c r="X84" s="178">
        <f t="shared" si="73"/>
        <v>0.70862362385135036</v>
      </c>
      <c r="Y84" s="173">
        <f t="shared" si="73"/>
        <v>0.70386936745478335</v>
      </c>
      <c r="Z84" s="173">
        <f t="shared" si="73"/>
        <v>0.69911511105821633</v>
      </c>
      <c r="AA84" s="173">
        <f t="shared" si="73"/>
        <v>0.69436085466164932</v>
      </c>
      <c r="AB84" s="173">
        <f t="shared" si="73"/>
        <v>0.6896065982650823</v>
      </c>
      <c r="AC84" s="173">
        <f t="shared" si="73"/>
        <v>0.68485234186851529</v>
      </c>
      <c r="AD84" s="173">
        <f t="shared" si="73"/>
        <v>0.68009808547194828</v>
      </c>
      <c r="AE84" s="173">
        <f t="shared" si="73"/>
        <v>0.67534382907538126</v>
      </c>
      <c r="AF84" s="173">
        <f t="shared" si="73"/>
        <v>0.67058957267881425</v>
      </c>
      <c r="AG84" s="173">
        <f t="shared" si="73"/>
        <v>0.66583531628224724</v>
      </c>
      <c r="AH84" s="178">
        <f t="shared" si="73"/>
        <v>0.66108105988568011</v>
      </c>
      <c r="AI84" s="127"/>
    </row>
    <row r="85" spans="1:35">
      <c r="A85" s="9" t="s">
        <v>59</v>
      </c>
      <c r="B85" s="37"/>
      <c r="C85" s="301">
        <f t="shared" ref="C85:AH85" si="74">C32/C$49</f>
        <v>0</v>
      </c>
      <c r="D85" s="301">
        <f t="shared" si="74"/>
        <v>0</v>
      </c>
      <c r="E85" s="301">
        <f t="shared" si="74"/>
        <v>0</v>
      </c>
      <c r="F85" s="301">
        <f t="shared" si="74"/>
        <v>0</v>
      </c>
      <c r="G85" s="301">
        <f t="shared" si="74"/>
        <v>0</v>
      </c>
      <c r="H85" s="361">
        <f t="shared" si="74"/>
        <v>0</v>
      </c>
      <c r="I85" s="116">
        <f t="shared" si="74"/>
        <v>0</v>
      </c>
      <c r="J85" s="116">
        <f t="shared" si="74"/>
        <v>0</v>
      </c>
      <c r="K85" s="116">
        <f t="shared" si="74"/>
        <v>0</v>
      </c>
      <c r="L85" s="116">
        <f t="shared" si="74"/>
        <v>0</v>
      </c>
      <c r="M85" s="116">
        <f t="shared" si="74"/>
        <v>0</v>
      </c>
      <c r="N85" s="178">
        <f t="shared" si="74"/>
        <v>0</v>
      </c>
      <c r="O85" s="116">
        <f t="shared" si="74"/>
        <v>0</v>
      </c>
      <c r="P85" s="116">
        <f t="shared" si="74"/>
        <v>0</v>
      </c>
      <c r="Q85" s="116">
        <f t="shared" si="74"/>
        <v>0</v>
      </c>
      <c r="R85" s="116">
        <f t="shared" si="74"/>
        <v>0</v>
      </c>
      <c r="S85" s="116">
        <f t="shared" si="74"/>
        <v>0</v>
      </c>
      <c r="T85" s="116">
        <f t="shared" si="74"/>
        <v>0</v>
      </c>
      <c r="U85" s="116">
        <f t="shared" si="74"/>
        <v>0</v>
      </c>
      <c r="V85" s="116">
        <f t="shared" si="74"/>
        <v>0</v>
      </c>
      <c r="W85" s="116">
        <f t="shared" si="74"/>
        <v>0</v>
      </c>
      <c r="X85" s="178">
        <f t="shared" si="74"/>
        <v>0</v>
      </c>
      <c r="Y85" s="173">
        <f t="shared" si="74"/>
        <v>0</v>
      </c>
      <c r="Z85" s="173">
        <f t="shared" si="74"/>
        <v>0</v>
      </c>
      <c r="AA85" s="173">
        <f t="shared" si="74"/>
        <v>0</v>
      </c>
      <c r="AB85" s="173">
        <f t="shared" si="74"/>
        <v>0</v>
      </c>
      <c r="AC85" s="173">
        <f t="shared" si="74"/>
        <v>0</v>
      </c>
      <c r="AD85" s="173">
        <f t="shared" si="74"/>
        <v>0</v>
      </c>
      <c r="AE85" s="173">
        <f t="shared" si="74"/>
        <v>0</v>
      </c>
      <c r="AF85" s="173">
        <f t="shared" si="74"/>
        <v>0</v>
      </c>
      <c r="AG85" s="173">
        <f t="shared" si="74"/>
        <v>0</v>
      </c>
      <c r="AH85" s="178">
        <f t="shared" si="74"/>
        <v>0</v>
      </c>
      <c r="AI85" s="127"/>
    </row>
    <row r="86" spans="1:35" s="217" customFormat="1">
      <c r="A86" s="10" t="s">
        <v>121</v>
      </c>
      <c r="B86" s="37"/>
      <c r="C86" s="375">
        <f t="shared" ref="C86:AH86" si="75">C34/C$49</f>
        <v>3.6485764445462178E-2</v>
      </c>
      <c r="D86" s="301">
        <f t="shared" si="75"/>
        <v>4.1153093760494412E-2</v>
      </c>
      <c r="E86" s="301">
        <f t="shared" si="75"/>
        <v>4.6417476837892553E-2</v>
      </c>
      <c r="F86" s="301">
        <f t="shared" si="75"/>
        <v>5.2355289945773605E-2</v>
      </c>
      <c r="G86" s="301">
        <f t="shared" si="75"/>
        <v>5.9052679551689163E-2</v>
      </c>
      <c r="H86" s="374">
        <f t="shared" si="75"/>
        <v>4.0944196286473111E-2</v>
      </c>
      <c r="I86" s="361">
        <f t="shared" si="75"/>
        <v>4.6181856796339654E-2</v>
      </c>
      <c r="J86" s="361">
        <f t="shared" si="75"/>
        <v>5.2089528934342093E-2</v>
      </c>
      <c r="K86" s="361">
        <f t="shared" si="75"/>
        <v>5.8752921879414728E-2</v>
      </c>
      <c r="L86" s="361">
        <f t="shared" si="75"/>
        <v>6.6268708893867614E-2</v>
      </c>
      <c r="M86" s="361">
        <f t="shared" si="75"/>
        <v>7.4745929870065467E-2</v>
      </c>
      <c r="N86" s="362">
        <f>N34/N$49</f>
        <v>8.4307573293581267E-2</v>
      </c>
      <c r="O86" s="361">
        <f t="shared" si="75"/>
        <v>8.5494144876332487E-2</v>
      </c>
      <c r="P86" s="361">
        <f t="shared" si="75"/>
        <v>8.6697416644677824E-2</v>
      </c>
      <c r="Q86" s="361">
        <f t="shared" si="75"/>
        <v>8.7917623642337295E-2</v>
      </c>
      <c r="R86" s="361">
        <f t="shared" si="75"/>
        <v>8.9155004221110945E-2</v>
      </c>
      <c r="S86" s="361">
        <f t="shared" si="75"/>
        <v>9.0409800087437805E-2</v>
      </c>
      <c r="T86" s="361">
        <f t="shared" si="75"/>
        <v>9.1682256349610164E-2</v>
      </c>
      <c r="U86" s="361">
        <f t="shared" si="75"/>
        <v>9.2972621565652294E-2</v>
      </c>
      <c r="V86" s="361">
        <f t="shared" si="75"/>
        <v>9.4281147791873118E-2</v>
      </c>
      <c r="W86" s="361">
        <f t="shared" si="75"/>
        <v>9.5608090632102183E-2</v>
      </c>
      <c r="X86" s="362">
        <f t="shared" si="75"/>
        <v>9.6953709287618442E-2</v>
      </c>
      <c r="Y86" s="361">
        <f>Y34/Y$49</f>
        <v>9.8879770249826707E-2</v>
      </c>
      <c r="Z86" s="361">
        <f t="shared" si="75"/>
        <v>0.1008440939134561</v>
      </c>
      <c r="AA86" s="361">
        <f t="shared" si="75"/>
        <v>0.10284744039687709</v>
      </c>
      <c r="AB86" s="361">
        <f t="shared" si="75"/>
        <v>0.10489058491880372</v>
      </c>
      <c r="AC86" s="361">
        <f t="shared" si="75"/>
        <v>0.10697431809827371</v>
      </c>
      <c r="AD86" s="361">
        <f t="shared" si="75"/>
        <v>0.10909944626058782</v>
      </c>
      <c r="AE86" s="361">
        <f t="shared" si="75"/>
        <v>0.11126679174932706</v>
      </c>
      <c r="AF86" s="361">
        <f t="shared" si="75"/>
        <v>0.11347719324456829</v>
      </c>
      <c r="AG86" s="361">
        <f t="shared" si="75"/>
        <v>0.1157315060874214</v>
      </c>
      <c r="AH86" s="362">
        <f t="shared" si="75"/>
        <v>0.11803060261101377</v>
      </c>
      <c r="AI86" s="257"/>
    </row>
    <row r="87" spans="1:35">
      <c r="A87" s="9" t="s">
        <v>50</v>
      </c>
      <c r="B87" s="37"/>
      <c r="C87" s="375">
        <f t="shared" ref="C87:AH87" si="76">C35/C$49</f>
        <v>5.801083886726204E-3</v>
      </c>
      <c r="D87" s="301">
        <f t="shared" si="76"/>
        <v>6.831274251095391E-3</v>
      </c>
      <c r="E87" s="301">
        <f t="shared" si="76"/>
        <v>8.0444118383564099E-3</v>
      </c>
      <c r="F87" s="301">
        <f t="shared" si="76"/>
        <v>9.4729854850597074E-3</v>
      </c>
      <c r="G87" s="301">
        <f t="shared" si="76"/>
        <v>1.1155253585137997E-2</v>
      </c>
      <c r="H87" s="374">
        <f t="shared" si="76"/>
        <v>5.1918288639363382E-3</v>
      </c>
      <c r="I87" s="116">
        <f t="shared" si="76"/>
        <v>6.1138241623183206E-3</v>
      </c>
      <c r="J87" s="116">
        <f>J35/J$49</f>
        <v>7.1995527717389823E-3</v>
      </c>
      <c r="K87" s="116">
        <f t="shared" si="76"/>
        <v>8.8137711684161194E-3</v>
      </c>
      <c r="L87" s="116">
        <f t="shared" si="76"/>
        <v>1.0121952732454729E-2</v>
      </c>
      <c r="M87" s="116">
        <f t="shared" si="76"/>
        <v>1.175664069634642E-2</v>
      </c>
      <c r="N87" s="178">
        <f t="shared" si="76"/>
        <v>1.384445362910541E-2</v>
      </c>
      <c r="O87" s="116">
        <f t="shared" si="76"/>
        <v>1.4039304869785866E-2</v>
      </c>
      <c r="P87" s="116">
        <f t="shared" si="76"/>
        <v>1.4236898508758946E-2</v>
      </c>
      <c r="Q87" s="116">
        <f t="shared" si="76"/>
        <v>1.4437273143409856E-2</v>
      </c>
      <c r="R87" s="116">
        <f t="shared" si="76"/>
        <v>1.4804548165203912E-2</v>
      </c>
      <c r="S87" s="116">
        <f t="shared" si="76"/>
        <v>1.5991482944961426E-2</v>
      </c>
      <c r="T87" s="116">
        <f t="shared" si="76"/>
        <v>1.7380861745478968E-2</v>
      </c>
      <c r="U87" s="116">
        <f t="shared" si="76"/>
        <v>1.868430432964896E-2</v>
      </c>
      <c r="V87" s="116">
        <f t="shared" si="76"/>
        <v>1.9375325177010409E-2</v>
      </c>
      <c r="W87" s="116">
        <f t="shared" si="76"/>
        <v>1.9330768995103494E-2</v>
      </c>
      <c r="X87" s="178">
        <f t="shared" si="76"/>
        <v>1.5921121673471216E-2</v>
      </c>
      <c r="Y87" s="173">
        <f t="shared" si="76"/>
        <v>2.1632428121906497E-2</v>
      </c>
      <c r="Z87" s="173">
        <f t="shared" si="76"/>
        <v>2.4249680171704473E-2</v>
      </c>
      <c r="AA87" s="173">
        <f t="shared" si="76"/>
        <v>2.6570841352040731E-2</v>
      </c>
      <c r="AB87" s="173">
        <f t="shared" si="76"/>
        <v>2.887911752634276E-2</v>
      </c>
      <c r="AC87" s="173">
        <f t="shared" si="76"/>
        <v>2.9386856397249247E-2</v>
      </c>
      <c r="AD87" s="173">
        <f t="shared" si="76"/>
        <v>2.9750486883770622E-2</v>
      </c>
      <c r="AE87" s="173">
        <f t="shared" si="76"/>
        <v>2.9865458979669576E-2</v>
      </c>
      <c r="AF87" s="173">
        <f t="shared" si="76"/>
        <v>3.0357039901502948E-2</v>
      </c>
      <c r="AG87" s="173">
        <f t="shared" si="76"/>
        <v>3.0766952126125111E-2</v>
      </c>
      <c r="AH87" s="178">
        <f t="shared" si="76"/>
        <v>1.9382235080747569E-2</v>
      </c>
      <c r="AI87" s="127"/>
    </row>
    <row r="88" spans="1:35">
      <c r="A88" s="9" t="s">
        <v>119</v>
      </c>
      <c r="B88" s="37"/>
      <c r="C88" s="375">
        <f t="shared" ref="C88:AH88" si="77">C36/C$49</f>
        <v>0</v>
      </c>
      <c r="D88" s="301">
        <f t="shared" si="77"/>
        <v>0</v>
      </c>
      <c r="E88" s="301">
        <f t="shared" si="77"/>
        <v>0</v>
      </c>
      <c r="F88" s="301">
        <f t="shared" si="77"/>
        <v>0</v>
      </c>
      <c r="G88" s="301">
        <f t="shared" si="77"/>
        <v>0</v>
      </c>
      <c r="H88" s="374">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375">
        <f t="shared" ref="C89:AH89" si="78">C37/C$49</f>
        <v>0</v>
      </c>
      <c r="D89" s="301">
        <f t="shared" si="78"/>
        <v>0</v>
      </c>
      <c r="E89" s="301">
        <f t="shared" si="78"/>
        <v>4.5134260359002429E-5</v>
      </c>
      <c r="F89" s="301">
        <f t="shared" si="78"/>
        <v>5.4800793370506875E-5</v>
      </c>
      <c r="G89" s="301">
        <f t="shared" si="78"/>
        <v>7.4817516632334473E-5</v>
      </c>
      <c r="H89" s="374">
        <f t="shared" si="78"/>
        <v>6.5675303026144362E-5</v>
      </c>
      <c r="I89" s="116">
        <f t="shared" si="78"/>
        <v>7.4490991435204252E-5</v>
      </c>
      <c r="J89" s="116">
        <f t="shared" si="78"/>
        <v>7.6326115931411742E-5</v>
      </c>
      <c r="K89" s="116">
        <f t="shared" si="78"/>
        <v>8.2282731689540333E-5</v>
      </c>
      <c r="L89" s="116">
        <f t="shared" si="78"/>
        <v>8.8704211548992635E-5</v>
      </c>
      <c r="M89" s="116">
        <f t="shared" si="78"/>
        <v>9.5626834269634043E-5</v>
      </c>
      <c r="N89" s="178">
        <f t="shared" si="78"/>
        <v>1.0308970986548282E-4</v>
      </c>
      <c r="O89" s="116">
        <f t="shared" si="78"/>
        <v>1.0454062720803852E-4</v>
      </c>
      <c r="P89" s="116">
        <f t="shared" si="78"/>
        <v>1.0601196522243122E-4</v>
      </c>
      <c r="Q89" s="116">
        <f t="shared" si="78"/>
        <v>1.075040113156868E-4</v>
      </c>
      <c r="R89" s="116">
        <f t="shared" si="78"/>
        <v>1.0901705693988895E-4</v>
      </c>
      <c r="S89" s="116">
        <f t="shared" si="78"/>
        <v>1.1055139764911073E-4</v>
      </c>
      <c r="T89" s="116">
        <f t="shared" si="78"/>
        <v>1.1210733315714711E-4</v>
      </c>
      <c r="U89" s="116">
        <f t="shared" si="78"/>
        <v>1.1368516739606025E-4</v>
      </c>
      <c r="V89" s="116">
        <f t="shared" si="78"/>
        <v>1.1528520857554879E-4</v>
      </c>
      <c r="W89" s="116">
        <f t="shared" si="78"/>
        <v>1.1690776924315261E-4</v>
      </c>
      <c r="X89" s="178">
        <f t="shared" si="78"/>
        <v>1.1855316634530521E-4</v>
      </c>
      <c r="Y89" s="173">
        <f t="shared" si="78"/>
        <v>1.2090831734800167E-4</v>
      </c>
      <c r="Z89" s="173">
        <f t="shared" si="78"/>
        <v>1.2331025526003586E-4</v>
      </c>
      <c r="AA89" s="173">
        <f t="shared" si="78"/>
        <v>1.2575990953980895E-4</v>
      </c>
      <c r="AB89" s="173">
        <f t="shared" si="78"/>
        <v>1.2825822811013724E-4</v>
      </c>
      <c r="AC89" s="173">
        <f t="shared" si="78"/>
        <v>1.3080617772506223E-4</v>
      </c>
      <c r="AD89" s="173">
        <f t="shared" si="78"/>
        <v>1.3340474434394756E-4</v>
      </c>
      <c r="AE89" s="173">
        <f t="shared" si="78"/>
        <v>1.3605493351300768E-4</v>
      </c>
      <c r="AF89" s="173">
        <f t="shared" si="78"/>
        <v>1.3875777075441592E-4</v>
      </c>
      <c r="AG89" s="173">
        <f t="shared" si="78"/>
        <v>1.4151430196314251E-4</v>
      </c>
      <c r="AH89" s="178">
        <f t="shared" si="78"/>
        <v>1.4432559381167591E-4</v>
      </c>
      <c r="AI89" s="127"/>
    </row>
    <row r="90" spans="1:35" s="217" customFormat="1">
      <c r="A90" s="10" t="s">
        <v>347</v>
      </c>
      <c r="B90" s="37"/>
      <c r="C90" s="375">
        <f t="shared" ref="C90:AH90" si="79">C38/C$49</f>
        <v>0</v>
      </c>
      <c r="D90" s="301">
        <f t="shared" si="79"/>
        <v>0</v>
      </c>
      <c r="E90" s="301">
        <f t="shared" si="79"/>
        <v>1.4385100685881885E-6</v>
      </c>
      <c r="F90" s="301">
        <f t="shared" si="79"/>
        <v>1.4882157927962943E-6</v>
      </c>
      <c r="G90" s="301">
        <f t="shared" si="79"/>
        <v>1.7028692006999807E-6</v>
      </c>
      <c r="H90" s="374">
        <f t="shared" si="79"/>
        <v>1.6724145945962062E-6</v>
      </c>
      <c r="I90" s="361">
        <f t="shared" si="79"/>
        <v>1.738692011254679E-6</v>
      </c>
      <c r="J90" s="361">
        <f t="shared" si="79"/>
        <v>1.8075959871246744E-6</v>
      </c>
      <c r="K90" s="361">
        <f t="shared" si="79"/>
        <v>1.8792306121608018E-6</v>
      </c>
      <c r="L90" s="361">
        <f t="shared" si="79"/>
        <v>1.9537041013793111E-6</v>
      </c>
      <c r="M90" s="361">
        <f t="shared" si="79"/>
        <v>2.0311289583333656E-6</v>
      </c>
      <c r="N90" s="362">
        <f t="shared" si="79"/>
        <v>2.1116221450667974E-6</v>
      </c>
      <c r="O90" s="361">
        <f t="shared" si="79"/>
        <v>2.1413417862919023E-6</v>
      </c>
      <c r="P90" s="361">
        <f t="shared" si="79"/>
        <v>2.1714797111936631E-6</v>
      </c>
      <c r="Q90" s="361">
        <f t="shared" si="79"/>
        <v>2.2020418068294931E-6</v>
      </c>
      <c r="R90" s="361">
        <f t="shared" si="79"/>
        <v>2.2330340431131212E-6</v>
      </c>
      <c r="S90" s="361">
        <f t="shared" si="79"/>
        <v>2.2644624739807403E-6</v>
      </c>
      <c r="T90" s="361">
        <f t="shared" si="79"/>
        <v>2.2963332385735646E-6</v>
      </c>
      <c r="U90" s="361">
        <f t="shared" si="79"/>
        <v>2.3286525624370338E-6</v>
      </c>
      <c r="V90" s="361">
        <f t="shared" si="79"/>
        <v>2.3614267587368918E-6</v>
      </c>
      <c r="W90" s="361">
        <f t="shared" si="79"/>
        <v>2.394662229492386E-6</v>
      </c>
      <c r="X90" s="362">
        <f t="shared" si="79"/>
        <v>2.4283654668268157E-6</v>
      </c>
      <c r="Y90" s="361">
        <f t="shared" si="79"/>
        <v>2.4766068385287965E-6</v>
      </c>
      <c r="Z90" s="361">
        <f t="shared" si="79"/>
        <v>2.5258065626598E-6</v>
      </c>
      <c r="AA90" s="361">
        <f t="shared" si="79"/>
        <v>2.575983677637388E-6</v>
      </c>
      <c r="AB90" s="361">
        <f t="shared" si="79"/>
        <v>2.6271576000921182E-6</v>
      </c>
      <c r="AC90" s="361">
        <f t="shared" si="79"/>
        <v>2.6793481323810399E-6</v>
      </c>
      <c r="AD90" s="361">
        <f t="shared" si="79"/>
        <v>2.7325754702504512E-6</v>
      </c>
      <c r="AE90" s="361">
        <f t="shared" si="79"/>
        <v>2.7868602106508828E-6</v>
      </c>
      <c r="AF90" s="361">
        <f t="shared" si="79"/>
        <v>2.8422233597073329E-6</v>
      </c>
      <c r="AG90" s="361">
        <f t="shared" si="79"/>
        <v>2.8986863408478367E-6</v>
      </c>
      <c r="AH90" s="362">
        <f t="shared" si="79"/>
        <v>2.9562710030935149E-6</v>
      </c>
      <c r="AI90" s="257"/>
    </row>
    <row r="91" spans="1:35" s="217" customFormat="1">
      <c r="A91" s="10" t="s">
        <v>348</v>
      </c>
      <c r="B91" s="37"/>
      <c r="C91" s="375">
        <f t="shared" ref="C91:AH91" si="80">C39/C$49</f>
        <v>0</v>
      </c>
      <c r="D91" s="301">
        <f t="shared" si="80"/>
        <v>0</v>
      </c>
      <c r="E91" s="301">
        <f t="shared" si="80"/>
        <v>7.1925503429409427E-7</v>
      </c>
      <c r="F91" s="301">
        <f t="shared" si="80"/>
        <v>7.4410789639814715E-7</v>
      </c>
      <c r="G91" s="301">
        <f t="shared" si="80"/>
        <v>8.5143460034999037E-7</v>
      </c>
      <c r="H91" s="374">
        <f t="shared" si="80"/>
        <v>8.3620729729810312E-7</v>
      </c>
      <c r="I91" s="361">
        <f t="shared" si="80"/>
        <v>8.6934600562733949E-7</v>
      </c>
      <c r="J91" s="361">
        <f t="shared" si="80"/>
        <v>9.0379799356233719E-7</v>
      </c>
      <c r="K91" s="361">
        <f t="shared" si="80"/>
        <v>9.3961530608040091E-7</v>
      </c>
      <c r="L91" s="361">
        <f t="shared" si="80"/>
        <v>9.7685205068965554E-7</v>
      </c>
      <c r="M91" s="361">
        <f t="shared" si="80"/>
        <v>1.0155644791666828E-6</v>
      </c>
      <c r="N91" s="362">
        <f t="shared" si="80"/>
        <v>1.0558110725333987E-6</v>
      </c>
      <c r="O91" s="361">
        <f t="shared" si="80"/>
        <v>1.0706708931459511E-6</v>
      </c>
      <c r="P91" s="361">
        <f t="shared" si="80"/>
        <v>1.0857398555968316E-6</v>
      </c>
      <c r="Q91" s="361">
        <f t="shared" si="80"/>
        <v>1.1010209034147465E-6</v>
      </c>
      <c r="R91" s="361">
        <f t="shared" si="80"/>
        <v>1.1165170215565606E-6</v>
      </c>
      <c r="S91" s="361">
        <f t="shared" si="80"/>
        <v>1.1322312369903701E-6</v>
      </c>
      <c r="T91" s="361">
        <f t="shared" si="80"/>
        <v>1.1481666192867823E-6</v>
      </c>
      <c r="U91" s="361">
        <f t="shared" si="80"/>
        <v>1.1643262812185169E-6</v>
      </c>
      <c r="V91" s="361">
        <f t="shared" si="80"/>
        <v>1.1807133793684459E-6</v>
      </c>
      <c r="W91" s="361">
        <f t="shared" si="80"/>
        <v>1.197331114746193E-6</v>
      </c>
      <c r="X91" s="362">
        <f t="shared" si="80"/>
        <v>1.2141827334134079E-6</v>
      </c>
      <c r="Y91" s="361">
        <f t="shared" si="80"/>
        <v>1.2383034192643982E-6</v>
      </c>
      <c r="Z91" s="361">
        <f t="shared" si="80"/>
        <v>1.2629032813299E-6</v>
      </c>
      <c r="AA91" s="361">
        <f t="shared" si="80"/>
        <v>1.287991838818694E-6</v>
      </c>
      <c r="AB91" s="361">
        <f t="shared" si="80"/>
        <v>1.3135788000460591E-6</v>
      </c>
      <c r="AC91" s="361">
        <f t="shared" si="80"/>
        <v>1.33967406619052E-6</v>
      </c>
      <c r="AD91" s="361">
        <f t="shared" si="80"/>
        <v>1.3662877351252256E-6</v>
      </c>
      <c r="AE91" s="361">
        <f t="shared" si="80"/>
        <v>1.3934301053254414E-6</v>
      </c>
      <c r="AF91" s="361">
        <f t="shared" si="80"/>
        <v>1.4211116798536664E-6</v>
      </c>
      <c r="AG91" s="361">
        <f t="shared" si="80"/>
        <v>1.4493431704239183E-6</v>
      </c>
      <c r="AH91" s="362">
        <f t="shared" si="80"/>
        <v>1.4781355015467574E-6</v>
      </c>
      <c r="AI91" s="257"/>
    </row>
    <row r="92" spans="1:35">
      <c r="A92" s="9" t="s">
        <v>344</v>
      </c>
      <c r="B92" s="37"/>
      <c r="C92" s="375">
        <f t="shared" ref="C92:AH92" si="81">C40/C$49</f>
        <v>7.6330051141134261E-7</v>
      </c>
      <c r="D92" s="301">
        <f t="shared" si="81"/>
        <v>8.3166999334664009E-7</v>
      </c>
      <c r="E92" s="301">
        <f t="shared" si="81"/>
        <v>8.2499814690416742E-7</v>
      </c>
      <c r="F92" s="301">
        <f t="shared" si="81"/>
        <v>8.5769263910813989E-7</v>
      </c>
      <c r="G92" s="301">
        <f t="shared" si="81"/>
        <v>8.9168280673209604E-7</v>
      </c>
      <c r="H92" s="374">
        <f t="shared" si="81"/>
        <v>8.3620729729810312E-7</v>
      </c>
      <c r="I92" s="116">
        <f t="shared" si="81"/>
        <v>8.6934600562733949E-7</v>
      </c>
      <c r="J92" s="116">
        <f t="shared" si="81"/>
        <v>9.0379799356233719E-7</v>
      </c>
      <c r="K92" s="116">
        <f t="shared" si="81"/>
        <v>9.3961530608040091E-7</v>
      </c>
      <c r="L92" s="116">
        <f t="shared" si="81"/>
        <v>9.7685205068965554E-7</v>
      </c>
      <c r="M92" s="116">
        <f t="shared" si="81"/>
        <v>1.0155644791666828E-6</v>
      </c>
      <c r="N92" s="178">
        <f t="shared" si="81"/>
        <v>1.0558110725333987E-6</v>
      </c>
      <c r="O92" s="116">
        <f t="shared" si="81"/>
        <v>1.0706708931459511E-6</v>
      </c>
      <c r="P92" s="116">
        <f t="shared" si="81"/>
        <v>1.0857398555968316E-6</v>
      </c>
      <c r="Q92" s="116">
        <f t="shared" si="81"/>
        <v>1.1010209034147465E-6</v>
      </c>
      <c r="R92" s="116">
        <f t="shared" si="81"/>
        <v>1.1165170215565606E-6</v>
      </c>
      <c r="S92" s="116">
        <f t="shared" si="81"/>
        <v>1.1322312369903701E-6</v>
      </c>
      <c r="T92" s="116">
        <f t="shared" si="81"/>
        <v>1.1481666192867823E-6</v>
      </c>
      <c r="U92" s="116">
        <f t="shared" si="81"/>
        <v>1.1643262812185169E-6</v>
      </c>
      <c r="V92" s="116">
        <f t="shared" si="81"/>
        <v>1.1807133793684459E-6</v>
      </c>
      <c r="W92" s="116">
        <f t="shared" si="81"/>
        <v>1.197331114746193E-6</v>
      </c>
      <c r="X92" s="178">
        <f t="shared" si="81"/>
        <v>1.2141827334134079E-6</v>
      </c>
      <c r="Y92" s="173">
        <f t="shared" si="81"/>
        <v>1.2383034192643982E-6</v>
      </c>
      <c r="Z92" s="173">
        <f t="shared" si="81"/>
        <v>1.2629032813299E-6</v>
      </c>
      <c r="AA92" s="173">
        <f t="shared" si="81"/>
        <v>1.287991838818694E-6</v>
      </c>
      <c r="AB92" s="173">
        <f t="shared" si="81"/>
        <v>1.3135788000460591E-6</v>
      </c>
      <c r="AC92" s="173">
        <f t="shared" si="81"/>
        <v>1.33967406619052E-6</v>
      </c>
      <c r="AD92" s="173">
        <f t="shared" si="81"/>
        <v>1.3662877351252256E-6</v>
      </c>
      <c r="AE92" s="173">
        <f t="shared" si="81"/>
        <v>1.3934301053254414E-6</v>
      </c>
      <c r="AF92" s="173">
        <f t="shared" si="81"/>
        <v>1.4211116798536664E-6</v>
      </c>
      <c r="AG92" s="173">
        <f t="shared" si="81"/>
        <v>1.4493431704239183E-6</v>
      </c>
      <c r="AH92" s="178">
        <f t="shared" si="81"/>
        <v>1.4781355015467574E-6</v>
      </c>
      <c r="AI92" s="127"/>
    </row>
    <row r="93" spans="1:35">
      <c r="A93" s="9" t="s">
        <v>120</v>
      </c>
      <c r="B93" s="37"/>
      <c r="C93" s="375">
        <f t="shared" ref="C93:AH93" si="82">C41/C$49</f>
        <v>0</v>
      </c>
      <c r="D93" s="301">
        <f t="shared" si="82"/>
        <v>0</v>
      </c>
      <c r="E93" s="301">
        <f t="shared" si="82"/>
        <v>0</v>
      </c>
      <c r="F93" s="301">
        <f t="shared" si="82"/>
        <v>0</v>
      </c>
      <c r="G93" s="301">
        <f t="shared" si="82"/>
        <v>0</v>
      </c>
      <c r="H93" s="374">
        <f t="shared" si="82"/>
        <v>8.3620729729810313E-5</v>
      </c>
      <c r="I93" s="116">
        <f t="shared" si="82"/>
        <v>1.6973825573466644E-4</v>
      </c>
      <c r="J93" s="116">
        <f t="shared" si="82"/>
        <v>2.4788072142219582E-4</v>
      </c>
      <c r="K93" s="116">
        <f t="shared" si="82"/>
        <v>3.2532812424778507E-4</v>
      </c>
      <c r="L93" s="116">
        <f t="shared" si="82"/>
        <v>4.0066070542032274E-4</v>
      </c>
      <c r="M93" s="116">
        <f t="shared" si="82"/>
        <v>4.762276150624816E-4</v>
      </c>
      <c r="N93" s="178">
        <f t="shared" si="82"/>
        <v>5.5329629710090973E-4</v>
      </c>
      <c r="O93" s="116">
        <f t="shared" si="82"/>
        <v>6.2079408140396542E-4</v>
      </c>
      <c r="P93" s="116">
        <f t="shared" si="82"/>
        <v>6.8963983386684203E-4</v>
      </c>
      <c r="Q93" s="116">
        <f t="shared" si="82"/>
        <v>7.5937021135820068E-4</v>
      </c>
      <c r="R93" s="116">
        <f t="shared" si="82"/>
        <v>8.300628382943157E-4</v>
      </c>
      <c r="S93" s="116">
        <f t="shared" si="82"/>
        <v>8.9898105802491948E-4</v>
      </c>
      <c r="T93" s="116">
        <f t="shared" si="82"/>
        <v>9.6184145421003922E-4</v>
      </c>
      <c r="U93" s="116">
        <f t="shared" si="82"/>
        <v>1.0286620924253097E-3</v>
      </c>
      <c r="V93" s="116">
        <f t="shared" si="82"/>
        <v>1.0975582632452849E-3</v>
      </c>
      <c r="W93" s="116">
        <f t="shared" si="82"/>
        <v>1.1571404191020403E-3</v>
      </c>
      <c r="X93" s="178">
        <f t="shared" si="82"/>
        <v>1.2208222814964467E-3</v>
      </c>
      <c r="Y93" s="173">
        <f t="shared" si="82"/>
        <v>1.2874340483677992E-3</v>
      </c>
      <c r="Z93" s="173">
        <f t="shared" si="82"/>
        <v>1.3424249785789863E-3</v>
      </c>
      <c r="AA93" s="173">
        <f t="shared" si="82"/>
        <v>1.4042222273008512E-3</v>
      </c>
      <c r="AB93" s="173">
        <f t="shared" si="82"/>
        <v>1.4658433365802716E-3</v>
      </c>
      <c r="AC93" s="173">
        <f t="shared" si="82"/>
        <v>1.5269373066800951E-3</v>
      </c>
      <c r="AD93" s="173">
        <f t="shared" si="82"/>
        <v>1.5850534989501283E-3</v>
      </c>
      <c r="AE93" s="173">
        <f t="shared" si="82"/>
        <v>1.6363247147106698E-3</v>
      </c>
      <c r="AF93" s="173">
        <f t="shared" si="82"/>
        <v>1.6938978359908425E-3</v>
      </c>
      <c r="AG93" s="173">
        <f t="shared" si="82"/>
        <v>1.7416241061070897E-3</v>
      </c>
      <c r="AH93" s="178">
        <f t="shared" si="82"/>
        <v>1.7947791660714613E-3</v>
      </c>
      <c r="AI93" s="127"/>
    </row>
    <row r="94" spans="1:35">
      <c r="A94" s="9" t="s">
        <v>53</v>
      </c>
      <c r="B94" s="37"/>
      <c r="C94" s="375">
        <f t="shared" ref="C94:AH94" si="83">C42/C$49</f>
        <v>2.3891306007175026E-2</v>
      </c>
      <c r="D94" s="301">
        <f t="shared" si="83"/>
        <v>3.6676646706586824E-2</v>
      </c>
      <c r="E94" s="301">
        <f t="shared" si="83"/>
        <v>4.6348393118524144E-2</v>
      </c>
      <c r="F94" s="301">
        <f t="shared" si="83"/>
        <v>5.4730152943427493E-2</v>
      </c>
      <c r="G94" s="301">
        <f t="shared" si="83"/>
        <v>7.3690230044531693E-2</v>
      </c>
      <c r="H94" s="374">
        <f t="shared" si="83"/>
        <v>7.2596763352447427E-2</v>
      </c>
      <c r="I94" s="116">
        <f t="shared" si="83"/>
        <v>7.8834096869698403E-2</v>
      </c>
      <c r="J94" s="116">
        <f t="shared" si="83"/>
        <v>8.1241204944396003E-2</v>
      </c>
      <c r="K94" s="116">
        <f t="shared" si="83"/>
        <v>8.594208879404007E-2</v>
      </c>
      <c r="L94" s="116">
        <f t="shared" si="83"/>
        <v>9.0914981275054957E-2</v>
      </c>
      <c r="M94" s="116">
        <f t="shared" si="83"/>
        <v>9.6175621703260203E-2</v>
      </c>
      <c r="N94" s="178">
        <f t="shared" si="83"/>
        <v>0.10174066012315773</v>
      </c>
      <c r="O94" s="116">
        <f t="shared" si="83"/>
        <v>0.10317259051085964</v>
      </c>
      <c r="P94" s="116">
        <f t="shared" si="83"/>
        <v>0.1046246743419611</v>
      </c>
      <c r="Q94" s="116">
        <f t="shared" si="83"/>
        <v>0.10609719526243007</v>
      </c>
      <c r="R94" s="116">
        <f t="shared" si="83"/>
        <v>0.10759044091035799</v>
      </c>
      <c r="S94" s="116">
        <f t="shared" si="83"/>
        <v>0.10910470297214625</v>
      </c>
      <c r="T94" s="116">
        <f t="shared" si="83"/>
        <v>0.11064027723948336</v>
      </c>
      <c r="U94" s="116">
        <f t="shared" si="83"/>
        <v>0.11219746366712402</v>
      </c>
      <c r="V94" s="116">
        <f t="shared" si="83"/>
        <v>0.11377656643148155</v>
      </c>
      <c r="W94" s="116">
        <f t="shared" si="83"/>
        <v>0.11537789399004476</v>
      </c>
      <c r="X94" s="178">
        <f t="shared" si="83"/>
        <v>0.11700175914163136</v>
      </c>
      <c r="Y94" s="173">
        <f t="shared" si="83"/>
        <v>0.11932609023167629</v>
      </c>
      <c r="Z94" s="173">
        <f t="shared" si="83"/>
        <v>0.12169659596948536</v>
      </c>
      <c r="AA94" s="173">
        <f t="shared" si="83"/>
        <v>0.12411419365040659</v>
      </c>
      <c r="AB94" s="173">
        <f t="shared" si="83"/>
        <v>0.12657981879257466</v>
      </c>
      <c r="AC94" s="173">
        <f t="shared" si="83"/>
        <v>0.12909442549892072</v>
      </c>
      <c r="AD94" s="173">
        <f t="shared" si="83"/>
        <v>0.131658986826374</v>
      </c>
      <c r="AE94" s="173">
        <f t="shared" si="83"/>
        <v>0.13427449516239756</v>
      </c>
      <c r="AF94" s="173">
        <f t="shared" si="83"/>
        <v>0.13694196260900451</v>
      </c>
      <c r="AG94" s="173">
        <f t="shared" si="83"/>
        <v>0.13966242137440288</v>
      </c>
      <c r="AH94" s="178">
        <f t="shared" si="83"/>
        <v>0.14243692417242082</v>
      </c>
      <c r="AI94" s="127"/>
    </row>
    <row r="95" spans="1:35" s="343" customFormat="1">
      <c r="A95" s="338" t="s">
        <v>541</v>
      </c>
      <c r="B95" s="339"/>
      <c r="C95" s="340">
        <f>SUM(C86:C94)</f>
        <v>6.6178917639874824E-2</v>
      </c>
      <c r="D95" s="340">
        <f>SUM(D86:D94)</f>
        <v>8.4661846388169981E-2</v>
      </c>
      <c r="E95" s="340">
        <f>SUM(E86:E94)</f>
        <v>0.10085839881838189</v>
      </c>
      <c r="F95" s="340">
        <f>SUM(F86:F94)</f>
        <v>0.11661631918395962</v>
      </c>
      <c r="G95" s="340">
        <f t="shared" ref="G95:AH95" si="84">SUM(G86:G94)</f>
        <v>0.14397642668459898</v>
      </c>
      <c r="H95" s="340">
        <f t="shared" si="84"/>
        <v>0.11888542936480204</v>
      </c>
      <c r="I95" s="340">
        <f t="shared" si="84"/>
        <v>0.13137748445954875</v>
      </c>
      <c r="J95" s="340">
        <f t="shared" si="84"/>
        <v>0.14085810867980494</v>
      </c>
      <c r="K95" s="340">
        <f t="shared" si="84"/>
        <v>0.15392015115903257</v>
      </c>
      <c r="L95" s="340">
        <f t="shared" si="84"/>
        <v>0.16779891522654938</v>
      </c>
      <c r="M95" s="340">
        <f t="shared" si="84"/>
        <v>0.18325410897692088</v>
      </c>
      <c r="N95" s="341">
        <f t="shared" si="84"/>
        <v>0.20055329629710095</v>
      </c>
      <c r="O95" s="340">
        <f t="shared" si="84"/>
        <v>0.2034356576491626</v>
      </c>
      <c r="P95" s="340">
        <f t="shared" si="84"/>
        <v>0.20635898425390953</v>
      </c>
      <c r="Q95" s="340">
        <f t="shared" si="84"/>
        <v>0.2093233703544648</v>
      </c>
      <c r="R95" s="340">
        <f t="shared" si="84"/>
        <v>0.21249353925999329</v>
      </c>
      <c r="S95" s="340">
        <f t="shared" si="84"/>
        <v>0.21652004738516747</v>
      </c>
      <c r="T95" s="340">
        <f t="shared" si="84"/>
        <v>0.22078193678841679</v>
      </c>
      <c r="U95" s="340">
        <f t="shared" si="84"/>
        <v>0.22500139412737152</v>
      </c>
      <c r="V95" s="340">
        <f t="shared" si="84"/>
        <v>0.22865060572570339</v>
      </c>
      <c r="W95" s="340">
        <f t="shared" si="84"/>
        <v>0.23159559113005462</v>
      </c>
      <c r="X95" s="341">
        <f t="shared" si="84"/>
        <v>0.23122082228149643</v>
      </c>
      <c r="Y95" s="340">
        <f t="shared" si="84"/>
        <v>0.24125158418280235</v>
      </c>
      <c r="Z95" s="340">
        <f t="shared" si="84"/>
        <v>0.24826115690161027</v>
      </c>
      <c r="AA95" s="340">
        <f t="shared" si="84"/>
        <v>0.25506760950352036</v>
      </c>
      <c r="AB95" s="340">
        <f t="shared" si="84"/>
        <v>0.26194887711761172</v>
      </c>
      <c r="AC95" s="340">
        <f t="shared" si="84"/>
        <v>0.26711870217511358</v>
      </c>
      <c r="AD95" s="340">
        <f t="shared" si="84"/>
        <v>0.272232843364967</v>
      </c>
      <c r="AE95" s="340">
        <f t="shared" si="84"/>
        <v>0.27718469926003919</v>
      </c>
      <c r="AF95" s="340">
        <f t="shared" si="84"/>
        <v>0.28261453580854046</v>
      </c>
      <c r="AG95" s="340">
        <f t="shared" si="84"/>
        <v>0.28804981536870133</v>
      </c>
      <c r="AH95" s="341">
        <f t="shared" si="84"/>
        <v>0.28179477916607149</v>
      </c>
      <c r="AI95" s="342"/>
    </row>
    <row r="96" spans="1:35">
      <c r="A96" s="10" t="s">
        <v>544</v>
      </c>
      <c r="B96" s="37"/>
      <c r="C96" s="297"/>
      <c r="D96" s="297">
        <f>D95/C95-1</f>
        <v>0.27928726258222492</v>
      </c>
      <c r="E96" s="297">
        <f t="shared" ref="E96:O96" si="85">E95/D95-1</f>
        <v>0.19130875501996014</v>
      </c>
      <c r="F96" s="297">
        <f t="shared" si="85"/>
        <v>0.15623805801194002</v>
      </c>
      <c r="G96" s="297">
        <f t="shared" si="85"/>
        <v>0.23461645584508117</v>
      </c>
      <c r="H96" s="249"/>
      <c r="I96" s="164">
        <f t="shared" si="85"/>
        <v>0.10507641820777391</v>
      </c>
      <c r="J96" s="164">
        <f t="shared" si="85"/>
        <v>7.2163234508994423E-2</v>
      </c>
      <c r="K96" s="164">
        <f t="shared" si="85"/>
        <v>9.2731917258096486E-2</v>
      </c>
      <c r="L96" s="164">
        <f t="shared" si="85"/>
        <v>9.0168596918652089E-2</v>
      </c>
      <c r="M96" s="164">
        <f t="shared" si="85"/>
        <v>9.2105444957764293E-2</v>
      </c>
      <c r="N96" s="164">
        <f t="shared" si="85"/>
        <v>9.4399996904619199E-2</v>
      </c>
      <c r="O96" s="172">
        <f t="shared" si="85"/>
        <v>1.4372046759040691E-2</v>
      </c>
      <c r="P96" s="172">
        <f t="shared" ref="P96:AH96" si="86">P95/O95-1</f>
        <v>1.4369784719787893E-2</v>
      </c>
      <c r="Q96" s="172">
        <f t="shared" si="86"/>
        <v>1.4365190404832751E-2</v>
      </c>
      <c r="R96" s="172">
        <f t="shared" si="86"/>
        <v>1.5144839776658259E-2</v>
      </c>
      <c r="S96" s="172">
        <f t="shared" si="86"/>
        <v>1.8948849641247767E-2</v>
      </c>
      <c r="T96" s="172">
        <f t="shared" si="86"/>
        <v>1.9683578748104669E-2</v>
      </c>
      <c r="U96" s="172">
        <f t="shared" si="86"/>
        <v>1.9111424604443039E-2</v>
      </c>
      <c r="V96" s="172">
        <f t="shared" si="86"/>
        <v>1.6218617722279838E-2</v>
      </c>
      <c r="W96" s="172">
        <f t="shared" si="86"/>
        <v>1.287984956350452E-2</v>
      </c>
      <c r="X96" s="185">
        <f t="shared" si="86"/>
        <v>-1.6182037262865157E-3</v>
      </c>
      <c r="Y96" s="172">
        <f t="shared" si="86"/>
        <v>4.3381741325589251E-2</v>
      </c>
      <c r="Z96" s="172">
        <f t="shared" si="86"/>
        <v>2.9055032913261947E-2</v>
      </c>
      <c r="AA96" s="172">
        <f t="shared" si="86"/>
        <v>2.7416502391502284E-2</v>
      </c>
      <c r="AB96" s="172">
        <f t="shared" si="86"/>
        <v>2.6978210316415563E-2</v>
      </c>
      <c r="AC96" s="172">
        <f t="shared" si="86"/>
        <v>1.9736007706498748E-2</v>
      </c>
      <c r="AD96" s="172">
        <f t="shared" si="86"/>
        <v>1.9145575162688555E-2</v>
      </c>
      <c r="AE96" s="172">
        <f t="shared" si="86"/>
        <v>1.8189781342560218E-2</v>
      </c>
      <c r="AF96" s="172">
        <f t="shared" si="86"/>
        <v>1.9589236213241712E-2</v>
      </c>
      <c r="AG96" s="172">
        <f t="shared" si="86"/>
        <v>1.9232130239200007E-2</v>
      </c>
      <c r="AH96" s="185">
        <f t="shared" si="86"/>
        <v>-2.1715119638675895E-2</v>
      </c>
      <c r="AI96" s="127"/>
    </row>
    <row r="97" spans="1:36">
      <c r="A97" s="10"/>
      <c r="B97" s="37"/>
      <c r="C97" s="297"/>
      <c r="D97" s="297"/>
      <c r="E97" s="297"/>
      <c r="F97" s="297"/>
      <c r="G97" s="297"/>
      <c r="H97" s="249"/>
      <c r="I97" s="164"/>
      <c r="J97" s="164"/>
      <c r="K97" s="164"/>
      <c r="L97" s="164"/>
      <c r="M97" s="164"/>
      <c r="N97" s="180"/>
      <c r="O97" s="164"/>
      <c r="P97" s="164"/>
      <c r="Q97" s="164"/>
      <c r="R97" s="164"/>
      <c r="S97" s="164"/>
      <c r="T97" s="164"/>
      <c r="U97" s="164"/>
      <c r="V97" s="164"/>
      <c r="W97" s="164"/>
      <c r="X97" s="185"/>
      <c r="AI97" s="127"/>
    </row>
    <row r="98" spans="1:36">
      <c r="A98" s="10"/>
      <c r="B98" s="37"/>
      <c r="C98" s="297"/>
      <c r="D98" s="297"/>
      <c r="E98" s="297"/>
      <c r="F98" s="297"/>
      <c r="G98" s="297"/>
      <c r="H98" s="249"/>
      <c r="I98" s="172"/>
      <c r="J98" s="172"/>
      <c r="K98" s="172"/>
      <c r="L98" s="172"/>
      <c r="M98" s="172"/>
      <c r="N98" s="185"/>
      <c r="O98" s="172"/>
      <c r="P98" s="172"/>
      <c r="Q98" s="172"/>
      <c r="R98" s="172"/>
      <c r="S98" s="172"/>
      <c r="T98" s="172"/>
      <c r="U98" s="172"/>
      <c r="V98" s="172"/>
      <c r="W98" s="172"/>
      <c r="X98" s="185"/>
      <c r="AI98" s="127"/>
    </row>
    <row r="99" spans="1:36">
      <c r="A99" s="1" t="s">
        <v>139</v>
      </c>
      <c r="C99" s="293">
        <v>2009</v>
      </c>
      <c r="D99" s="293">
        <v>2010</v>
      </c>
      <c r="E99" s="293">
        <v>2011</v>
      </c>
      <c r="F99" s="293">
        <v>2012</v>
      </c>
      <c r="G99" s="293">
        <v>2013</v>
      </c>
      <c r="H99" s="365">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296">
        <v>0</v>
      </c>
      <c r="D100" s="296">
        <f xml:space="preserve"> IF(D29*Inputs!$C44 &gt; 0, D29*Inputs!$C44, 0)</f>
        <v>0</v>
      </c>
      <c r="E100" s="296">
        <f xml:space="preserve"> IF(E29*Inputs!$C44 &gt; 0, E29*Inputs!$C44, 0)</f>
        <v>0</v>
      </c>
      <c r="F100" s="296">
        <f xml:space="preserve"> IF(F29*Inputs!$C44 &gt; 0, F29*Inputs!$C44, 0)</f>
        <v>0</v>
      </c>
      <c r="G100" s="296">
        <f xml:space="preserve"> IF(G29*Inputs!$C44 &gt; 0, G29*Inputs!$C44, 0)</f>
        <v>0</v>
      </c>
      <c r="H100" s="367">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296">
        <v>0</v>
      </c>
      <c r="D101" s="296">
        <f>D30*Inputs!$C47</f>
        <v>0</v>
      </c>
      <c r="E101" s="296">
        <f>E30*Inputs!$C47</f>
        <v>0</v>
      </c>
      <c r="F101" s="296">
        <f>F30*Inputs!$C47</f>
        <v>0</v>
      </c>
      <c r="G101" s="296">
        <f>G30*Inputs!$C47</f>
        <v>0</v>
      </c>
      <c r="H101" s="367">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296">
        <f>C31*Inputs!$C$48</f>
        <v>1565.0984999999998</v>
      </c>
      <c r="D102" s="296">
        <f>D31*Inputs!$C$48</f>
        <v>1432.3138218417355</v>
      </c>
      <c r="E102" s="296">
        <f>E31*Inputs!$C$48</f>
        <v>1651.4091820983188</v>
      </c>
      <c r="F102" s="296">
        <f>F31*Inputs!$C$48</f>
        <v>1591.6459358365557</v>
      </c>
      <c r="G102" s="296">
        <f>G31*Inputs!$C$48</f>
        <v>1386.986446008724</v>
      </c>
      <c r="H102" s="367">
        <f>H31*Inputs!$C$48</f>
        <v>1403.9392658727093</v>
      </c>
      <c r="I102" s="14">
        <f>I31*Inputs!$C$48</f>
        <v>1379.9389937016051</v>
      </c>
      <c r="J102" s="14">
        <f>J31*Inputs!$C$48</f>
        <v>1413.9463274785751</v>
      </c>
      <c r="K102" s="14">
        <f>K31*Inputs!$C$48</f>
        <v>1432.9631681121421</v>
      </c>
      <c r="L102" s="14">
        <f>L31*Inputs!$C$48</f>
        <v>1450.8734737853213</v>
      </c>
      <c r="M102" s="14">
        <f>M31*Inputs!$C$48</f>
        <v>1461.2011637953381</v>
      </c>
      <c r="N102" s="182">
        <f>N31*Inputs!$C$48</f>
        <v>1463.6864397545969</v>
      </c>
      <c r="O102" s="14">
        <f>O31*Inputs!$C$48</f>
        <v>1478.7927049773207</v>
      </c>
      <c r="P102" s="14">
        <f>P31*Inputs!$C$48</f>
        <v>1485.2960228639615</v>
      </c>
      <c r="Q102" s="14">
        <f>Q31*Inputs!$C$48</f>
        <v>1486.4066315523512</v>
      </c>
      <c r="R102" s="14">
        <f>R31*Inputs!$C$48</f>
        <v>1483.3414394853075</v>
      </c>
      <c r="S102" s="14">
        <f>S31*Inputs!$C$48</f>
        <v>1481.5889088198053</v>
      </c>
      <c r="T102" s="14">
        <f>T31*Inputs!$C$48</f>
        <v>1487.4532490506579</v>
      </c>
      <c r="U102" s="14">
        <f>U31*Inputs!$C$48</f>
        <v>1485.0241985681232</v>
      </c>
      <c r="V102" s="14">
        <f>V31*Inputs!$C$48</f>
        <v>1478.3744325389923</v>
      </c>
      <c r="W102" s="14">
        <f>W31*Inputs!$C$48</f>
        <v>1482.7380440785646</v>
      </c>
      <c r="X102" s="187">
        <f>X31*Inputs!$C$48</f>
        <v>1480.1419241840752</v>
      </c>
      <c r="Y102" s="158">
        <f>Y31*Inputs!$C$48</f>
        <v>1476.1511819089219</v>
      </c>
      <c r="Z102" s="158">
        <f>Z31*Inputs!$C$48</f>
        <v>1484.2379263718997</v>
      </c>
      <c r="AA102" s="158">
        <f>AA31*Inputs!$C$48</f>
        <v>1483.4422383335857</v>
      </c>
      <c r="AB102" s="158">
        <f>AB31*Inputs!$C$48</f>
        <v>1481.918790586973</v>
      </c>
      <c r="AC102" s="158">
        <f>AC31*Inputs!$C$48</f>
        <v>1480.0952981362911</v>
      </c>
      <c r="AD102" s="158">
        <f>AD31*Inputs!$C$48</f>
        <v>1480.289716676652</v>
      </c>
      <c r="AE102" s="158">
        <f>AE31*Inputs!$C$48</f>
        <v>1485.7917641983772</v>
      </c>
      <c r="AF102" s="158">
        <f>AF31*Inputs!$C$48</f>
        <v>1484.5705827793197</v>
      </c>
      <c r="AG102" s="158">
        <f>AG31*Inputs!$C$48</f>
        <v>1490.9978131303458</v>
      </c>
      <c r="AH102" s="187">
        <f>AH31*Inputs!$C$48</f>
        <v>1491.7591774800005</v>
      </c>
    </row>
    <row r="103" spans="1:36">
      <c r="A103" s="10" t="s">
        <v>59</v>
      </c>
      <c r="B103" s="35">
        <v>0</v>
      </c>
      <c r="C103" s="296">
        <f>C32*Inputs!$C$53</f>
        <v>0</v>
      </c>
      <c r="D103" s="296">
        <f>D32*Inputs!$C$53</f>
        <v>0</v>
      </c>
      <c r="E103" s="296">
        <f>E32*Inputs!$C$53</f>
        <v>0</v>
      </c>
      <c r="F103" s="296">
        <f>F32*Inputs!$C$53</f>
        <v>0</v>
      </c>
      <c r="G103" s="296">
        <f>G32*Inputs!$C$53</f>
        <v>0</v>
      </c>
      <c r="H103" s="367">
        <f>H32*Inputs!$C$53</f>
        <v>0</v>
      </c>
      <c r="I103" s="14">
        <f>I32*Inputs!$C$53</f>
        <v>0</v>
      </c>
      <c r="J103" s="14">
        <f>J32*Inputs!$C$53</f>
        <v>0</v>
      </c>
      <c r="K103" s="14">
        <f>K32*Inputs!$C$53</f>
        <v>0</v>
      </c>
      <c r="L103" s="14">
        <f>L32*Inputs!$C$53</f>
        <v>0</v>
      </c>
      <c r="M103" s="14">
        <f>M32*Inputs!$C$53</f>
        <v>0</v>
      </c>
      <c r="N103" s="182">
        <f>N32*Inputs!$C$53</f>
        <v>0</v>
      </c>
      <c r="O103" s="14">
        <f>O32*Inputs!$C$53</f>
        <v>0</v>
      </c>
      <c r="P103" s="14">
        <f>P32*Inputs!$C$53</f>
        <v>0</v>
      </c>
      <c r="Q103" s="14">
        <f>Q32*Inputs!$C$53</f>
        <v>0</v>
      </c>
      <c r="R103" s="14">
        <f>R32*Inputs!$C$53</f>
        <v>0</v>
      </c>
      <c r="S103" s="14">
        <f>S32*Inputs!$C$53</f>
        <v>0</v>
      </c>
      <c r="T103" s="14">
        <f>T32*Inputs!$C$53</f>
        <v>0</v>
      </c>
      <c r="U103" s="14">
        <f>U32*Inputs!$C$53</f>
        <v>0</v>
      </c>
      <c r="V103" s="14">
        <f>V32*Inputs!$C$53</f>
        <v>0</v>
      </c>
      <c r="W103" s="14">
        <f>W32*Inputs!$C$53</f>
        <v>0</v>
      </c>
      <c r="X103" s="187">
        <f>X32*Inputs!$C$53</f>
        <v>0</v>
      </c>
      <c r="Y103" s="158">
        <f>Y32*Inputs!$C$53</f>
        <v>0</v>
      </c>
      <c r="Z103" s="158">
        <f>Z32*Inputs!$C$53</f>
        <v>0</v>
      </c>
      <c r="AA103" s="158">
        <f>AA32*Inputs!$C$53</f>
        <v>0</v>
      </c>
      <c r="AB103" s="158">
        <f>AB32*Inputs!$C$53</f>
        <v>0</v>
      </c>
      <c r="AC103" s="158">
        <f>AC32*Inputs!$C$53</f>
        <v>0</v>
      </c>
      <c r="AD103" s="158">
        <f>AD32*Inputs!$C$53</f>
        <v>0</v>
      </c>
      <c r="AE103" s="158">
        <f>AE32*Inputs!$C$53</f>
        <v>0</v>
      </c>
      <c r="AF103" s="158">
        <f>AF32*Inputs!$C$53</f>
        <v>0</v>
      </c>
      <c r="AG103" s="158">
        <f>AG32*Inputs!$C$53</f>
        <v>0</v>
      </c>
      <c r="AH103" s="187">
        <f>AH32*Inputs!$C$53</f>
        <v>0</v>
      </c>
    </row>
    <row r="104" spans="1:36">
      <c r="A104" s="10" t="s">
        <v>121</v>
      </c>
      <c r="B104" s="35">
        <v>1</v>
      </c>
      <c r="C104" s="296">
        <f>C34*Inputs!$C$46</f>
        <v>100.38</v>
      </c>
      <c r="D104" s="296">
        <f>D34*Inputs!$C$46</f>
        <v>103.9132078689988</v>
      </c>
      <c r="E104" s="296">
        <f>E34*Inputs!$C$46</f>
        <v>135.52453123284971</v>
      </c>
      <c r="F104" s="296">
        <f>F34*Inputs!$C$46</f>
        <v>147.7556002541009</v>
      </c>
      <c r="G104" s="296">
        <f>G34*Inputs!$C$46</f>
        <v>145.64903400398748</v>
      </c>
      <c r="H104" s="367">
        <f>H34*Inputs!$C$46</f>
        <v>102.82475706611916</v>
      </c>
      <c r="I104" s="14">
        <f>I34*Inputs!$C$46</f>
        <v>114.27229395347933</v>
      </c>
      <c r="J104" s="14">
        <f>J34*Inputs!$C$46</f>
        <v>132.38788010763415</v>
      </c>
      <c r="K104" s="14">
        <f>K34*Inputs!$C$46</f>
        <v>151.70054692572239</v>
      </c>
      <c r="L104" s="14">
        <f>L34*Inputs!$C$46</f>
        <v>173.66850154562616</v>
      </c>
      <c r="M104" s="14">
        <f>M34*Inputs!$C$46</f>
        <v>197.76230663130693</v>
      </c>
      <c r="N104" s="182">
        <f>N34*Inputs!$C$46</f>
        <v>223.98872609653813</v>
      </c>
      <c r="O104" s="14">
        <f>O34*Inputs!$C$46</f>
        <v>231.3652267228608</v>
      </c>
      <c r="P104" s="14">
        <f>P34*Inputs!$C$46</f>
        <v>237.59955474103222</v>
      </c>
      <c r="Q104" s="14">
        <f>Q34*Inputs!$C$46</f>
        <v>243.13175166390397</v>
      </c>
      <c r="R104" s="14">
        <f>R34*Inputs!$C$46</f>
        <v>248.11140825671222</v>
      </c>
      <c r="S104" s="14">
        <f>S34*Inputs!$C$46</f>
        <v>253.43436792861527</v>
      </c>
      <c r="T104" s="14">
        <f>T34*Inputs!$C$46</f>
        <v>260.22226297160495</v>
      </c>
      <c r="U104" s="14">
        <f>U34*Inputs!$C$46</f>
        <v>265.72332101648306</v>
      </c>
      <c r="V104" s="14">
        <f>V34*Inputs!$C$46</f>
        <v>270.58756285635951</v>
      </c>
      <c r="W104" s="14">
        <f>W34*Inputs!$C$46</f>
        <v>277.61815179972132</v>
      </c>
      <c r="X104" s="187">
        <f>X34*Inputs!$C$46</f>
        <v>283.51771375971992</v>
      </c>
      <c r="Y104" s="158">
        <f>Y34*Inputs!$C$46</f>
        <v>290.31819689575752</v>
      </c>
      <c r="Z104" s="158">
        <f>Z34*Inputs!$C$46</f>
        <v>299.73215720450412</v>
      </c>
      <c r="AA104" s="158">
        <f>AA34*Inputs!$C$46</f>
        <v>307.61459352283669</v>
      </c>
      <c r="AB104" s="158">
        <f>AB34*Inputs!$C$46</f>
        <v>315.56406332689539</v>
      </c>
      <c r="AC104" s="158">
        <f>AC34*Inputs!$C$46</f>
        <v>323.66839650317593</v>
      </c>
      <c r="AD104" s="158">
        <f>AD34*Inputs!$C$46</f>
        <v>332.44955188431715</v>
      </c>
      <c r="AE104" s="158">
        <f>AE34*Inputs!$C$46</f>
        <v>342.70987009798034</v>
      </c>
      <c r="AF104" s="158">
        <f>AF34*Inputs!$C$46</f>
        <v>351.70672745177546</v>
      </c>
      <c r="AG104" s="158">
        <f>AG34*Inputs!$C$46</f>
        <v>362.81883158458459</v>
      </c>
      <c r="AH104" s="187">
        <f>AH34*Inputs!$C$46</f>
        <v>372.87791693577174</v>
      </c>
    </row>
    <row r="105" spans="1:36">
      <c r="A105" s="10" t="s">
        <v>50</v>
      </c>
      <c r="B105" s="35">
        <v>1</v>
      </c>
      <c r="C105" s="296">
        <f>C35*Inputs!$C$49</f>
        <v>19</v>
      </c>
      <c r="D105" s="296">
        <f>D35*Inputs!$C$49</f>
        <v>20.534810398792747</v>
      </c>
      <c r="E105" s="296">
        <f>E35*Inputs!$C$49</f>
        <v>27.960915999189073</v>
      </c>
      <c r="F105" s="296">
        <f>F35*Inputs!$C$49</f>
        <v>31.826652864838806</v>
      </c>
      <c r="G105" s="296">
        <f>G35*Inputs!$C$49</f>
        <v>32.754287823611243</v>
      </c>
      <c r="H105" s="367">
        <f>H35*Inputs!$C$49</f>
        <v>15.52195514411267</v>
      </c>
      <c r="I105" s="14">
        <f>I35*Inputs!$C$49</f>
        <v>18.009564596549772</v>
      </c>
      <c r="J105" s="14">
        <f>J35*Inputs!$C$49</f>
        <v>21.783317991911971</v>
      </c>
      <c r="K105" s="14">
        <f>K35*Inputs!$C$49</f>
        <v>27.091943522543843</v>
      </c>
      <c r="L105" s="14">
        <f>L35*Inputs!$C$49</f>
        <v>31.578941344634888</v>
      </c>
      <c r="M105" s="14">
        <f>M35*Inputs!$C$49</f>
        <v>37.030530122042386</v>
      </c>
      <c r="N105" s="182">
        <f>N35*Inputs!$C$49</f>
        <v>43.788100476869481</v>
      </c>
      <c r="O105" s="14">
        <f>O35*Inputs!$C$49</f>
        <v>45.230150513146263</v>
      </c>
      <c r="P105" s="14">
        <f>P35*Inputs!$C$49</f>
        <v>46.448914450165987</v>
      </c>
      <c r="Q105" s="14">
        <f>Q35*Inputs!$C$49</f>
        <v>47.53041707281195</v>
      </c>
      <c r="R105" s="14">
        <f>R35*Inputs!$C$49</f>
        <v>49.047500473542833</v>
      </c>
      <c r="S105" s="14">
        <f>S35*Inputs!$C$49</f>
        <v>53.365361157091748</v>
      </c>
      <c r="T105" s="14">
        <f>T35*Inputs!$C$49</f>
        <v>58.728806525811571</v>
      </c>
      <c r="U105" s="14">
        <f>U35*Inputs!$C$49</f>
        <v>63.572931903796814</v>
      </c>
      <c r="V105" s="14">
        <f>V35*Inputs!$C$49</f>
        <v>66.199191283890286</v>
      </c>
      <c r="W105" s="14">
        <f>W35*Inputs!$C$49</f>
        <v>66.822552132798151</v>
      </c>
      <c r="X105" s="187">
        <f>X35*Inputs!$C$49</f>
        <v>55.425566962384778</v>
      </c>
      <c r="Y105" s="158">
        <f>Y35*Inputs!$C$49</f>
        <v>75.612359850194892</v>
      </c>
      <c r="Z105" s="158">
        <f>Z35*Inputs!$C$49</f>
        <v>85.804408181919769</v>
      </c>
      <c r="AA105" s="158">
        <f>AA35*Inputs!$C$49</f>
        <v>94.610528289081103</v>
      </c>
      <c r="AB105" s="158">
        <f>AB35*Inputs!$C$49</f>
        <v>103.43217670655683</v>
      </c>
      <c r="AC105" s="158">
        <f>AC35*Inputs!$C$49</f>
        <v>105.85091442705388</v>
      </c>
      <c r="AD105" s="158">
        <f>AD35*Inputs!$C$49</f>
        <v>107.92399101669906</v>
      </c>
      <c r="AE105" s="158">
        <f>AE35*Inputs!$C$49</f>
        <v>109.50928765364385</v>
      </c>
      <c r="AF105" s="158">
        <f>AF35*Inputs!$C$49</f>
        <v>112.00882092951629</v>
      </c>
      <c r="AG105" s="158">
        <f>AG35*Inputs!$C$49</f>
        <v>114.82683784552329</v>
      </c>
      <c r="AH105" s="187">
        <f>AH35*Inputs!$C$49</f>
        <v>72.894810274300298</v>
      </c>
    </row>
    <row r="106" spans="1:36">
      <c r="A106" s="10" t="s">
        <v>119</v>
      </c>
      <c r="B106" s="35">
        <v>1</v>
      </c>
      <c r="C106" s="296"/>
      <c r="D106" s="296"/>
      <c r="E106" s="296"/>
      <c r="F106" s="296"/>
      <c r="G106" s="296"/>
      <c r="H106" s="367"/>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296">
        <f>C37*Inputs!$C$52</f>
        <v>0</v>
      </c>
      <c r="D107" s="296">
        <f>D37*Inputs!$C$52</f>
        <v>0</v>
      </c>
      <c r="E107" s="296">
        <f>E37*Inputs!$C$52</f>
        <v>9.4127100000000005E-2</v>
      </c>
      <c r="F107" s="296">
        <f>F37*Inputs!$C$52</f>
        <v>0.11046945000000001</v>
      </c>
      <c r="G107" s="296">
        <f>G37*Inputs!$C$52</f>
        <v>0.13180845000000002</v>
      </c>
      <c r="H107" s="367">
        <f>H37*Inputs!$C$52</f>
        <v>0.11780924999999999</v>
      </c>
      <c r="I107" s="14">
        <f>I37*Inputs!$C$52</f>
        <v>0.13165740000000001</v>
      </c>
      <c r="J107" s="14">
        <f>J37*Inputs!$C$52</f>
        <v>0.13856161129463213</v>
      </c>
      <c r="K107" s="14">
        <f>K37*Inputs!$C$52</f>
        <v>0.1517533693955152</v>
      </c>
      <c r="L107" s="14">
        <f>L37*Inputs!$C$52</f>
        <v>0.16604612771285246</v>
      </c>
      <c r="M107" s="14">
        <f>M37*Inputs!$C$52</f>
        <v>0.18072062207349929</v>
      </c>
      <c r="N107" s="182">
        <f>N37*Inputs!$C$52</f>
        <v>0.19563513424167278</v>
      </c>
      <c r="O107" s="14">
        <f>O37*Inputs!$C$52</f>
        <v>0.20207788122904757</v>
      </c>
      <c r="P107" s="14">
        <f>P37*Inputs!$C$52</f>
        <v>0.20752303742059583</v>
      </c>
      <c r="Q107" s="14">
        <f>Q37*Inputs!$C$52</f>
        <v>0.21235494171559555</v>
      </c>
      <c r="R107" s="14">
        <f>R37*Inputs!$C$52</f>
        <v>0.21670424894631565</v>
      </c>
      <c r="S107" s="14">
        <f>S37*Inputs!$C$52</f>
        <v>0.22135340226810798</v>
      </c>
      <c r="T107" s="14">
        <f>T37*Inputs!$C$52</f>
        <v>0.22728205225463147</v>
      </c>
      <c r="U107" s="14">
        <f>U37*Inputs!$C$52</f>
        <v>0.23208675938358364</v>
      </c>
      <c r="V107" s="14">
        <f>V37*Inputs!$C$52</f>
        <v>0.23633526162703156</v>
      </c>
      <c r="W107" s="14">
        <f>W37*Inputs!$C$52</f>
        <v>0.24247588412934351</v>
      </c>
      <c r="X107" s="187">
        <f>X37*Inputs!$C$52</f>
        <v>0.24762865059275063</v>
      </c>
      <c r="Y107" s="158">
        <f>Y37*Inputs!$C$52</f>
        <v>0.253568295209746</v>
      </c>
      <c r="Z107" s="158">
        <f>Z37*Inputs!$C$52</f>
        <v>0.26179059023701284</v>
      </c>
      <c r="AA107" s="158">
        <f>AA37*Inputs!$C$52</f>
        <v>0.26867522909434444</v>
      </c>
      <c r="AB107" s="158">
        <f>AB37*Inputs!$C$52</f>
        <v>0.27561841600990761</v>
      </c>
      <c r="AC107" s="158">
        <f>AC37*Inputs!$C$52</f>
        <v>0.28269686293226542</v>
      </c>
      <c r="AD107" s="158">
        <f>AD37*Inputs!$C$52</f>
        <v>0.29036645658425192</v>
      </c>
      <c r="AE107" s="158">
        <f>AE37*Inputs!$C$52</f>
        <v>0.29932797338053546</v>
      </c>
      <c r="AF107" s="158">
        <f>AF37*Inputs!$C$52</f>
        <v>0.3071859643912272</v>
      </c>
      <c r="AG107" s="158">
        <f>AG37*Inputs!$C$52</f>
        <v>0.31689144386608531</v>
      </c>
      <c r="AH107" s="187">
        <f>AH37*Inputs!$C$52</f>
        <v>0.32567720084288859</v>
      </c>
    </row>
    <row r="108" spans="1:36">
      <c r="A108" s="9" t="s">
        <v>347</v>
      </c>
      <c r="B108" s="35">
        <v>1</v>
      </c>
      <c r="C108" s="296">
        <f>C38*Inputs!$C$54</f>
        <v>0</v>
      </c>
      <c r="D108" s="296">
        <f>D38*Inputs!$C$54</f>
        <v>0</v>
      </c>
      <c r="E108" s="296">
        <f>E38*Inputs!$C$54</f>
        <v>1.5800000000000002E-2</v>
      </c>
      <c r="F108" s="296">
        <f>F38*Inputs!$C$54</f>
        <v>1.5800000000000002E-2</v>
      </c>
      <c r="G108" s="296">
        <f>G38*Inputs!$C$54</f>
        <v>1.5800000000000002E-2</v>
      </c>
      <c r="H108" s="367">
        <f>H38*Inputs!$C$54</f>
        <v>1.5800000000000002E-2</v>
      </c>
      <c r="I108" s="14">
        <f>I38*Inputs!$C$54</f>
        <v>1.6184526970023136E-2</v>
      </c>
      <c r="J108" s="14">
        <f>J38*Inputs!$C$54</f>
        <v>1.7282515820134608E-2</v>
      </c>
      <c r="K108" s="14">
        <f>K38*Inputs!$C$54</f>
        <v>1.8253474851455495E-2</v>
      </c>
      <c r="L108" s="14">
        <f>L38*Inputs!$C$54</f>
        <v>1.9261013361298897E-2</v>
      </c>
      <c r="M108" s="14">
        <f>M38*Inputs!$C$54</f>
        <v>2.0216280950521963E-2</v>
      </c>
      <c r="N108" s="182">
        <f>N38*Inputs!$C$54</f>
        <v>2.1104913449456354E-2</v>
      </c>
      <c r="O108" s="14">
        <f>O38*Inputs!$C$54</f>
        <v>2.1799950248814304E-2</v>
      </c>
      <c r="P108" s="14">
        <f>P38*Inputs!$C$54</f>
        <v>2.2387367997609028E-2</v>
      </c>
      <c r="Q108" s="14">
        <f>Q38*Inputs!$C$54</f>
        <v>2.2908628773886826E-2</v>
      </c>
      <c r="R108" s="14">
        <f>R38*Inputs!$C$54</f>
        <v>2.337782748415556E-2</v>
      </c>
      <c r="S108" s="14">
        <f>S38*Inputs!$C$54</f>
        <v>2.3879373276786391E-2</v>
      </c>
      <c r="T108" s="14">
        <f>T38*Inputs!$C$54</f>
        <v>2.4518949829958739E-2</v>
      </c>
      <c r="U108" s="14">
        <f>U38*Inputs!$C$54</f>
        <v>2.5037276604439114E-2</v>
      </c>
      <c r="V108" s="14">
        <f>V38*Inputs!$C$54</f>
        <v>2.5495600578225051E-2</v>
      </c>
      <c r="W108" s="14">
        <f>W38*Inputs!$C$54</f>
        <v>2.6158044504462678E-2</v>
      </c>
      <c r="X108" s="187">
        <f>X38*Inputs!$C$54</f>
        <v>2.6713919555521361E-2</v>
      </c>
      <c r="Y108" s="158">
        <f>Y38*Inputs!$C$54</f>
        <v>2.73546821979175E-2</v>
      </c>
      <c r="Z108" s="158">
        <f>Z38*Inputs!$C$54</f>
        <v>2.8241694776608997E-2</v>
      </c>
      <c r="AA108" s="158">
        <f>AA38*Inputs!$C$54</f>
        <v>2.8984402408231316E-2</v>
      </c>
      <c r="AB108" s="158">
        <f>AB38*Inputs!$C$54</f>
        <v>2.9733426143075076E-2</v>
      </c>
      <c r="AC108" s="158">
        <f>AC38*Inputs!$C$54</f>
        <v>3.0497041585832853E-2</v>
      </c>
      <c r="AD108" s="158">
        <f>AD38*Inputs!$C$54</f>
        <v>3.1324429318844646E-2</v>
      </c>
      <c r="AE108" s="158">
        <f>AE38*Inputs!$C$54</f>
        <v>3.2291188368002842E-2</v>
      </c>
      <c r="AF108" s="158">
        <f>AF38*Inputs!$C$54</f>
        <v>3.3138900210817258E-2</v>
      </c>
      <c r="AG108" s="158">
        <f>AG38*Inputs!$C$54</f>
        <v>3.4185917174801447E-2</v>
      </c>
      <c r="AH108" s="187">
        <f>AH38*Inputs!$C$54</f>
        <v>3.5133715438656905E-2</v>
      </c>
    </row>
    <row r="109" spans="1:36">
      <c r="A109" s="9" t="s">
        <v>348</v>
      </c>
      <c r="B109" s="35">
        <v>1</v>
      </c>
      <c r="C109" s="296">
        <f>C39*Inputs!$C$54</f>
        <v>0</v>
      </c>
      <c r="D109" s="296">
        <f>D39*Inputs!$C$55</f>
        <v>0</v>
      </c>
      <c r="E109" s="296">
        <f>E39*Inputs!$C$55</f>
        <v>2.3E-3</v>
      </c>
      <c r="F109" s="296">
        <f>F39*Inputs!$C$55</f>
        <v>2.3E-3</v>
      </c>
      <c r="G109" s="296">
        <f>G39*Inputs!$C$55</f>
        <v>2.3E-3</v>
      </c>
      <c r="H109" s="367">
        <f>H39*Inputs!$C$55</f>
        <v>2.3E-3</v>
      </c>
      <c r="I109" s="14">
        <f>I39*Inputs!$C$55</f>
        <v>2.3559754450033677E-3</v>
      </c>
      <c r="J109" s="14">
        <f>J39*Inputs!$C$55</f>
        <v>2.5158092649563038E-3</v>
      </c>
      <c r="K109" s="14">
        <f>K39*Inputs!$C$55</f>
        <v>2.6571514024270656E-3</v>
      </c>
      <c r="L109" s="14">
        <f>L39*Inputs!$C$55</f>
        <v>2.8038184006954092E-3</v>
      </c>
      <c r="M109" s="14">
        <f>M39*Inputs!$C$55</f>
        <v>2.9428763408987668E-3</v>
      </c>
      <c r="N109" s="182">
        <f>N39*Inputs!$C$55</f>
        <v>3.0722342363132668E-3</v>
      </c>
      <c r="O109" s="14">
        <f>O39*Inputs!$C$55</f>
        <v>3.1734104792577782E-3</v>
      </c>
      <c r="P109" s="14">
        <f>P39*Inputs!$C$55</f>
        <v>3.2589206578797951E-3</v>
      </c>
      <c r="Q109" s="14">
        <f>Q39*Inputs!$C$55</f>
        <v>3.3348003911354241E-3</v>
      </c>
      <c r="R109" s="14">
        <f>R39*Inputs!$C$55</f>
        <v>3.4031014692125178E-3</v>
      </c>
      <c r="S109" s="14">
        <f>S39*Inputs!$C$55</f>
        <v>3.4761112997853606E-3</v>
      </c>
      <c r="T109" s="14">
        <f>T39*Inputs!$C$55</f>
        <v>3.5692142157534874E-3</v>
      </c>
      <c r="U109" s="14">
        <f>U39*Inputs!$C$55</f>
        <v>3.6446668474816434E-3</v>
      </c>
      <c r="V109" s="14">
        <f>V39*Inputs!$C$55</f>
        <v>3.7113848942985834E-3</v>
      </c>
      <c r="W109" s="14">
        <f>W39*Inputs!$C$55</f>
        <v>3.8078166050800103E-3</v>
      </c>
      <c r="X109" s="187">
        <f>X39*Inputs!$C$55</f>
        <v>3.8887351251708311E-3</v>
      </c>
      <c r="Y109" s="158">
        <f>Y39*Inputs!$C$55</f>
        <v>3.982010699696851E-3</v>
      </c>
      <c r="Z109" s="158">
        <f>Z39*Inputs!$C$55</f>
        <v>4.1111327839367532E-3</v>
      </c>
      <c r="AA109" s="158">
        <f>AA39*Inputs!$C$55</f>
        <v>4.2192484518311412E-3</v>
      </c>
      <c r="AB109" s="158">
        <f>AB39*Inputs!$C$55</f>
        <v>4.3282835524729541E-3</v>
      </c>
      <c r="AC109" s="158">
        <f>AC39*Inputs!$C$55</f>
        <v>4.439442762494656E-3</v>
      </c>
      <c r="AD109" s="158">
        <f>AD39*Inputs!$C$55</f>
        <v>4.5598852805913094E-3</v>
      </c>
      <c r="AE109" s="158">
        <f>AE39*Inputs!$C$55</f>
        <v>4.7006160282535778E-3</v>
      </c>
      <c r="AF109" s="158">
        <f>AF39*Inputs!$C$55</f>
        <v>4.8240171192961831E-3</v>
      </c>
      <c r="AG109" s="158">
        <f>AG39*Inputs!$C$55</f>
        <v>4.9764309811419823E-3</v>
      </c>
      <c r="AH109" s="187">
        <f>AH39*Inputs!$C$55</f>
        <v>5.114401614488031E-3</v>
      </c>
    </row>
    <row r="110" spans="1:36">
      <c r="A110" s="9" t="s">
        <v>344</v>
      </c>
      <c r="B110" s="35">
        <v>1</v>
      </c>
      <c r="C110" s="296">
        <f>C40*Inputs!$C$51</f>
        <v>2.7000000000000001E-3</v>
      </c>
      <c r="D110" s="296">
        <f>D40*Inputs!$C$51</f>
        <v>2.7000000000000001E-3</v>
      </c>
      <c r="E110" s="296">
        <f>E40*Inputs!$C$51</f>
        <v>3.096947383659824E-3</v>
      </c>
      <c r="F110" s="296">
        <f>F40*Inputs!$C$51</f>
        <v>3.1121429255104786E-3</v>
      </c>
      <c r="G110" s="296">
        <f>G40*Inputs!$C$51</f>
        <v>2.8276318312493005E-3</v>
      </c>
      <c r="H110" s="367">
        <f>H40*Inputs!$C$51</f>
        <v>2.7000000000000001E-3</v>
      </c>
      <c r="I110" s="14">
        <f>I40*Inputs!$C$51</f>
        <v>2.7657103050039533E-3</v>
      </c>
      <c r="J110" s="14">
        <f>J40*Inputs!$C$51</f>
        <v>2.9533413110356607E-3</v>
      </c>
      <c r="K110" s="14">
        <f>K40*Inputs!$C$51</f>
        <v>3.1192646898056857E-3</v>
      </c>
      <c r="L110" s="14">
        <f>L40*Inputs!$C$51</f>
        <v>3.2914389921206979E-3</v>
      </c>
      <c r="M110" s="14">
        <f>M40*Inputs!$C$51</f>
        <v>3.4546809219246394E-3</v>
      </c>
      <c r="N110" s="182">
        <f>N40*Inputs!$C$51</f>
        <v>3.6065358426286176E-3</v>
      </c>
      <c r="O110" s="14">
        <f>O40*Inputs!$C$51</f>
        <v>3.7253079539113052E-3</v>
      </c>
      <c r="P110" s="14">
        <f>P40*Inputs!$C$51</f>
        <v>3.8256894679458467E-3</v>
      </c>
      <c r="Q110" s="14">
        <f>Q40*Inputs!$C$51</f>
        <v>3.9147656765502808E-3</v>
      </c>
      <c r="R110" s="14">
        <f>R40*Inputs!$C$51</f>
        <v>3.9949452029886083E-3</v>
      </c>
      <c r="S110" s="14">
        <f>S40*Inputs!$C$51</f>
        <v>4.0806523954002062E-3</v>
      </c>
      <c r="T110" s="14">
        <f>T40*Inputs!$C$51</f>
        <v>4.1899471228410501E-3</v>
      </c>
      <c r="U110" s="14">
        <f>U40*Inputs!$C$51</f>
        <v>4.2785219513914946E-3</v>
      </c>
      <c r="V110" s="14">
        <f>V40*Inputs!$C$51</f>
        <v>4.356843136785294E-3</v>
      </c>
      <c r="W110" s="14">
        <f>W40*Inputs!$C$51</f>
        <v>4.4700455798765337E-3</v>
      </c>
      <c r="X110" s="187">
        <f>X40*Inputs!$C$51</f>
        <v>4.5650368860701059E-3</v>
      </c>
      <c r="Y110" s="158">
        <f>Y40*Inputs!$C$51</f>
        <v>4.67453429964413E-3</v>
      </c>
      <c r="Z110" s="158">
        <f>Z40*Inputs!$C$51</f>
        <v>4.826112398534449E-3</v>
      </c>
      <c r="AA110" s="158">
        <f>AA40*Inputs!$C$51</f>
        <v>4.9530307912800352E-3</v>
      </c>
      <c r="AB110" s="158">
        <f>AB40*Inputs!$C$51</f>
        <v>5.0810285181204246E-3</v>
      </c>
      <c r="AC110" s="158">
        <f>AC40*Inputs!$C$51</f>
        <v>5.2115197646676395E-3</v>
      </c>
      <c r="AD110" s="158">
        <f>AD40*Inputs!$C$51</f>
        <v>5.3529088076506677E-3</v>
      </c>
      <c r="AE110" s="158">
        <f>AE40*Inputs!$C$51</f>
        <v>5.5181144679498527E-3</v>
      </c>
      <c r="AF110" s="158">
        <f>AF40*Inputs!$C$51</f>
        <v>5.6629766183042152E-3</v>
      </c>
      <c r="AG110" s="158">
        <f>AG40*Inputs!$C$51</f>
        <v>5.8418972387318923E-3</v>
      </c>
      <c r="AH110" s="187">
        <f>AH40*Inputs!$C$51</f>
        <v>6.0038627648337757E-3</v>
      </c>
    </row>
    <row r="111" spans="1:36">
      <c r="A111" s="10" t="s">
        <v>120</v>
      </c>
      <c r="B111" s="35">
        <v>1</v>
      </c>
      <c r="C111" s="296"/>
      <c r="D111" s="296"/>
      <c r="E111" s="296"/>
      <c r="F111" s="296"/>
      <c r="G111" s="296"/>
      <c r="H111" s="367"/>
      <c r="I111" s="14"/>
      <c r="J111" s="14"/>
      <c r="K111" s="14"/>
      <c r="L111" s="14"/>
      <c r="M111" s="14"/>
      <c r="N111" s="187"/>
      <c r="O111" s="14"/>
      <c r="P111" s="14"/>
      <c r="Q111" s="14"/>
      <c r="R111" s="14"/>
      <c r="S111" s="14"/>
      <c r="T111" s="14"/>
      <c r="U111" s="14"/>
      <c r="V111" s="14"/>
      <c r="W111" s="14"/>
      <c r="X111" s="187"/>
    </row>
    <row r="112" spans="1:36">
      <c r="A112" s="10" t="s">
        <v>53</v>
      </c>
      <c r="B112" s="35">
        <v>1</v>
      </c>
      <c r="C112" s="296">
        <f>C42*Inputs!$C$57</f>
        <v>53.21</v>
      </c>
      <c r="D112" s="296">
        <f>D42*Inputs!$C$57</f>
        <v>74.97</v>
      </c>
      <c r="E112" s="296">
        <f>E42*Inputs!$C$57</f>
        <v>109.54705152508379</v>
      </c>
      <c r="F112" s="296">
        <f>F42*Inputs!$C$57</f>
        <v>125.03732382654825</v>
      </c>
      <c r="G112" s="296">
        <f>G42*Inputs!$C$57</f>
        <v>147.13213560290956</v>
      </c>
      <c r="H112" s="367">
        <f>H42*Inputs!$C$57</f>
        <v>147.5884007445633</v>
      </c>
      <c r="I112" s="14">
        <f>I42*Inputs!$C$57</f>
        <v>157.91132540914427</v>
      </c>
      <c r="J112" s="14">
        <f>J42*Inputs!$C$57</f>
        <v>167.14899926030296</v>
      </c>
      <c r="K112" s="14">
        <f>K42*Inputs!$C$57</f>
        <v>179.63593069327183</v>
      </c>
      <c r="L112" s="14">
        <f>L42*Inputs!$C$57</f>
        <v>192.87575007568222</v>
      </c>
      <c r="M112" s="14">
        <f>M42*Inputs!$C$57</f>
        <v>205.99211602723773</v>
      </c>
      <c r="N112" s="182">
        <f>N42*Inputs!$C$57</f>
        <v>218.81835497712865</v>
      </c>
      <c r="O112" s="14">
        <f>O42*Inputs!$C$57</f>
        <v>226.02458254343924</v>
      </c>
      <c r="P112" s="14">
        <f>P42*Inputs!$C$57</f>
        <v>232.11500247259278</v>
      </c>
      <c r="Q112" s="14">
        <f>Q42*Inputs!$C$57</f>
        <v>237.51949872188428</v>
      </c>
      <c r="R112" s="14">
        <f>R42*Inputs!$C$57</f>
        <v>242.38420902663273</v>
      </c>
      <c r="S112" s="14">
        <f>S42*Inputs!$C$57</f>
        <v>247.58429788518271</v>
      </c>
      <c r="T112" s="14">
        <f>T42*Inputs!$C$57</f>
        <v>254.21550675425871</v>
      </c>
      <c r="U112" s="14">
        <f>U42*Inputs!$C$57</f>
        <v>259.58958290974834</v>
      </c>
      <c r="V112" s="14">
        <f>V42*Inputs!$C$57</f>
        <v>264.34154260058534</v>
      </c>
      <c r="W112" s="14">
        <f>W42*Inputs!$C$57</f>
        <v>271.20984322408975</v>
      </c>
      <c r="X112" s="187">
        <f>X42*Inputs!$C$57</f>
        <v>276.97322455881044</v>
      </c>
      <c r="Y112" s="158">
        <f>Y42*Inputs!$C$57</f>
        <v>283.61673094777086</v>
      </c>
      <c r="Z112" s="158">
        <f>Z42*Inputs!$C$57</f>
        <v>292.8133871566734</v>
      </c>
      <c r="AA112" s="158">
        <f>AA42*Inputs!$C$57</f>
        <v>300.51387181252221</v>
      </c>
      <c r="AB112" s="158">
        <f>AB42*Inputs!$C$57</f>
        <v>308.27984260836831</v>
      </c>
      <c r="AC112" s="158">
        <f>AC42*Inputs!$C$57</f>
        <v>316.19710203800565</v>
      </c>
      <c r="AD112" s="158">
        <f>AD42*Inputs!$C$57</f>
        <v>324.77556046663096</v>
      </c>
      <c r="AE112" s="158">
        <f>AE42*Inputs!$C$57</f>
        <v>334.79903795222549</v>
      </c>
      <c r="AF112" s="158">
        <f>AF42*Inputs!$C$57</f>
        <v>343.58821926697101</v>
      </c>
      <c r="AG112" s="158">
        <f>AG42*Inputs!$C$57</f>
        <v>354.4438207476806</v>
      </c>
      <c r="AH112" s="187">
        <f>AH42*Inputs!$C$57</f>
        <v>364.2707104643203</v>
      </c>
      <c r="AI112" s="31" t="s">
        <v>0</v>
      </c>
    </row>
    <row r="113" spans="1:35" s="20" customFormat="1">
      <c r="A113" s="10" t="s">
        <v>384</v>
      </c>
      <c r="B113" s="37"/>
      <c r="C113" s="299">
        <f>SUM(C100:C112)</f>
        <v>1737.6911999999998</v>
      </c>
      <c r="D113" s="299">
        <f t="shared" ref="D113:AH113" si="87">SUM(D100:D112)</f>
        <v>1631.7345401095272</v>
      </c>
      <c r="E113" s="299">
        <f t="shared" si="87"/>
        <v>1924.5570049028252</v>
      </c>
      <c r="F113" s="299">
        <f t="shared" si="87"/>
        <v>1896.3971943749693</v>
      </c>
      <c r="G113" s="299">
        <f t="shared" si="87"/>
        <v>1712.6746395210637</v>
      </c>
      <c r="H113" s="369">
        <f t="shared" si="87"/>
        <v>1670.0129880775046</v>
      </c>
      <c r="I113" s="19">
        <f t="shared" si="87"/>
        <v>1670.2851412734985</v>
      </c>
      <c r="J113" s="19">
        <f t="shared" si="87"/>
        <v>1735.4278381161148</v>
      </c>
      <c r="K113" s="19">
        <f t="shared" si="87"/>
        <v>1791.5673725140193</v>
      </c>
      <c r="L113" s="19">
        <f t="shared" si="87"/>
        <v>1849.1880691497315</v>
      </c>
      <c r="M113" s="19">
        <f t="shared" si="87"/>
        <v>1902.1934510362121</v>
      </c>
      <c r="N113" s="182">
        <f t="shared" si="87"/>
        <v>1950.5050401229032</v>
      </c>
      <c r="O113" s="19">
        <f t="shared" si="87"/>
        <v>1981.6434413066781</v>
      </c>
      <c r="P113" s="19">
        <f t="shared" si="87"/>
        <v>2001.6964895432966</v>
      </c>
      <c r="Q113" s="19">
        <f t="shared" si="87"/>
        <v>2014.8308121475086</v>
      </c>
      <c r="R113" s="19">
        <f t="shared" si="87"/>
        <v>2023.1320373652982</v>
      </c>
      <c r="S113" s="19">
        <f t="shared" si="87"/>
        <v>2036.2257253299349</v>
      </c>
      <c r="T113" s="19">
        <f t="shared" si="87"/>
        <v>2060.8793854657561</v>
      </c>
      <c r="U113" s="19">
        <f t="shared" si="87"/>
        <v>2074.1750816229387</v>
      </c>
      <c r="V113" s="19">
        <f t="shared" si="87"/>
        <v>2079.772628370064</v>
      </c>
      <c r="W113" s="19">
        <f t="shared" si="87"/>
        <v>2098.6655030259926</v>
      </c>
      <c r="X113" s="182">
        <f t="shared" si="87"/>
        <v>2096.3412258071503</v>
      </c>
      <c r="Y113" s="206">
        <f t="shared" si="87"/>
        <v>2125.9880491250524</v>
      </c>
      <c r="Z113" s="206">
        <f t="shared" si="87"/>
        <v>2162.8868484451932</v>
      </c>
      <c r="AA113" s="206">
        <f t="shared" si="87"/>
        <v>2186.488063868771</v>
      </c>
      <c r="AB113" s="206">
        <f t="shared" si="87"/>
        <v>2209.5096343830173</v>
      </c>
      <c r="AC113" s="206">
        <f t="shared" si="87"/>
        <v>2226.1345559715719</v>
      </c>
      <c r="AD113" s="206">
        <f t="shared" si="87"/>
        <v>2245.7704237242906</v>
      </c>
      <c r="AE113" s="206">
        <f t="shared" si="87"/>
        <v>2273.1517977944718</v>
      </c>
      <c r="AF113" s="206">
        <f t="shared" si="87"/>
        <v>2292.2251622859221</v>
      </c>
      <c r="AG113" s="206">
        <f t="shared" si="87"/>
        <v>2323.4491989973949</v>
      </c>
      <c r="AH113" s="182">
        <f t="shared" si="87"/>
        <v>2302.1745443350537</v>
      </c>
      <c r="AI113" s="31" t="s">
        <v>0</v>
      </c>
    </row>
    <row r="114" spans="1:35" s="20" customFormat="1">
      <c r="A114" s="10" t="s">
        <v>385</v>
      </c>
      <c r="B114" s="37"/>
      <c r="C114" s="299">
        <f>SUM(C101:C103)</f>
        <v>1565.0984999999998</v>
      </c>
      <c r="D114" s="299">
        <f t="shared" ref="D114:AH114" si="88">SUM(D101:D103)</f>
        <v>1432.3138218417355</v>
      </c>
      <c r="E114" s="299">
        <f t="shared" si="88"/>
        <v>1651.4091820983188</v>
      </c>
      <c r="F114" s="299">
        <f t="shared" si="88"/>
        <v>1591.6459358365557</v>
      </c>
      <c r="G114" s="299">
        <f t="shared" si="88"/>
        <v>1386.986446008724</v>
      </c>
      <c r="H114" s="369">
        <f t="shared" si="88"/>
        <v>1403.9392658727093</v>
      </c>
      <c r="I114" s="19">
        <f t="shared" si="88"/>
        <v>1379.9389937016051</v>
      </c>
      <c r="J114" s="19">
        <f t="shared" si="88"/>
        <v>1413.9463274785751</v>
      </c>
      <c r="K114" s="19">
        <f t="shared" si="88"/>
        <v>1432.9631681121421</v>
      </c>
      <c r="L114" s="19">
        <f t="shared" si="88"/>
        <v>1450.8734737853213</v>
      </c>
      <c r="M114" s="19">
        <f t="shared" si="88"/>
        <v>1461.2011637953381</v>
      </c>
      <c r="N114" s="182">
        <f t="shared" si="88"/>
        <v>1463.6864397545969</v>
      </c>
      <c r="O114" s="19">
        <f t="shared" si="88"/>
        <v>1478.7927049773207</v>
      </c>
      <c r="P114" s="19">
        <f t="shared" si="88"/>
        <v>1485.2960228639615</v>
      </c>
      <c r="Q114" s="19">
        <f t="shared" si="88"/>
        <v>1486.4066315523512</v>
      </c>
      <c r="R114" s="19">
        <f t="shared" si="88"/>
        <v>1483.3414394853075</v>
      </c>
      <c r="S114" s="19">
        <f t="shared" si="88"/>
        <v>1481.5889088198053</v>
      </c>
      <c r="T114" s="19">
        <f t="shared" si="88"/>
        <v>1487.4532490506579</v>
      </c>
      <c r="U114" s="19">
        <f t="shared" si="88"/>
        <v>1485.0241985681232</v>
      </c>
      <c r="V114" s="19">
        <f t="shared" si="88"/>
        <v>1478.3744325389923</v>
      </c>
      <c r="W114" s="19">
        <f t="shared" si="88"/>
        <v>1482.7380440785646</v>
      </c>
      <c r="X114" s="182">
        <f t="shared" si="88"/>
        <v>1480.1419241840752</v>
      </c>
      <c r="Y114" s="206">
        <f t="shared" si="88"/>
        <v>1476.1511819089219</v>
      </c>
      <c r="Z114" s="206">
        <f t="shared" si="88"/>
        <v>1484.2379263718997</v>
      </c>
      <c r="AA114" s="206">
        <f t="shared" si="88"/>
        <v>1483.4422383335857</v>
      </c>
      <c r="AB114" s="206">
        <f t="shared" si="88"/>
        <v>1481.918790586973</v>
      </c>
      <c r="AC114" s="206">
        <f t="shared" si="88"/>
        <v>1480.0952981362911</v>
      </c>
      <c r="AD114" s="206">
        <f t="shared" si="88"/>
        <v>1480.289716676652</v>
      </c>
      <c r="AE114" s="206">
        <f t="shared" si="88"/>
        <v>1485.7917641983772</v>
      </c>
      <c r="AF114" s="206">
        <f t="shared" si="88"/>
        <v>1484.5705827793197</v>
      </c>
      <c r="AG114" s="206">
        <f t="shared" si="88"/>
        <v>1490.9978131303458</v>
      </c>
      <c r="AH114" s="182">
        <f t="shared" si="88"/>
        <v>1491.7591774800005</v>
      </c>
      <c r="AI114" s="31"/>
    </row>
    <row r="115" spans="1:35" s="20" customFormat="1">
      <c r="A115" s="10" t="s">
        <v>386</v>
      </c>
      <c r="B115" s="37"/>
      <c r="C115" s="299">
        <f>SUMPRODUCT($B104:$B112,C104:C112)</f>
        <v>172.59270000000001</v>
      </c>
      <c r="D115" s="299">
        <f t="shared" ref="D115:AH115" si="89">SUMPRODUCT($B104:$B112,D104:D112)</f>
        <v>199.42071826779153</v>
      </c>
      <c r="E115" s="299">
        <f t="shared" si="89"/>
        <v>273.14782280450623</v>
      </c>
      <c r="F115" s="299">
        <f t="shared" si="89"/>
        <v>304.75125853841348</v>
      </c>
      <c r="G115" s="299">
        <f t="shared" si="89"/>
        <v>325.68819351233952</v>
      </c>
      <c r="H115" s="369">
        <f t="shared" si="89"/>
        <v>266.0737222047951</v>
      </c>
      <c r="I115" s="19">
        <f t="shared" si="89"/>
        <v>290.34614757189343</v>
      </c>
      <c r="J115" s="19">
        <f t="shared" si="89"/>
        <v>321.48151063753983</v>
      </c>
      <c r="K115" s="19">
        <f t="shared" si="89"/>
        <v>358.60420440187727</v>
      </c>
      <c r="L115" s="19">
        <f t="shared" si="89"/>
        <v>398.31459536441025</v>
      </c>
      <c r="M115" s="19">
        <f t="shared" si="89"/>
        <v>440.99228724087391</v>
      </c>
      <c r="N115" s="182">
        <f t="shared" si="89"/>
        <v>486.81860036830631</v>
      </c>
      <c r="O115" s="19">
        <f t="shared" si="89"/>
        <v>502.85073632935729</v>
      </c>
      <c r="P115" s="19">
        <f t="shared" si="89"/>
        <v>516.40046667933495</v>
      </c>
      <c r="Q115" s="19">
        <f t="shared" si="89"/>
        <v>528.4241805951574</v>
      </c>
      <c r="R115" s="19">
        <f t="shared" si="89"/>
        <v>539.7905978799904</v>
      </c>
      <c r="S115" s="19">
        <f t="shared" si="89"/>
        <v>554.63681651012985</v>
      </c>
      <c r="T115" s="19">
        <f t="shared" si="89"/>
        <v>573.42613641509843</v>
      </c>
      <c r="U115" s="19">
        <f t="shared" si="89"/>
        <v>589.15088305481515</v>
      </c>
      <c r="V115" s="19">
        <f t="shared" si="89"/>
        <v>601.39819583107146</v>
      </c>
      <c r="W115" s="19">
        <f t="shared" si="89"/>
        <v>615.92745894742802</v>
      </c>
      <c r="X115" s="182">
        <f t="shared" si="89"/>
        <v>616.19930162307458</v>
      </c>
      <c r="Y115" s="206">
        <f t="shared" si="89"/>
        <v>649.83686721613026</v>
      </c>
      <c r="Z115" s="206">
        <f t="shared" si="89"/>
        <v>678.64892207329331</v>
      </c>
      <c r="AA115" s="206">
        <f t="shared" si="89"/>
        <v>703.04582553518571</v>
      </c>
      <c r="AB115" s="206">
        <f t="shared" si="89"/>
        <v>727.59084379604417</v>
      </c>
      <c r="AC115" s="206">
        <f t="shared" si="89"/>
        <v>746.03925783528075</v>
      </c>
      <c r="AD115" s="206">
        <f t="shared" si="89"/>
        <v>765.48070704763848</v>
      </c>
      <c r="AE115" s="206">
        <f t="shared" si="89"/>
        <v>787.36003359609435</v>
      </c>
      <c r="AF115" s="206">
        <f t="shared" si="89"/>
        <v>807.65457950660243</v>
      </c>
      <c r="AG115" s="206">
        <f t="shared" si="89"/>
        <v>832.45138586704923</v>
      </c>
      <c r="AH115" s="182">
        <f t="shared" si="89"/>
        <v>810.41536685505321</v>
      </c>
    </row>
    <row r="116" spans="1:35" s="20" customFormat="1">
      <c r="A116" s="10" t="s">
        <v>142</v>
      </c>
      <c r="B116" s="37"/>
      <c r="C116" s="299">
        <f>C47*Inputs!$C$60</f>
        <v>133.05599999999998</v>
      </c>
      <c r="D116" s="299">
        <f>D47*Inputs!$C$60</f>
        <v>7.5079493418930481</v>
      </c>
      <c r="E116" s="299">
        <f>E47*Inputs!$C$60</f>
        <v>13.115745388434563</v>
      </c>
      <c r="F116" s="299">
        <f>F47*Inputs!$C$60</f>
        <v>9.2168628589245074</v>
      </c>
      <c r="G116" s="299">
        <f>G47*Inputs!$C$60</f>
        <v>4.7107327453988113</v>
      </c>
      <c r="H116" s="369">
        <f>H47*Inputs!$C$60</f>
        <v>7.2646293735738823</v>
      </c>
      <c r="I116" s="19">
        <f>I47*Inputs!$C$60</f>
        <v>10.304384703412815</v>
      </c>
      <c r="J116" s="19">
        <f>J47*Inputs!$C$60</f>
        <v>8.9569057945891135</v>
      </c>
      <c r="K116" s="19">
        <f>K47*Inputs!$C$60</f>
        <v>8.0914233919387843</v>
      </c>
      <c r="L116" s="19">
        <f>L47*Inputs!$C$60</f>
        <v>6.2323130857061724</v>
      </c>
      <c r="M116" s="19">
        <f>M47*Inputs!$C$60</f>
        <v>4.6162082925544743</v>
      </c>
      <c r="N116" s="182">
        <f>N47*Inputs!$C$60</f>
        <v>2.8759401745416002</v>
      </c>
      <c r="O116" s="19">
        <f>O47*Inputs!$C$60</f>
        <v>2.8027774415000906</v>
      </c>
      <c r="P116" s="19">
        <f>P47*Inputs!$C$60</f>
        <v>2.786288283467397</v>
      </c>
      <c r="Q116" s="19">
        <f>Q47*Inputs!$C$60</f>
        <v>2.8857254181727714</v>
      </c>
      <c r="R116" s="19">
        <f>R47*Inputs!$C$60</f>
        <v>3.0641373274359371</v>
      </c>
      <c r="S116" s="19">
        <f>S47*Inputs!$C$60</f>
        <v>3.1046981814352081</v>
      </c>
      <c r="T116" s="19">
        <f>T47*Inputs!$C$60</f>
        <v>3.082250748752557</v>
      </c>
      <c r="U116" s="19">
        <f>U47*Inputs!$C$60</f>
        <v>3.1300082427357654</v>
      </c>
      <c r="V116" s="19">
        <f>V47*Inputs!$C$60</f>
        <v>3.2357217256172941</v>
      </c>
      <c r="W116" s="19">
        <f>W47*Inputs!$C$60</f>
        <v>3.3214717630064405</v>
      </c>
      <c r="X116" s="182">
        <f>X47*Inputs!$C$60</f>
        <v>3.6050238093025349</v>
      </c>
      <c r="Y116" s="206">
        <f>Y47*Inputs!$C$60</f>
        <v>3.2986886731184937</v>
      </c>
      <c r="Z116" s="206">
        <f>Z47*Inputs!$C$60</f>
        <v>3.0705187931160558</v>
      </c>
      <c r="AA116" s="206">
        <f>AA47*Inputs!$C$60</f>
        <v>2.9142260557802131</v>
      </c>
      <c r="AB116" s="206">
        <f>AB47*Inputs!$C$60</f>
        <v>2.7799237005700683</v>
      </c>
      <c r="AC116" s="206">
        <f>AC47*Inputs!$C$60</f>
        <v>2.7381172978790782</v>
      </c>
      <c r="AD116" s="206">
        <f>AD47*Inputs!$C$60</f>
        <v>2.7521696263460469</v>
      </c>
      <c r="AE116" s="206">
        <f>AE47*Inputs!$C$60</f>
        <v>2.7587567067181196</v>
      </c>
      <c r="AF116" s="206">
        <f>AF47*Inputs!$C$60</f>
        <v>2.6915490027727591</v>
      </c>
      <c r="AG116" s="206">
        <f>AG47*Inputs!$C$60</f>
        <v>2.5869180079593863</v>
      </c>
      <c r="AH116" s="182">
        <f>AH47*Inputs!$C$60</f>
        <v>3.131942997639015</v>
      </c>
      <c r="AI116" s="31"/>
    </row>
    <row r="117" spans="1:35" s="20" customFormat="1">
      <c r="A117" s="10" t="s">
        <v>222</v>
      </c>
      <c r="B117" s="37"/>
      <c r="C117" s="299">
        <f>C48*Inputs!$C$61</f>
        <v>57.024000000000001</v>
      </c>
      <c r="D117" s="299">
        <f>D48*Inputs!$C$61</f>
        <v>144.10143680065181</v>
      </c>
      <c r="E117" s="299">
        <f>E48*Inputs!$C$61</f>
        <v>146.28762256723559</v>
      </c>
      <c r="F117" s="299">
        <f>F48*Inputs!$C$61</f>
        <v>122.78629238726964</v>
      </c>
      <c r="G117" s="299">
        <f>G48*Inputs!$C$61</f>
        <v>83.821375142243838</v>
      </c>
      <c r="H117" s="369">
        <f>H48*Inputs!$C$61</f>
        <v>121.98061530955042</v>
      </c>
      <c r="I117" s="19">
        <f>I48*Inputs!$C$61</f>
        <v>103.30033009669309</v>
      </c>
      <c r="J117" s="19">
        <f>J48*Inputs!$C$61</f>
        <v>97.639064792456509</v>
      </c>
      <c r="K117" s="19">
        <f>K48*Inputs!$C$61</f>
        <v>85.092250576200144</v>
      </c>
      <c r="L117" s="19">
        <f>L48*Inputs!$C$61</f>
        <v>71.894651090121911</v>
      </c>
      <c r="M117" s="19">
        <f>M48*Inputs!$C$61</f>
        <v>55.467813079113824</v>
      </c>
      <c r="N117" s="182">
        <f>N48*Inputs!$C$61</f>
        <v>36.021106526782006</v>
      </c>
      <c r="O117" s="19">
        <f>O48*Inputs!$C$61</f>
        <v>41.579608717858008</v>
      </c>
      <c r="P117" s="19">
        <f>P48*Inputs!$C$61</f>
        <v>46.949805998011037</v>
      </c>
      <c r="Q117" s="19">
        <f>Q48*Inputs!$C$61</f>
        <v>52.087961588855272</v>
      </c>
      <c r="R117" s="19">
        <f>R48*Inputs!$C$61</f>
        <v>56.768873425545884</v>
      </c>
      <c r="S117" s="19">
        <f>S48*Inputs!$C$61</f>
        <v>60.452367102178542</v>
      </c>
      <c r="T117" s="19">
        <f>T48*Inputs!$C$61</f>
        <v>64.251892358519484</v>
      </c>
      <c r="U117" s="19">
        <f>U48*Inputs!$C$61</f>
        <v>67.737928806700495</v>
      </c>
      <c r="V117" s="19">
        <f>V48*Inputs!$C$61</f>
        <v>71.86291607967722</v>
      </c>
      <c r="W117" s="19">
        <f>W48*Inputs!$C$61</f>
        <v>77.713709037444417</v>
      </c>
      <c r="X117" s="182">
        <f>X48*Inputs!$C$61</f>
        <v>88.177027145255991</v>
      </c>
      <c r="Y117" s="206">
        <f>Y48*Inputs!$C$61</f>
        <v>80.735730802550933</v>
      </c>
      <c r="Z117" s="206">
        <f>Z48*Inputs!$C$61</f>
        <v>78.489621179750515</v>
      </c>
      <c r="AA117" s="206">
        <f>AA48*Inputs!$C$61</f>
        <v>75.946077970317305</v>
      </c>
      <c r="AB117" s="206">
        <f>AB48*Inputs!$C$61</f>
        <v>73.191199369310851</v>
      </c>
      <c r="AC117" s="206">
        <f>AC48*Inputs!$C$61</f>
        <v>73.008168129177136</v>
      </c>
      <c r="AD117" s="206">
        <f>AD48*Inputs!$C$61</f>
        <v>72.956107337140864</v>
      </c>
      <c r="AE117" s="206">
        <f>AE48*Inputs!$C$61</f>
        <v>73.448829788944167</v>
      </c>
      <c r="AF117" s="206">
        <f>AF48*Inputs!$C$61</f>
        <v>72.896622538848661</v>
      </c>
      <c r="AG117" s="206">
        <f>AG48*Inputs!$C$61</f>
        <v>72.755117690637576</v>
      </c>
      <c r="AH117" s="182">
        <f>AH48*Inputs!$C$61</f>
        <v>91.009957833708597</v>
      </c>
      <c r="AI117" s="31"/>
    </row>
    <row r="118" spans="1:35" s="20" customFormat="1">
      <c r="A118" s="10" t="s">
        <v>58</v>
      </c>
      <c r="B118" s="37"/>
      <c r="C118" s="299">
        <f>SUM(C113,C116,C117)</f>
        <v>1927.7711999999997</v>
      </c>
      <c r="D118" s="299">
        <f>SUM(D113,D116,D117)</f>
        <v>1783.3439262520719</v>
      </c>
      <c r="E118" s="299">
        <f t="shared" ref="E118:AH118" si="90">SUM(E113,E116,E117)</f>
        <v>2083.9603728584952</v>
      </c>
      <c r="F118" s="299">
        <f t="shared" si="90"/>
        <v>2028.4003496211635</v>
      </c>
      <c r="G118" s="299">
        <f t="shared" si="90"/>
        <v>1801.2067474087064</v>
      </c>
      <c r="H118" s="369">
        <f t="shared" si="90"/>
        <v>1799.2582327606287</v>
      </c>
      <c r="I118" s="19">
        <f t="shared" si="90"/>
        <v>1783.8898560736045</v>
      </c>
      <c r="J118" s="19">
        <f t="shared" si="90"/>
        <v>1842.0238087031605</v>
      </c>
      <c r="K118" s="19">
        <f t="shared" si="90"/>
        <v>1884.7510464821582</v>
      </c>
      <c r="L118" s="19">
        <f t="shared" si="90"/>
        <v>1927.3150333255596</v>
      </c>
      <c r="M118" s="19">
        <f t="shared" si="90"/>
        <v>1962.2774724078804</v>
      </c>
      <c r="N118" s="182">
        <f t="shared" si="90"/>
        <v>1989.4020868242269</v>
      </c>
      <c r="O118" s="19">
        <f t="shared" si="90"/>
        <v>2026.0258274660362</v>
      </c>
      <c r="P118" s="19">
        <f t="shared" si="90"/>
        <v>2051.4325838247751</v>
      </c>
      <c r="Q118" s="19">
        <f t="shared" si="90"/>
        <v>2069.8044991545366</v>
      </c>
      <c r="R118" s="19">
        <f t="shared" si="90"/>
        <v>2082.9650481182798</v>
      </c>
      <c r="S118" s="19">
        <f t="shared" si="90"/>
        <v>2099.7827906135485</v>
      </c>
      <c r="T118" s="19">
        <f t="shared" si="90"/>
        <v>2128.2135285730278</v>
      </c>
      <c r="U118" s="19">
        <f t="shared" si="90"/>
        <v>2145.0430186723747</v>
      </c>
      <c r="V118" s="19">
        <f t="shared" si="90"/>
        <v>2154.8712661753584</v>
      </c>
      <c r="W118" s="19">
        <f t="shared" si="90"/>
        <v>2179.7006838264433</v>
      </c>
      <c r="X118" s="182">
        <f t="shared" si="90"/>
        <v>2188.1232767617089</v>
      </c>
      <c r="Y118" s="206">
        <f t="shared" si="90"/>
        <v>2210.0224686007218</v>
      </c>
      <c r="Z118" s="206">
        <f t="shared" si="90"/>
        <v>2244.4469884180598</v>
      </c>
      <c r="AA118" s="206">
        <f t="shared" si="90"/>
        <v>2265.3483678948683</v>
      </c>
      <c r="AB118" s="206">
        <f t="shared" si="90"/>
        <v>2285.4807574528982</v>
      </c>
      <c r="AC118" s="206">
        <f t="shared" si="90"/>
        <v>2301.880841398628</v>
      </c>
      <c r="AD118" s="206">
        <f t="shared" si="90"/>
        <v>2321.4787006877777</v>
      </c>
      <c r="AE118" s="206">
        <f t="shared" si="90"/>
        <v>2349.3593842901341</v>
      </c>
      <c r="AF118" s="206">
        <f t="shared" si="90"/>
        <v>2367.8133338275434</v>
      </c>
      <c r="AG118" s="206">
        <f t="shared" si="90"/>
        <v>2398.791234695992</v>
      </c>
      <c r="AH118" s="182">
        <f t="shared" si="90"/>
        <v>2396.3164451664011</v>
      </c>
      <c r="AI118" s="31"/>
    </row>
    <row r="119" spans="1:35" s="1" customFormat="1">
      <c r="A119" s="1" t="s">
        <v>335</v>
      </c>
      <c r="B119" s="13"/>
      <c r="C119" s="306">
        <f>C118-'Output - Jobs vs Yr (BAU)'!C55</f>
        <v>0.10999999999989996</v>
      </c>
      <c r="D119" s="306">
        <f>D118-'Output - Jobs vs Yr (BAU)'!D55</f>
        <v>21.422726252072152</v>
      </c>
      <c r="E119" s="306">
        <f>E118-'Output - Jobs vs Yr (BAU)'!E55</f>
        <v>-8.2540710957655392</v>
      </c>
      <c r="F119" s="306">
        <f>F118-'Output - Jobs vs Yr (BAU)'!F55</f>
        <v>13.542679654979565</v>
      </c>
      <c r="G119" s="306">
        <f>G118-'Output - Jobs vs Yr (BAU)'!G55</f>
        <v>37.184832558267999</v>
      </c>
      <c r="H119" s="370">
        <f>H118-'Output - Jobs vs Yr (BAU)'!H55</f>
        <v>-0.11330000000020846</v>
      </c>
      <c r="I119" s="15">
        <f>I118-'Output - Jobs vs Yr (BAU)'!I55</f>
        <v>-5.5216754837520057</v>
      </c>
      <c r="J119" s="15">
        <f>J118-'Output - Jobs vs Yr (BAU)'!J55</f>
        <v>1.955504860010933</v>
      </c>
      <c r="K119" s="15">
        <f>K118-'Output - Jobs vs Yr (BAU)'!K55</f>
        <v>9.9535626668882742</v>
      </c>
      <c r="L119" s="15">
        <f>L118-'Output - Jobs vs Yr (BAU)'!L55</f>
        <v>18.676996407218439</v>
      </c>
      <c r="M119" s="15">
        <f>M118-'Output - Jobs vs Yr (BAU)'!M55</f>
        <v>31.70519038413363</v>
      </c>
      <c r="N119" s="182">
        <f>N118-'Output - Jobs vs Yr (BAU)'!N55</f>
        <v>51.631747566043032</v>
      </c>
      <c r="O119" s="15">
        <f>O118-'Output - Jobs vs Yr (BAU)'!O55</f>
        <v>55.156056393401059</v>
      </c>
      <c r="P119" s="15">
        <f>P118-'Output - Jobs vs Yr (BAU)'!P55</f>
        <v>58.369797421319163</v>
      </c>
      <c r="Q119" s="15">
        <f>Q118-'Output - Jobs vs Yr (BAU)'!Q55</f>
        <v>59.598712943482951</v>
      </c>
      <c r="R119" s="15">
        <f>R118-'Output - Jobs vs Yr (BAU)'!R55</f>
        <v>57.841115106696634</v>
      </c>
      <c r="S119" s="15">
        <f>S118-'Output - Jobs vs Yr (BAU)'!S55</f>
        <v>60.473110246656006</v>
      </c>
      <c r="T119" s="15">
        <f>T118-'Output - Jobs vs Yr (BAU)'!T55</f>
        <v>62.182679922552325</v>
      </c>
      <c r="U119" s="15">
        <f>U118-'Output - Jobs vs Yr (BAU)'!U55</f>
        <v>63.881120236811512</v>
      </c>
      <c r="V119" s="15">
        <f>V118-'Output - Jobs vs Yr (BAU)'!V55</f>
        <v>65.144862516156081</v>
      </c>
      <c r="W119" s="15">
        <f>W118-'Output - Jobs vs Yr (BAU)'!W55</f>
        <v>67.903769162710432</v>
      </c>
      <c r="X119" s="190">
        <f>X118-'Output - Jobs vs Yr (BAU)'!X55</f>
        <v>62.668745207135544</v>
      </c>
      <c r="Y119" s="130">
        <f>Y118-'Output - Jobs vs Yr (BAU)'!Y55</f>
        <v>72.479378479814386</v>
      </c>
      <c r="Z119" s="130">
        <f>Z118-'Output - Jobs vs Yr (BAU)'!Z55</f>
        <v>76.087094868966687</v>
      </c>
      <c r="AA119" s="130">
        <f>AA118-'Output - Jobs vs Yr (BAU)'!AA55</f>
        <v>80.145203078493523</v>
      </c>
      <c r="AB119" s="130">
        <f>AB118-'Output - Jobs vs Yr (BAU)'!AB55</f>
        <v>83.239425627486526</v>
      </c>
      <c r="AC119" s="130">
        <f>AC118-'Output - Jobs vs Yr (BAU)'!AC55</f>
        <v>85.56188091214608</v>
      </c>
      <c r="AD119" s="130">
        <f>AD118-'Output - Jobs vs Yr (BAU)'!AD55</f>
        <v>85.346151907985131</v>
      </c>
      <c r="AE119" s="130">
        <f>AE118-'Output - Jobs vs Yr (BAU)'!AE55</f>
        <v>84.394957499618613</v>
      </c>
      <c r="AF119" s="130">
        <f>AF118-'Output - Jobs vs Yr (BAU)'!AF55</f>
        <v>87.147944080829348</v>
      </c>
      <c r="AG119" s="130">
        <f>AG118-'Output - Jobs vs Yr (BAU)'!AG55</f>
        <v>92.137189670824228</v>
      </c>
      <c r="AH119" s="190">
        <f>AH118-'Output - Jobs vs Yr (BAU)'!AH55</f>
        <v>72.327329612669473</v>
      </c>
    </row>
    <row r="120" spans="1:35" s="1" customFormat="1">
      <c r="B120" s="13"/>
      <c r="C120" s="293"/>
      <c r="D120" s="306"/>
      <c r="E120" s="306"/>
      <c r="F120" s="306"/>
      <c r="G120" s="306"/>
      <c r="H120" s="370"/>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45"/>
    </row>
    <row r="121" spans="1:35" hidden="1">
      <c r="W121" s="2" t="s">
        <v>133</v>
      </c>
      <c r="X121" s="187">
        <f>X100</f>
        <v>0</v>
      </c>
    </row>
    <row r="122" spans="1:35" hidden="1">
      <c r="W122" s="2" t="s">
        <v>136</v>
      </c>
      <c r="X122" s="187">
        <f>X103-'Output - Jobs vs Yr (BAU)'!X43</f>
        <v>0</v>
      </c>
    </row>
    <row r="123" spans="1:35" hidden="1">
      <c r="W123" s="2" t="s">
        <v>134</v>
      </c>
      <c r="X123" s="187">
        <f>X115-'Output - Jobs vs Yr (BAU)'!X51</f>
        <v>167.05964334812984</v>
      </c>
    </row>
    <row r="124" spans="1:35" hidden="1">
      <c r="W124" s="2" t="s">
        <v>137</v>
      </c>
      <c r="X124" s="187">
        <f>SUM(X101,X106,X111)</f>
        <v>0</v>
      </c>
    </row>
    <row r="125" spans="1:35" hidden="1">
      <c r="W125" s="2" t="s">
        <v>132</v>
      </c>
      <c r="X125" s="187">
        <f>SUM(X121:X124)</f>
        <v>167.05964334812984</v>
      </c>
    </row>
    <row r="126" spans="1:35">
      <c r="A126" s="1" t="s">
        <v>140</v>
      </c>
      <c r="C126" s="293">
        <v>2009</v>
      </c>
      <c r="D126" s="293">
        <v>2010</v>
      </c>
      <c r="E126" s="293">
        <v>2011</v>
      </c>
      <c r="F126" s="293">
        <v>2012</v>
      </c>
      <c r="G126" s="293">
        <v>2013</v>
      </c>
      <c r="H126" s="365">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296">
        <v>0</v>
      </c>
      <c r="D127" s="296">
        <f xml:space="preserve"> IF(D100&gt; 0, D100*Inputs!$H44, 0)</f>
        <v>0</v>
      </c>
      <c r="E127" s="296">
        <f xml:space="preserve"> IF(E100&gt; 0, E100*Inputs!$H44, 0)</f>
        <v>0</v>
      </c>
      <c r="F127" s="296">
        <f xml:space="preserve"> IF(F100&gt; 0, F100*Inputs!$H44, 0)</f>
        <v>0</v>
      </c>
      <c r="G127" s="296">
        <f xml:space="preserve"> IF(G100&gt; 0, G100*Inputs!$H44, 0)</f>
        <v>0</v>
      </c>
      <c r="H127" s="367">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296">
        <f>C101*Inputs!$H47</f>
        <v>0</v>
      </c>
      <c r="D128" s="296">
        <f>D101*Inputs!$H47</f>
        <v>0</v>
      </c>
      <c r="E128" s="296">
        <f>E101*Inputs!$H47</f>
        <v>0</v>
      </c>
      <c r="F128" s="296">
        <f>F101*Inputs!$H47</f>
        <v>0</v>
      </c>
      <c r="G128" s="296">
        <f>G101*Inputs!$H47</f>
        <v>0</v>
      </c>
      <c r="H128" s="367">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296">
        <f>C102*Inputs!$H48</f>
        <v>1408.5886499999999</v>
      </c>
      <c r="D129" s="296">
        <f>D102*Inputs!$H48</f>
        <v>1289.082439657562</v>
      </c>
      <c r="E129" s="296">
        <f>E102*Inputs!$H48</f>
        <v>1486.2682638884869</v>
      </c>
      <c r="F129" s="296">
        <f>F102*Inputs!$H48</f>
        <v>1432.4813422529003</v>
      </c>
      <c r="G129" s="296">
        <f>G102*Inputs!$H48</f>
        <v>1248.2878014078517</v>
      </c>
      <c r="H129" s="367">
        <f>H102*Inputs!$H48</f>
        <v>1263.5453392854383</v>
      </c>
      <c r="I129" s="14">
        <f>I102*Inputs!$H48</f>
        <v>1241.9450943314446</v>
      </c>
      <c r="J129" s="14">
        <f>J102*Inputs!$H48</f>
        <v>1272.5516947307176</v>
      </c>
      <c r="K129" s="14">
        <f>K102*Inputs!$H48</f>
        <v>1289.6668513009279</v>
      </c>
      <c r="L129" s="14">
        <f>L102*Inputs!$H48</f>
        <v>1305.7861264067892</v>
      </c>
      <c r="M129" s="14">
        <f>M102*Inputs!$H48</f>
        <v>1315.0810474158043</v>
      </c>
      <c r="N129" s="182">
        <f>N102*Inputs!$H48</f>
        <v>1317.3177957791372</v>
      </c>
      <c r="O129" s="14">
        <f>O102*Inputs!$H48</f>
        <v>1330.9134344795887</v>
      </c>
      <c r="P129" s="14">
        <f>P102*Inputs!$H48</f>
        <v>1336.7664205775654</v>
      </c>
      <c r="Q129" s="14">
        <f>Q102*Inputs!$H48</f>
        <v>1337.765968397116</v>
      </c>
      <c r="R129" s="14">
        <f>R102*Inputs!$H48</f>
        <v>1335.0072955367768</v>
      </c>
      <c r="S129" s="14">
        <f>S102*Inputs!$H48</f>
        <v>1333.4300179378247</v>
      </c>
      <c r="T129" s="14">
        <f>T102*Inputs!$H48</f>
        <v>1338.7079241455922</v>
      </c>
      <c r="U129" s="14">
        <f>U102*Inputs!$H48</f>
        <v>1336.5217787113108</v>
      </c>
      <c r="V129" s="14">
        <f>V102*Inputs!$H48</f>
        <v>1330.5369892850931</v>
      </c>
      <c r="W129" s="14">
        <f>W102*Inputs!$H48</f>
        <v>1334.4642396707081</v>
      </c>
      <c r="X129" s="187">
        <f>X102*Inputs!$H48</f>
        <v>1332.1277317656677</v>
      </c>
      <c r="Y129" s="158">
        <f>Y102*Inputs!$H48</f>
        <v>1328.5360637180297</v>
      </c>
      <c r="Z129" s="158">
        <f>Z102*Inputs!$H48</f>
        <v>1335.8141337347097</v>
      </c>
      <c r="AA129" s="158">
        <f>AA102*Inputs!$H48</f>
        <v>1335.0980145002272</v>
      </c>
      <c r="AB129" s="158">
        <f>AB102*Inputs!$H48</f>
        <v>1333.7269115282759</v>
      </c>
      <c r="AC129" s="158">
        <f>AC102*Inputs!$H48</f>
        <v>1332.085768322662</v>
      </c>
      <c r="AD129" s="158">
        <f>AD102*Inputs!$H48</f>
        <v>1332.2607450089868</v>
      </c>
      <c r="AE129" s="158">
        <f>AE102*Inputs!$H48</f>
        <v>1337.2125877785395</v>
      </c>
      <c r="AF129" s="158">
        <f>AF102*Inputs!$H48</f>
        <v>1336.1135245013877</v>
      </c>
      <c r="AG129" s="158">
        <f>AG102*Inputs!$H48</f>
        <v>1341.8980318173112</v>
      </c>
      <c r="AH129" s="187">
        <f>AH102*Inputs!$H48</f>
        <v>1342.5832597320004</v>
      </c>
    </row>
    <row r="130" spans="1:35">
      <c r="A130" s="10" t="s">
        <v>59</v>
      </c>
      <c r="B130" s="35">
        <v>0</v>
      </c>
      <c r="C130" s="296">
        <f>C103*Inputs!$H53</f>
        <v>0</v>
      </c>
      <c r="D130" s="296">
        <f>D103*Inputs!$H53</f>
        <v>0</v>
      </c>
      <c r="E130" s="296">
        <f>E103*Inputs!$H53</f>
        <v>0</v>
      </c>
      <c r="F130" s="296">
        <f>F103*Inputs!$H53</f>
        <v>0</v>
      </c>
      <c r="G130" s="296">
        <f>G103*Inputs!$H53</f>
        <v>0</v>
      </c>
      <c r="H130" s="367">
        <f>H103*Inputs!$H53</f>
        <v>0</v>
      </c>
      <c r="I130" s="14">
        <f>I103*Inputs!$H53</f>
        <v>0</v>
      </c>
      <c r="J130" s="14">
        <f>J103*Inputs!$H53</f>
        <v>0</v>
      </c>
      <c r="K130" s="14">
        <f>K103*Inputs!$H53</f>
        <v>0</v>
      </c>
      <c r="L130" s="14">
        <f>L103*Inputs!$H53</f>
        <v>0</v>
      </c>
      <c r="M130" s="14">
        <f>M103*Inputs!$H53</f>
        <v>0</v>
      </c>
      <c r="N130" s="182">
        <f>N103*Inputs!$H53</f>
        <v>0</v>
      </c>
      <c r="O130" s="14">
        <f>O103*Inputs!$H53</f>
        <v>0</v>
      </c>
      <c r="P130" s="14">
        <f>P103*Inputs!$H53</f>
        <v>0</v>
      </c>
      <c r="Q130" s="14">
        <f>Q103*Inputs!$H53</f>
        <v>0</v>
      </c>
      <c r="R130" s="14">
        <f>R103*Inputs!$H53</f>
        <v>0</v>
      </c>
      <c r="S130" s="14">
        <f>S103*Inputs!$H53</f>
        <v>0</v>
      </c>
      <c r="T130" s="14">
        <f>T103*Inputs!$H53</f>
        <v>0</v>
      </c>
      <c r="U130" s="14">
        <f>U103*Inputs!$H53</f>
        <v>0</v>
      </c>
      <c r="V130" s="14">
        <f>V103*Inputs!$H53</f>
        <v>0</v>
      </c>
      <c r="W130" s="14">
        <f>W103*Inputs!$H53</f>
        <v>0</v>
      </c>
      <c r="X130" s="187">
        <f>X103*Inputs!$H53</f>
        <v>0</v>
      </c>
      <c r="Y130" s="158">
        <f>Y103*Inputs!$H53</f>
        <v>0</v>
      </c>
      <c r="Z130" s="158">
        <f>Z103*Inputs!$H53</f>
        <v>0</v>
      </c>
      <c r="AA130" s="158">
        <f>AA103*Inputs!$H53</f>
        <v>0</v>
      </c>
      <c r="AB130" s="158">
        <f>AB103*Inputs!$H53</f>
        <v>0</v>
      </c>
      <c r="AC130" s="158">
        <f>AC103*Inputs!$H53</f>
        <v>0</v>
      </c>
      <c r="AD130" s="158">
        <f>AD103*Inputs!$H53</f>
        <v>0</v>
      </c>
      <c r="AE130" s="158">
        <f>AE103*Inputs!$H53</f>
        <v>0</v>
      </c>
      <c r="AF130" s="158">
        <f>AF103*Inputs!$H53</f>
        <v>0</v>
      </c>
      <c r="AG130" s="158">
        <f>AG103*Inputs!$H53</f>
        <v>0</v>
      </c>
      <c r="AH130" s="187">
        <f>AH103*Inputs!$H53</f>
        <v>0</v>
      </c>
    </row>
    <row r="131" spans="1:35">
      <c r="A131" s="10" t="s">
        <v>121</v>
      </c>
      <c r="B131" s="35">
        <v>1</v>
      </c>
      <c r="C131" s="295">
        <f>Inputs!$H46*'Output -Jobs vs Yr'!C104</f>
        <v>90.341999999999999</v>
      </c>
      <c r="D131" s="295">
        <f>Inputs!$H46*'Output -Jobs vs Yr'!D104</f>
        <v>93.521887082098914</v>
      </c>
      <c r="E131" s="295">
        <f>Inputs!$H46*'Output -Jobs vs Yr'!E104</f>
        <v>121.97207810956475</v>
      </c>
      <c r="F131" s="295">
        <f>Inputs!$H46*'Output -Jobs vs Yr'!F104</f>
        <v>132.98004022869083</v>
      </c>
      <c r="G131" s="295">
        <f>Inputs!$H46*'Output -Jobs vs Yr'!G104</f>
        <v>131.08413060358873</v>
      </c>
      <c r="H131" s="251">
        <f>Inputs!$H46*'Output -Jobs vs Yr'!H104</f>
        <v>92.542281359507243</v>
      </c>
      <c r="I131" s="40">
        <f>Inputs!$H46*'Output -Jobs vs Yr'!I104</f>
        <v>102.8450645581314</v>
      </c>
      <c r="J131" s="40">
        <f>Inputs!$H46*'Output -Jobs vs Yr'!J104</f>
        <v>119.14909209687073</v>
      </c>
      <c r="K131" s="40">
        <f>Inputs!$H46*'Output -Jobs vs Yr'!K104</f>
        <v>136.53049223315017</v>
      </c>
      <c r="L131" s="40">
        <f>Inputs!$H46*'Output -Jobs vs Yr'!L104</f>
        <v>156.30165139106356</v>
      </c>
      <c r="M131" s="40">
        <f>Inputs!$H46*'Output -Jobs vs Yr'!M104</f>
        <v>177.98607596817624</v>
      </c>
      <c r="N131" s="177">
        <f>Inputs!$H46*'Output -Jobs vs Yr'!N104</f>
        <v>201.58985348688432</v>
      </c>
      <c r="O131" s="40">
        <f>Inputs!$H46*'Output -Jobs vs Yr'!O104</f>
        <v>208.22870405057472</v>
      </c>
      <c r="P131" s="40">
        <f>Inputs!$H46*'Output -Jobs vs Yr'!P104</f>
        <v>213.83959926692901</v>
      </c>
      <c r="Q131" s="40">
        <f>Inputs!$H46*'Output -Jobs vs Yr'!Q104</f>
        <v>218.81857649751359</v>
      </c>
      <c r="R131" s="40">
        <f>Inputs!$H46*'Output -Jobs vs Yr'!R104</f>
        <v>223.30026743104099</v>
      </c>
      <c r="S131" s="40">
        <f>Inputs!$H46*'Output -Jobs vs Yr'!S104</f>
        <v>228.09093113575375</v>
      </c>
      <c r="T131" s="40">
        <f>Inputs!$H46*'Output -Jobs vs Yr'!T104</f>
        <v>234.20003667444445</v>
      </c>
      <c r="U131" s="40">
        <f>Inputs!$H46*'Output -Jobs vs Yr'!U104</f>
        <v>239.15098891483476</v>
      </c>
      <c r="V131" s="40">
        <f>Inputs!$H46*'Output -Jobs vs Yr'!V104</f>
        <v>243.52880657072356</v>
      </c>
      <c r="W131" s="40">
        <f>Inputs!$H46*'Output -Jobs vs Yr'!W104</f>
        <v>249.85633661974919</v>
      </c>
      <c r="X131" s="184">
        <f>Inputs!$H46*'Output -Jobs vs Yr'!X104</f>
        <v>255.16594238374793</v>
      </c>
      <c r="Y131" s="236">
        <f>Inputs!$H46*'Output -Jobs vs Yr'!Y104</f>
        <v>261.28637720618178</v>
      </c>
      <c r="Z131" s="236">
        <f>Inputs!$H46*'Output -Jobs vs Yr'!Z104</f>
        <v>269.75894148405371</v>
      </c>
      <c r="AA131" s="236">
        <f>Inputs!$H46*'Output -Jobs vs Yr'!AA104</f>
        <v>276.85313417055301</v>
      </c>
      <c r="AB131" s="236">
        <f>Inputs!$H46*'Output -Jobs vs Yr'!AB104</f>
        <v>284.00765699420589</v>
      </c>
      <c r="AC131" s="236">
        <f>Inputs!$H46*'Output -Jobs vs Yr'!AC104</f>
        <v>291.30155685285837</v>
      </c>
      <c r="AD131" s="236">
        <f>Inputs!$H46*'Output -Jobs vs Yr'!AD104</f>
        <v>299.20459669588541</v>
      </c>
      <c r="AE131" s="236">
        <f>Inputs!$H46*'Output -Jobs vs Yr'!AE104</f>
        <v>308.43888308818231</v>
      </c>
      <c r="AF131" s="236">
        <f>Inputs!$H46*'Output -Jobs vs Yr'!AF104</f>
        <v>316.53605470659795</v>
      </c>
      <c r="AG131" s="236">
        <f>Inputs!$H46*'Output -Jobs vs Yr'!AG104</f>
        <v>326.53694842612612</v>
      </c>
      <c r="AH131" s="184">
        <f>Inputs!$H46*'Output -Jobs vs Yr'!AH104</f>
        <v>335.59012524219457</v>
      </c>
    </row>
    <row r="132" spans="1:35">
      <c r="A132" s="10" t="s">
        <v>50</v>
      </c>
      <c r="B132" s="35">
        <v>1</v>
      </c>
      <c r="C132" s="296">
        <f>C105*Inputs!$H49</f>
        <v>17.100000000000001</v>
      </c>
      <c r="D132" s="296">
        <f>D105*Inputs!$H49</f>
        <v>18.481329358913474</v>
      </c>
      <c r="E132" s="296">
        <f>E105*Inputs!$H49</f>
        <v>25.164824399270167</v>
      </c>
      <c r="F132" s="296">
        <f>F105*Inputs!$H49</f>
        <v>28.643987578354928</v>
      </c>
      <c r="G132" s="296">
        <f>G105*Inputs!$H49</f>
        <v>29.478859041250118</v>
      </c>
      <c r="H132" s="367">
        <f>H105*Inputs!$H49</f>
        <v>13.969759629701404</v>
      </c>
      <c r="I132" s="14">
        <f>I105*Inputs!$H49</f>
        <v>16.208608136894796</v>
      </c>
      <c r="J132" s="14">
        <f>J105*Inputs!$H49</f>
        <v>19.604986192720776</v>
      </c>
      <c r="K132" s="14">
        <f>K105*Inputs!$H49</f>
        <v>24.382749170289461</v>
      </c>
      <c r="L132" s="14">
        <f>L105*Inputs!$H49</f>
        <v>28.421047210171398</v>
      </c>
      <c r="M132" s="14">
        <f>M105*Inputs!$H49</f>
        <v>33.327477109838149</v>
      </c>
      <c r="N132" s="182">
        <f>N105*Inputs!$H49</f>
        <v>39.409290429182533</v>
      </c>
      <c r="O132" s="14">
        <f>O105*Inputs!$H49</f>
        <v>40.707135461831641</v>
      </c>
      <c r="P132" s="14">
        <f>P105*Inputs!$H49</f>
        <v>41.804023005149389</v>
      </c>
      <c r="Q132" s="14">
        <f>Q105*Inputs!$H49</f>
        <v>42.777375365530759</v>
      </c>
      <c r="R132" s="14">
        <f>R105*Inputs!$H49</f>
        <v>44.142750426188549</v>
      </c>
      <c r="S132" s="14">
        <f>S105*Inputs!$H49</f>
        <v>48.028825041382575</v>
      </c>
      <c r="T132" s="14">
        <f>T105*Inputs!$H49</f>
        <v>52.855925873230412</v>
      </c>
      <c r="U132" s="14">
        <f>U105*Inputs!$H49</f>
        <v>57.215638713417135</v>
      </c>
      <c r="V132" s="14">
        <f>V105*Inputs!$H49</f>
        <v>59.579272155501258</v>
      </c>
      <c r="W132" s="14">
        <f>W105*Inputs!$H49</f>
        <v>60.140296919518335</v>
      </c>
      <c r="X132" s="187">
        <f>X105*Inputs!$H49</f>
        <v>49.8830102661463</v>
      </c>
      <c r="Y132" s="158">
        <f>Y105*Inputs!$H49</f>
        <v>68.051123865175398</v>
      </c>
      <c r="Z132" s="158">
        <f>Z105*Inputs!$H49</f>
        <v>77.223967363727795</v>
      </c>
      <c r="AA132" s="158">
        <f>AA105*Inputs!$H49</f>
        <v>85.149475460172994</v>
      </c>
      <c r="AB132" s="158">
        <f>AB105*Inputs!$H49</f>
        <v>93.088959035901155</v>
      </c>
      <c r="AC132" s="158">
        <f>AC105*Inputs!$H49</f>
        <v>95.265822984348489</v>
      </c>
      <c r="AD132" s="158">
        <f>AD105*Inputs!$H49</f>
        <v>97.131591915029162</v>
      </c>
      <c r="AE132" s="158">
        <f>AE105*Inputs!$H49</f>
        <v>98.558358888279471</v>
      </c>
      <c r="AF132" s="158">
        <f>AF105*Inputs!$H49</f>
        <v>100.80793883656466</v>
      </c>
      <c r="AG132" s="158">
        <f>AG105*Inputs!$H49</f>
        <v>103.34415406097096</v>
      </c>
      <c r="AH132" s="187">
        <f>AH105*Inputs!$H49</f>
        <v>65.605329246870269</v>
      </c>
    </row>
    <row r="133" spans="1:35">
      <c r="A133" s="10" t="s">
        <v>119</v>
      </c>
      <c r="B133" s="35">
        <v>1</v>
      </c>
      <c r="C133" s="296">
        <f>C106*Inputs!$H50</f>
        <v>0</v>
      </c>
      <c r="D133" s="296">
        <f>D106*Inputs!$H50</f>
        <v>0</v>
      </c>
      <c r="E133" s="296">
        <f>E106*Inputs!$H50</f>
        <v>0</v>
      </c>
      <c r="F133" s="296">
        <f>F106*Inputs!$H50</f>
        <v>0</v>
      </c>
      <c r="G133" s="296">
        <f>G106*Inputs!$H50</f>
        <v>0</v>
      </c>
      <c r="H133" s="367">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296">
        <f>C107*Inputs!$H52</f>
        <v>0</v>
      </c>
      <c r="D134" s="296">
        <f>D107*Inputs!$H52</f>
        <v>0</v>
      </c>
      <c r="E134" s="296">
        <f>E107*Inputs!$H52</f>
        <v>8.4714390000000001E-2</v>
      </c>
      <c r="F134" s="296">
        <f>F107*Inputs!$H52</f>
        <v>9.9422505000000008E-2</v>
      </c>
      <c r="G134" s="296">
        <f>G107*Inputs!$H52</f>
        <v>0.11862760500000002</v>
      </c>
      <c r="H134" s="367">
        <f>H107*Inputs!$H52</f>
        <v>0.10602832499999999</v>
      </c>
      <c r="I134" s="14">
        <f>I107*Inputs!$H52</f>
        <v>0.11849166000000001</v>
      </c>
      <c r="J134" s="14">
        <f>J107*Inputs!$H52</f>
        <v>0.12470545016516892</v>
      </c>
      <c r="K134" s="14">
        <f>K107*Inputs!$H52</f>
        <v>0.1365780324559637</v>
      </c>
      <c r="L134" s="14">
        <f>L107*Inputs!$H52</f>
        <v>0.14944151494156721</v>
      </c>
      <c r="M134" s="14">
        <f>M107*Inputs!$H52</f>
        <v>0.16264855986614937</v>
      </c>
      <c r="N134" s="182">
        <f>N107*Inputs!$H52</f>
        <v>0.17607162081750552</v>
      </c>
      <c r="O134" s="14">
        <f>O107*Inputs!$H52</f>
        <v>0.18187009310614283</v>
      </c>
      <c r="P134" s="14">
        <f>P107*Inputs!$H52</f>
        <v>0.18677073367853625</v>
      </c>
      <c r="Q134" s="14">
        <f>Q107*Inputs!$H52</f>
        <v>0.19111944754403601</v>
      </c>
      <c r="R134" s="14">
        <f>R107*Inputs!$H52</f>
        <v>0.1950338240516841</v>
      </c>
      <c r="S134" s="14">
        <f>S107*Inputs!$H52</f>
        <v>0.19921806204129719</v>
      </c>
      <c r="T134" s="14">
        <f>T107*Inputs!$H52</f>
        <v>0.20455384702916832</v>
      </c>
      <c r="U134" s="14">
        <f>U107*Inputs!$H52</f>
        <v>0.20887808344522529</v>
      </c>
      <c r="V134" s="14">
        <f>V107*Inputs!$H52</f>
        <v>0.21270173546432841</v>
      </c>
      <c r="W134" s="14">
        <f>W107*Inputs!$H52</f>
        <v>0.21822829571640917</v>
      </c>
      <c r="X134" s="187">
        <f>X107*Inputs!$H52</f>
        <v>0.22286578553347558</v>
      </c>
      <c r="Y134" s="158">
        <f>Y107*Inputs!$H52</f>
        <v>0.2282114656887714</v>
      </c>
      <c r="Z134" s="158">
        <f>Z107*Inputs!$H52</f>
        <v>0.23561153121331158</v>
      </c>
      <c r="AA134" s="158">
        <f>AA107*Inputs!$H52</f>
        <v>0.24180770618490999</v>
      </c>
      <c r="AB134" s="158">
        <f>AB107*Inputs!$H52</f>
        <v>0.24805657440891685</v>
      </c>
      <c r="AC134" s="158">
        <f>AC107*Inputs!$H52</f>
        <v>0.25442717663903891</v>
      </c>
      <c r="AD134" s="158">
        <f>AD107*Inputs!$H52</f>
        <v>0.26132981092582674</v>
      </c>
      <c r="AE134" s="158">
        <f>AE107*Inputs!$H52</f>
        <v>0.26939517604248192</v>
      </c>
      <c r="AF134" s="158">
        <f>AF107*Inputs!$H52</f>
        <v>0.27646736795210447</v>
      </c>
      <c r="AG134" s="158">
        <f>AG107*Inputs!$H52</f>
        <v>0.28520229947947678</v>
      </c>
      <c r="AH134" s="187">
        <f>AH107*Inputs!$H52</f>
        <v>0.29310948075859972</v>
      </c>
    </row>
    <row r="135" spans="1:35">
      <c r="A135" s="9" t="s">
        <v>347</v>
      </c>
      <c r="B135" s="35">
        <v>1</v>
      </c>
      <c r="C135" s="296">
        <f>C108*Inputs!$H54</f>
        <v>0</v>
      </c>
      <c r="D135" s="296">
        <f>D108*Inputs!$H54</f>
        <v>0</v>
      </c>
      <c r="E135" s="296">
        <f>E108*Inputs!$H54</f>
        <v>1.4220000000000002E-2</v>
      </c>
      <c r="F135" s="296">
        <f>F108*Inputs!$H54</f>
        <v>1.4220000000000002E-2</v>
      </c>
      <c r="G135" s="296">
        <f>G108*Inputs!$H54</f>
        <v>1.4220000000000002E-2</v>
      </c>
      <c r="H135" s="367">
        <f>H108*Inputs!$H54</f>
        <v>1.4220000000000002E-2</v>
      </c>
      <c r="I135" s="14">
        <f>I108*Inputs!$H54</f>
        <v>1.4566074273020823E-2</v>
      </c>
      <c r="J135" s="14">
        <f>J108*Inputs!$H54</f>
        <v>1.5554264238121148E-2</v>
      </c>
      <c r="K135" s="14">
        <f>K108*Inputs!$H54</f>
        <v>1.6428127366309945E-2</v>
      </c>
      <c r="L135" s="14">
        <f>L108*Inputs!$H54</f>
        <v>1.7334912025169007E-2</v>
      </c>
      <c r="M135" s="14">
        <f>M108*Inputs!$H54</f>
        <v>1.8194652855469767E-2</v>
      </c>
      <c r="N135" s="182">
        <f>N108*Inputs!$H54</f>
        <v>1.899442210451072E-2</v>
      </c>
      <c r="O135" s="14">
        <f>O108*Inputs!$H54</f>
        <v>1.9619955223932874E-2</v>
      </c>
      <c r="P135" s="14">
        <f>P108*Inputs!$H54</f>
        <v>2.0148631197848127E-2</v>
      </c>
      <c r="Q135" s="14">
        <f>Q108*Inputs!$H54</f>
        <v>2.0617765896498143E-2</v>
      </c>
      <c r="R135" s="14">
        <f>R108*Inputs!$H54</f>
        <v>2.1040044735740004E-2</v>
      </c>
      <c r="S135" s="14">
        <f>S108*Inputs!$H54</f>
        <v>2.1491435949107754E-2</v>
      </c>
      <c r="T135" s="14">
        <f>T108*Inputs!$H54</f>
        <v>2.2067054846962867E-2</v>
      </c>
      <c r="U135" s="14">
        <f>U108*Inputs!$H54</f>
        <v>2.2533548943995202E-2</v>
      </c>
      <c r="V135" s="14">
        <f>V108*Inputs!$H54</f>
        <v>2.2946040520402548E-2</v>
      </c>
      <c r="W135" s="14">
        <f>W108*Inputs!$H54</f>
        <v>2.3542240054016412E-2</v>
      </c>
      <c r="X135" s="187">
        <f>X108*Inputs!$H54</f>
        <v>2.4042527599969225E-2</v>
      </c>
      <c r="Y135" s="158">
        <f>Y108*Inputs!$H54</f>
        <v>2.4619213978125751E-2</v>
      </c>
      <c r="Z135" s="158">
        <f>Z108*Inputs!$H54</f>
        <v>2.5417525298948099E-2</v>
      </c>
      <c r="AA135" s="158">
        <f>AA108*Inputs!$H54</f>
        <v>2.6085962167408185E-2</v>
      </c>
      <c r="AB135" s="158">
        <f>AB108*Inputs!$H54</f>
        <v>2.6760083528767568E-2</v>
      </c>
      <c r="AC135" s="158">
        <f>AC108*Inputs!$H54</f>
        <v>2.7447337427249568E-2</v>
      </c>
      <c r="AD135" s="158">
        <f>AD108*Inputs!$H54</f>
        <v>2.8191986386960181E-2</v>
      </c>
      <c r="AE135" s="158">
        <f>AE108*Inputs!$H54</f>
        <v>2.9062069531202557E-2</v>
      </c>
      <c r="AF135" s="158">
        <f>AF108*Inputs!$H54</f>
        <v>2.9825010189735532E-2</v>
      </c>
      <c r="AG135" s="158">
        <f>AG108*Inputs!$H54</f>
        <v>3.0767325457321304E-2</v>
      </c>
      <c r="AH135" s="187">
        <f>AH108*Inputs!$H54</f>
        <v>3.1620343894791215E-2</v>
      </c>
    </row>
    <row r="136" spans="1:35">
      <c r="A136" s="9" t="s">
        <v>348</v>
      </c>
      <c r="B136" s="35">
        <v>1</v>
      </c>
      <c r="C136" s="296">
        <f>C109*Inputs!$H55</f>
        <v>0</v>
      </c>
      <c r="D136" s="296">
        <f>D109*Inputs!$H55</f>
        <v>0</v>
      </c>
      <c r="E136" s="296">
        <f>E109*Inputs!$H55</f>
        <v>2.0700000000000002E-3</v>
      </c>
      <c r="F136" s="296">
        <f>F109*Inputs!$H55</f>
        <v>2.0700000000000002E-3</v>
      </c>
      <c r="G136" s="296">
        <f>G109*Inputs!$H55</f>
        <v>2.0700000000000002E-3</v>
      </c>
      <c r="H136" s="367">
        <f>H109*Inputs!$H55</f>
        <v>2.0700000000000002E-3</v>
      </c>
      <c r="I136" s="14">
        <f>I109*Inputs!$H55</f>
        <v>2.1203779005030308E-3</v>
      </c>
      <c r="J136" s="14">
        <f>J109*Inputs!$H55</f>
        <v>2.2642283384606736E-3</v>
      </c>
      <c r="K136" s="14">
        <f>K109*Inputs!$H55</f>
        <v>2.3914362621843591E-3</v>
      </c>
      <c r="L136" s="14">
        <f>L109*Inputs!$H55</f>
        <v>2.5234365606258682E-3</v>
      </c>
      <c r="M136" s="14">
        <f>M109*Inputs!$H55</f>
        <v>2.64858870680889E-3</v>
      </c>
      <c r="N136" s="187">
        <f>N109*Inputs!$H55</f>
        <v>2.76501081268194E-3</v>
      </c>
      <c r="O136" s="14">
        <f>O109*Inputs!$H55</f>
        <v>2.8560694313320006E-3</v>
      </c>
      <c r="P136" s="14">
        <f>P109*Inputs!$H55</f>
        <v>2.9330285920918155E-3</v>
      </c>
      <c r="Q136" s="14">
        <f>Q109*Inputs!$H55</f>
        <v>3.0013203520218817E-3</v>
      </c>
      <c r="R136" s="14">
        <f>R109*Inputs!$H55</f>
        <v>3.0627913222912662E-3</v>
      </c>
      <c r="S136" s="14">
        <f>S109*Inputs!$H55</f>
        <v>3.1285001698068246E-3</v>
      </c>
      <c r="T136" s="14">
        <f>T109*Inputs!$H55</f>
        <v>3.2122927941781389E-3</v>
      </c>
      <c r="U136" s="14">
        <f>U109*Inputs!$H55</f>
        <v>3.2802001627334791E-3</v>
      </c>
      <c r="V136" s="14">
        <f>V109*Inputs!$H55</f>
        <v>3.3402464048687252E-3</v>
      </c>
      <c r="W136" s="14">
        <f>W109*Inputs!$H55</f>
        <v>3.4270349445720094E-3</v>
      </c>
      <c r="X136" s="187">
        <f>X109*Inputs!$H55</f>
        <v>3.499861612653748E-3</v>
      </c>
      <c r="Y136" s="158">
        <f>Y109*Inputs!$H55</f>
        <v>3.5838096297271661E-3</v>
      </c>
      <c r="Z136" s="158">
        <f>Z109*Inputs!$H55</f>
        <v>3.700019505543078E-3</v>
      </c>
      <c r="AA136" s="158">
        <f>AA109*Inputs!$H55</f>
        <v>3.797323606648027E-3</v>
      </c>
      <c r="AB136" s="158">
        <f>AB109*Inputs!$H55</f>
        <v>3.8954551972256589E-3</v>
      </c>
      <c r="AC136" s="158">
        <f>AC109*Inputs!$H55</f>
        <v>3.9954984862451909E-3</v>
      </c>
      <c r="AD136" s="158">
        <f>AD109*Inputs!$H55</f>
        <v>4.1038967525321782E-3</v>
      </c>
      <c r="AE136" s="158">
        <f>AE109*Inputs!$H55</f>
        <v>4.2305544254282205E-3</v>
      </c>
      <c r="AF136" s="158">
        <f>AF109*Inputs!$H55</f>
        <v>4.341615407366565E-3</v>
      </c>
      <c r="AG136" s="158">
        <f>AG109*Inputs!$H55</f>
        <v>4.4787878830277843E-3</v>
      </c>
      <c r="AH136" s="187">
        <f>AH109*Inputs!$H55</f>
        <v>4.6029614530392277E-3</v>
      </c>
    </row>
    <row r="137" spans="1:35">
      <c r="A137" s="9" t="s">
        <v>344</v>
      </c>
      <c r="B137" s="35">
        <v>1</v>
      </c>
      <c r="C137" s="296">
        <f>C110*Inputs!$H56</f>
        <v>2.16E-3</v>
      </c>
      <c r="D137" s="296">
        <f>D110*Inputs!$H56</f>
        <v>2.16E-3</v>
      </c>
      <c r="E137" s="296">
        <f>E110*Inputs!$H56</f>
        <v>2.4775579069278592E-3</v>
      </c>
      <c r="F137" s="296">
        <f>F110*Inputs!$H56</f>
        <v>2.489714340408383E-3</v>
      </c>
      <c r="G137" s="296">
        <f>G110*Inputs!$H56</f>
        <v>2.2621054649994404E-3</v>
      </c>
      <c r="H137" s="367">
        <f>H110*Inputs!$H56</f>
        <v>2.16E-3</v>
      </c>
      <c r="I137" s="14">
        <f>I110*Inputs!$H56</f>
        <v>2.2125682440031626E-3</v>
      </c>
      <c r="J137" s="14">
        <f>J110*Inputs!$H56</f>
        <v>2.3626730488285289E-3</v>
      </c>
      <c r="K137" s="14">
        <f>K110*Inputs!$H56</f>
        <v>2.4954117518445488E-3</v>
      </c>
      <c r="L137" s="14">
        <f>L110*Inputs!$H56</f>
        <v>2.6331511936965586E-3</v>
      </c>
      <c r="M137" s="14">
        <f>M110*Inputs!$H56</f>
        <v>2.7637447375397119E-3</v>
      </c>
      <c r="N137" s="187">
        <f>N110*Inputs!$H56</f>
        <v>2.8852286741028943E-3</v>
      </c>
      <c r="O137" s="14">
        <f>O110*Inputs!$H56</f>
        <v>2.9802463631290444E-3</v>
      </c>
      <c r="P137" s="14">
        <f>P110*Inputs!$H56</f>
        <v>3.0605515743566776E-3</v>
      </c>
      <c r="Q137" s="14">
        <f>Q110*Inputs!$H56</f>
        <v>3.1318125412402248E-3</v>
      </c>
      <c r="R137" s="14">
        <f>R110*Inputs!$H56</f>
        <v>3.195956162390887E-3</v>
      </c>
      <c r="S137" s="14">
        <f>S110*Inputs!$H56</f>
        <v>3.264521916320165E-3</v>
      </c>
      <c r="T137" s="14">
        <f>T110*Inputs!$H56</f>
        <v>3.3519576982728402E-3</v>
      </c>
      <c r="U137" s="14">
        <f>U110*Inputs!$H56</f>
        <v>3.4228175611131957E-3</v>
      </c>
      <c r="V137" s="14">
        <f>V110*Inputs!$H56</f>
        <v>3.4854745094282354E-3</v>
      </c>
      <c r="W137" s="14">
        <f>W110*Inputs!$H56</f>
        <v>3.5760364639012272E-3</v>
      </c>
      <c r="X137" s="187">
        <f>X110*Inputs!$H56</f>
        <v>3.6520295088560851E-3</v>
      </c>
      <c r="Y137" s="158">
        <f>Y110*Inputs!$H56</f>
        <v>3.7396274397153042E-3</v>
      </c>
      <c r="Z137" s="158">
        <f>Z110*Inputs!$H56</f>
        <v>3.8608899188275593E-3</v>
      </c>
      <c r="AA137" s="158">
        <f>AA110*Inputs!$H56</f>
        <v>3.9624246330240281E-3</v>
      </c>
      <c r="AB137" s="158">
        <f>AB110*Inputs!$H56</f>
        <v>4.0648228144963402E-3</v>
      </c>
      <c r="AC137" s="158">
        <f>AC110*Inputs!$H56</f>
        <v>4.1692158117341118E-3</v>
      </c>
      <c r="AD137" s="158">
        <f>AD110*Inputs!$H56</f>
        <v>4.2823270461205343E-3</v>
      </c>
      <c r="AE137" s="158">
        <f>AE110*Inputs!$H56</f>
        <v>4.4144915743598821E-3</v>
      </c>
      <c r="AF137" s="158">
        <f>AF110*Inputs!$H56</f>
        <v>4.5303812946433722E-3</v>
      </c>
      <c r="AG137" s="158">
        <f>AG110*Inputs!$H56</f>
        <v>4.6735177909855144E-3</v>
      </c>
      <c r="AH137" s="187">
        <f>AH110*Inputs!$H56</f>
        <v>4.8030902118670208E-3</v>
      </c>
    </row>
    <row r="138" spans="1:35">
      <c r="A138" s="10" t="s">
        <v>120</v>
      </c>
      <c r="B138" s="35">
        <v>1</v>
      </c>
      <c r="C138" s="296">
        <f>C111*Inputs!$H56</f>
        <v>0</v>
      </c>
      <c r="D138" s="296">
        <f>D111*Inputs!$H56</f>
        <v>0</v>
      </c>
      <c r="E138" s="296">
        <f>E111*Inputs!$H56</f>
        <v>0</v>
      </c>
      <c r="F138" s="296">
        <f>F111*Inputs!$H56</f>
        <v>0</v>
      </c>
      <c r="G138" s="296">
        <f>G111*Inputs!$H56</f>
        <v>0</v>
      </c>
      <c r="H138" s="367">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296">
        <f>C112*Inputs!$H57</f>
        <v>47.889000000000003</v>
      </c>
      <c r="D139" s="296">
        <f>D112*Inputs!$H57</f>
        <v>67.472999999999999</v>
      </c>
      <c r="E139" s="296">
        <f>E112*Inputs!$H57</f>
        <v>98.592346372575406</v>
      </c>
      <c r="F139" s="296">
        <f>F112*Inputs!$H57</f>
        <v>112.53359144389343</v>
      </c>
      <c r="G139" s="296">
        <f>G112*Inputs!$H57</f>
        <v>132.41892204261862</v>
      </c>
      <c r="H139" s="367">
        <f>H112*Inputs!$H57</f>
        <v>132.82956067010699</v>
      </c>
      <c r="I139" s="14">
        <f>I112*Inputs!$H57</f>
        <v>142.12019286822985</v>
      </c>
      <c r="J139" s="14">
        <f>J112*Inputs!$H57</f>
        <v>150.43409933427267</v>
      </c>
      <c r="K139" s="14">
        <f>K112*Inputs!$H57</f>
        <v>161.67233762394466</v>
      </c>
      <c r="L139" s="14">
        <f>L112*Inputs!$H57</f>
        <v>173.588175068114</v>
      </c>
      <c r="M139" s="14">
        <f>M112*Inputs!$H57</f>
        <v>185.39290442451397</v>
      </c>
      <c r="N139" s="182">
        <f>N112*Inputs!$H57</f>
        <v>196.93651947941578</v>
      </c>
      <c r="O139" s="14">
        <f>O112*Inputs!$H57</f>
        <v>203.42212428909531</v>
      </c>
      <c r="P139" s="14">
        <f>P112*Inputs!$H57</f>
        <v>208.90350222533351</v>
      </c>
      <c r="Q139" s="14">
        <f>Q112*Inputs!$H57</f>
        <v>213.76754884969586</v>
      </c>
      <c r="R139" s="14">
        <f>R112*Inputs!$H57</f>
        <v>218.14578812396945</v>
      </c>
      <c r="S139" s="14">
        <f>S112*Inputs!$H57</f>
        <v>222.82586809666444</v>
      </c>
      <c r="T139" s="14">
        <f>T112*Inputs!$H57</f>
        <v>228.79395607883285</v>
      </c>
      <c r="U139" s="14">
        <f>U112*Inputs!$H57</f>
        <v>233.63062461877351</v>
      </c>
      <c r="V139" s="14">
        <f>V112*Inputs!$H57</f>
        <v>237.90738834052681</v>
      </c>
      <c r="W139" s="14">
        <f>W112*Inputs!$H57</f>
        <v>244.08885890168079</v>
      </c>
      <c r="X139" s="187">
        <f>X112*Inputs!$H57</f>
        <v>249.27590210292939</v>
      </c>
      <c r="Y139" s="158">
        <f>Y112*Inputs!$H57</f>
        <v>255.25505785299379</v>
      </c>
      <c r="Z139" s="158">
        <f>Z112*Inputs!$H57</f>
        <v>263.53204844100605</v>
      </c>
      <c r="AA139" s="158">
        <f>AA112*Inputs!$H57</f>
        <v>270.46248463127</v>
      </c>
      <c r="AB139" s="158">
        <f>AB112*Inputs!$H57</f>
        <v>277.45185834753147</v>
      </c>
      <c r="AC139" s="158">
        <f>AC112*Inputs!$H57</f>
        <v>284.57739183420512</v>
      </c>
      <c r="AD139" s="158">
        <f>AD112*Inputs!$H57</f>
        <v>292.29800441996787</v>
      </c>
      <c r="AE139" s="158">
        <f>AE112*Inputs!$H57</f>
        <v>301.31913415700296</v>
      </c>
      <c r="AF139" s="158">
        <f>AF112*Inputs!$H57</f>
        <v>309.22939734027392</v>
      </c>
      <c r="AG139" s="158">
        <f>AG112*Inputs!$H57</f>
        <v>318.99943867291256</v>
      </c>
      <c r="AH139" s="187">
        <f>AH112*Inputs!$H57</f>
        <v>327.84363941788826</v>
      </c>
      <c r="AI139" s="31">
        <f>SUM(C139:X139)</f>
        <v>3862.6422109551872</v>
      </c>
    </row>
    <row r="140" spans="1:35">
      <c r="A140" s="10" t="s">
        <v>384</v>
      </c>
      <c r="C140" s="296">
        <f t="shared" ref="C140:AH140" si="91">SUM(C127:C139)</f>
        <v>1563.9218099999998</v>
      </c>
      <c r="D140" s="296">
        <f t="shared" si="91"/>
        <v>1468.5608160985742</v>
      </c>
      <c r="E140" s="296">
        <f t="shared" si="91"/>
        <v>1732.1009947178043</v>
      </c>
      <c r="F140" s="296">
        <f t="shared" si="91"/>
        <v>1706.7571637231795</v>
      </c>
      <c r="G140" s="296">
        <f t="shared" si="91"/>
        <v>1541.4068928057743</v>
      </c>
      <c r="H140" s="367">
        <f t="shared" si="91"/>
        <v>1503.011419269754</v>
      </c>
      <c r="I140" s="14">
        <f t="shared" si="91"/>
        <v>1503.2563505751182</v>
      </c>
      <c r="J140" s="14">
        <f t="shared" si="91"/>
        <v>1561.8847589703723</v>
      </c>
      <c r="K140" s="14">
        <f t="shared" si="91"/>
        <v>1612.4103233361484</v>
      </c>
      <c r="L140" s="14">
        <f t="shared" si="91"/>
        <v>1664.2689330908593</v>
      </c>
      <c r="M140" s="14">
        <f t="shared" si="91"/>
        <v>1711.9737604644986</v>
      </c>
      <c r="N140" s="182">
        <f t="shared" si="91"/>
        <v>1755.4541754570287</v>
      </c>
      <c r="O140" s="14">
        <f t="shared" si="91"/>
        <v>1783.4787246452152</v>
      </c>
      <c r="P140" s="14">
        <f t="shared" si="91"/>
        <v>1801.5264580200203</v>
      </c>
      <c r="Q140" s="14">
        <f t="shared" si="91"/>
        <v>1813.34733945619</v>
      </c>
      <c r="R140" s="14">
        <f t="shared" si="91"/>
        <v>1820.8184341342478</v>
      </c>
      <c r="S140" s="14">
        <f t="shared" si="91"/>
        <v>1832.6027447317019</v>
      </c>
      <c r="T140" s="14">
        <f t="shared" si="91"/>
        <v>1854.7910279244686</v>
      </c>
      <c r="U140" s="14">
        <f t="shared" si="91"/>
        <v>1866.757145608449</v>
      </c>
      <c r="V140" s="14">
        <f t="shared" si="91"/>
        <v>1871.7949298487438</v>
      </c>
      <c r="W140" s="14">
        <f t="shared" si="91"/>
        <v>1888.7985057188353</v>
      </c>
      <c r="X140" s="187">
        <f t="shared" si="91"/>
        <v>1886.7066467227464</v>
      </c>
      <c r="Y140" s="158">
        <f t="shared" si="91"/>
        <v>1913.388776759117</v>
      </c>
      <c r="Z140" s="158">
        <f t="shared" si="91"/>
        <v>1946.5976809894337</v>
      </c>
      <c r="AA140" s="158">
        <f t="shared" si="91"/>
        <v>1967.8387621788154</v>
      </c>
      <c r="AB140" s="158">
        <f t="shared" si="91"/>
        <v>1988.558162841864</v>
      </c>
      <c r="AC140" s="158">
        <f t="shared" si="91"/>
        <v>2003.5205792224383</v>
      </c>
      <c r="AD140" s="158">
        <f t="shared" si="91"/>
        <v>2021.1928460609806</v>
      </c>
      <c r="AE140" s="158">
        <f t="shared" si="91"/>
        <v>2045.8360662035777</v>
      </c>
      <c r="AF140" s="158">
        <f t="shared" si="91"/>
        <v>2063.0020797596685</v>
      </c>
      <c r="AG140" s="158">
        <f t="shared" si="91"/>
        <v>2091.1036949079321</v>
      </c>
      <c r="AH140" s="187">
        <f t="shared" si="91"/>
        <v>2071.9564895152716</v>
      </c>
      <c r="AI140" s="48" t="s">
        <v>0</v>
      </c>
    </row>
    <row r="141" spans="1:35">
      <c r="A141" s="10" t="s">
        <v>387</v>
      </c>
      <c r="C141" s="296">
        <f>SUM(C128:C130)</f>
        <v>1408.5886499999999</v>
      </c>
      <c r="D141" s="296">
        <f t="shared" ref="D141:AH141" si="92">SUM(D128:D130)</f>
        <v>1289.082439657562</v>
      </c>
      <c r="E141" s="296">
        <f t="shared" si="92"/>
        <v>1486.2682638884869</v>
      </c>
      <c r="F141" s="296">
        <f t="shared" si="92"/>
        <v>1432.4813422529003</v>
      </c>
      <c r="G141" s="296">
        <f t="shared" si="92"/>
        <v>1248.2878014078517</v>
      </c>
      <c r="H141" s="367">
        <f t="shared" si="92"/>
        <v>1263.5453392854383</v>
      </c>
      <c r="I141" s="14">
        <f t="shared" si="92"/>
        <v>1241.9450943314446</v>
      </c>
      <c r="J141" s="14">
        <f t="shared" si="92"/>
        <v>1272.5516947307176</v>
      </c>
      <c r="K141" s="14">
        <f t="shared" si="92"/>
        <v>1289.6668513009279</v>
      </c>
      <c r="L141" s="14">
        <f t="shared" si="92"/>
        <v>1305.7861264067892</v>
      </c>
      <c r="M141" s="14">
        <f t="shared" si="92"/>
        <v>1315.0810474158043</v>
      </c>
      <c r="N141" s="187">
        <f t="shared" si="92"/>
        <v>1317.3177957791372</v>
      </c>
      <c r="O141" s="14">
        <f t="shared" si="92"/>
        <v>1330.9134344795887</v>
      </c>
      <c r="P141" s="14">
        <f t="shared" si="92"/>
        <v>1336.7664205775654</v>
      </c>
      <c r="Q141" s="14">
        <f t="shared" si="92"/>
        <v>1337.765968397116</v>
      </c>
      <c r="R141" s="14">
        <f t="shared" si="92"/>
        <v>1335.0072955367768</v>
      </c>
      <c r="S141" s="14">
        <f t="shared" si="92"/>
        <v>1333.4300179378247</v>
      </c>
      <c r="T141" s="14">
        <f t="shared" si="92"/>
        <v>1338.7079241455922</v>
      </c>
      <c r="U141" s="14">
        <f t="shared" si="92"/>
        <v>1336.5217787113108</v>
      </c>
      <c r="V141" s="14">
        <f t="shared" si="92"/>
        <v>1330.5369892850931</v>
      </c>
      <c r="W141" s="14">
        <f t="shared" si="92"/>
        <v>1334.4642396707081</v>
      </c>
      <c r="X141" s="187">
        <f t="shared" si="92"/>
        <v>1332.1277317656677</v>
      </c>
      <c r="Y141" s="158">
        <f t="shared" si="92"/>
        <v>1328.5360637180297</v>
      </c>
      <c r="Z141" s="158">
        <f t="shared" si="92"/>
        <v>1335.8141337347097</v>
      </c>
      <c r="AA141" s="158">
        <f t="shared" si="92"/>
        <v>1335.0980145002272</v>
      </c>
      <c r="AB141" s="158">
        <f t="shared" si="92"/>
        <v>1333.7269115282759</v>
      </c>
      <c r="AC141" s="158">
        <f t="shared" si="92"/>
        <v>1332.085768322662</v>
      </c>
      <c r="AD141" s="158">
        <f t="shared" si="92"/>
        <v>1332.2607450089868</v>
      </c>
      <c r="AE141" s="158">
        <f t="shared" si="92"/>
        <v>1337.2125877785395</v>
      </c>
      <c r="AF141" s="158">
        <f t="shared" si="92"/>
        <v>1336.1135245013877</v>
      </c>
      <c r="AG141" s="158">
        <f t="shared" si="92"/>
        <v>1341.8980318173112</v>
      </c>
      <c r="AH141" s="187">
        <f t="shared" si="92"/>
        <v>1342.5832597320004</v>
      </c>
      <c r="AI141" s="48"/>
    </row>
    <row r="142" spans="1:35">
      <c r="A142" s="10" t="s">
        <v>386</v>
      </c>
      <c r="C142" s="295">
        <f t="shared" ref="C142:AH142" si="93">SUMPRODUCT($B131:$B139,C131:C139)</f>
        <v>155.33316000000002</v>
      </c>
      <c r="D142" s="295">
        <f t="shared" si="93"/>
        <v>179.47837644101239</v>
      </c>
      <c r="E142" s="295">
        <f t="shared" si="93"/>
        <v>245.83273082931723</v>
      </c>
      <c r="F142" s="295">
        <f t="shared" si="93"/>
        <v>274.2758214702796</v>
      </c>
      <c r="G142" s="295">
        <f t="shared" si="93"/>
        <v>293.11909139792249</v>
      </c>
      <c r="H142" s="251">
        <f t="shared" si="93"/>
        <v>239.46607998431563</v>
      </c>
      <c r="I142" s="40">
        <f t="shared" si="93"/>
        <v>261.3112562436736</v>
      </c>
      <c r="J142" s="40">
        <f t="shared" si="93"/>
        <v>289.33306423965473</v>
      </c>
      <c r="K142" s="40">
        <f t="shared" si="93"/>
        <v>322.74347203522058</v>
      </c>
      <c r="L142" s="40">
        <f t="shared" si="93"/>
        <v>358.48280668407006</v>
      </c>
      <c r="M142" s="40">
        <f t="shared" si="93"/>
        <v>396.8927130486943</v>
      </c>
      <c r="N142" s="177">
        <f t="shared" si="93"/>
        <v>438.13637967789145</v>
      </c>
      <c r="O142" s="40">
        <f t="shared" si="93"/>
        <v>452.56529016562621</v>
      </c>
      <c r="P142" s="40">
        <f t="shared" si="93"/>
        <v>464.76003744245475</v>
      </c>
      <c r="Q142" s="40">
        <f t="shared" si="93"/>
        <v>475.581371059074</v>
      </c>
      <c r="R142" s="40">
        <f t="shared" si="93"/>
        <v>485.81113859747114</v>
      </c>
      <c r="S142" s="40">
        <f t="shared" si="93"/>
        <v>499.17272679387725</v>
      </c>
      <c r="T142" s="40">
        <f t="shared" si="93"/>
        <v>516.08310377887631</v>
      </c>
      <c r="U142" s="40">
        <f t="shared" si="93"/>
        <v>530.23536689713842</v>
      </c>
      <c r="V142" s="40">
        <f t="shared" si="93"/>
        <v>541.25794056365066</v>
      </c>
      <c r="W142" s="40">
        <f t="shared" si="93"/>
        <v>554.33426604812735</v>
      </c>
      <c r="X142" s="184">
        <f t="shared" si="93"/>
        <v>554.57891495707861</v>
      </c>
      <c r="Y142" s="236">
        <f t="shared" si="93"/>
        <v>584.85271304108733</v>
      </c>
      <c r="Z142" s="236">
        <f t="shared" si="93"/>
        <v>610.78354725472423</v>
      </c>
      <c r="AA142" s="236">
        <f t="shared" si="93"/>
        <v>632.74074767858792</v>
      </c>
      <c r="AB142" s="236">
        <f t="shared" si="93"/>
        <v>654.83125131358793</v>
      </c>
      <c r="AC142" s="236">
        <f t="shared" si="93"/>
        <v>671.43481089977627</v>
      </c>
      <c r="AD142" s="236">
        <f t="shared" si="93"/>
        <v>688.93210105199387</v>
      </c>
      <c r="AE142" s="236">
        <f t="shared" si="93"/>
        <v>708.62347842503823</v>
      </c>
      <c r="AF142" s="236">
        <f t="shared" si="93"/>
        <v>726.88855525828035</v>
      </c>
      <c r="AG142" s="236">
        <f t="shared" si="93"/>
        <v>749.20566309062042</v>
      </c>
      <c r="AH142" s="184">
        <f t="shared" si="93"/>
        <v>729.37322978327143</v>
      </c>
    </row>
    <row r="143" spans="1:35">
      <c r="A143" s="10" t="s">
        <v>142</v>
      </c>
      <c r="C143" s="296">
        <f>C116*Inputs!$H$60</f>
        <v>119.75039999999998</v>
      </c>
      <c r="D143" s="296">
        <f>D116*Inputs!$H$60</f>
        <v>6.7571544077037435</v>
      </c>
      <c r="E143" s="296">
        <f>E116*Inputs!$H$60</f>
        <v>11.804170849591108</v>
      </c>
      <c r="F143" s="296">
        <f>F116*Inputs!$H$60</f>
        <v>8.295176573032057</v>
      </c>
      <c r="G143" s="296">
        <f>G116*Inputs!$H$60</f>
        <v>4.2396594708589301</v>
      </c>
      <c r="H143" s="367">
        <f>H116*Inputs!$H$60</f>
        <v>6.5381664362164944</v>
      </c>
      <c r="I143" s="14">
        <f>I116*Inputs!$H$60</f>
        <v>9.2739462330715341</v>
      </c>
      <c r="J143" s="14">
        <f>J116*Inputs!$H$60</f>
        <v>8.0612152151302023</v>
      </c>
      <c r="K143" s="14">
        <f>K116*Inputs!$H$60</f>
        <v>7.2822810527449064</v>
      </c>
      <c r="L143" s="14">
        <f>L116*Inputs!$H$60</f>
        <v>5.6090817771355557</v>
      </c>
      <c r="M143" s="14">
        <f>M116*Inputs!$H$60</f>
        <v>4.154587463299027</v>
      </c>
      <c r="N143" s="182">
        <f>N116*Inputs!$H$60</f>
        <v>2.5883461570874404</v>
      </c>
      <c r="O143" s="14">
        <f>O116*Inputs!$H$60</f>
        <v>2.5224996973500815</v>
      </c>
      <c r="P143" s="14">
        <f>P116*Inputs!$H$60</f>
        <v>2.5076594551206575</v>
      </c>
      <c r="Q143" s="14">
        <f>Q116*Inputs!$H$60</f>
        <v>2.5971528763554943</v>
      </c>
      <c r="R143" s="14">
        <f>R116*Inputs!$H$60</f>
        <v>2.7577235946923433</v>
      </c>
      <c r="S143" s="14">
        <f>S116*Inputs!$H$60</f>
        <v>2.7942283632916873</v>
      </c>
      <c r="T143" s="14">
        <f>T116*Inputs!$H$60</f>
        <v>2.7740256738773015</v>
      </c>
      <c r="U143" s="14">
        <f>U116*Inputs!$H$60</f>
        <v>2.8170074184621887</v>
      </c>
      <c r="V143" s="14">
        <f>V116*Inputs!$H$60</f>
        <v>2.9121495530555648</v>
      </c>
      <c r="W143" s="14">
        <f>W116*Inputs!$H$60</f>
        <v>2.9893245867057967</v>
      </c>
      <c r="X143" s="187">
        <f>X116*Inputs!$H$60</f>
        <v>3.2445214283722814</v>
      </c>
      <c r="Y143" s="158">
        <f>Y116*Inputs!$H$60</f>
        <v>2.9688198058066444</v>
      </c>
      <c r="Z143" s="158">
        <f>Z116*Inputs!$H$60</f>
        <v>2.7634669138044501</v>
      </c>
      <c r="AA143" s="158">
        <f>AA116*Inputs!$H$60</f>
        <v>2.6228034502021917</v>
      </c>
      <c r="AB143" s="158">
        <f>AB116*Inputs!$H$60</f>
        <v>2.5019313305130617</v>
      </c>
      <c r="AC143" s="158">
        <f>AC116*Inputs!$H$60</f>
        <v>2.4643055680911705</v>
      </c>
      <c r="AD143" s="158">
        <f>AD116*Inputs!$H$60</f>
        <v>2.4769526637114421</v>
      </c>
      <c r="AE143" s="158">
        <f>AE116*Inputs!$H$60</f>
        <v>2.4828810360463076</v>
      </c>
      <c r="AF143" s="158">
        <f>AF116*Inputs!$H$60</f>
        <v>2.4223941024954834</v>
      </c>
      <c r="AG143" s="158">
        <f>AG116*Inputs!$H$60</f>
        <v>2.3282262071634476</v>
      </c>
      <c r="AH143" s="187">
        <f>AH116*Inputs!$H$60</f>
        <v>2.8187486978751135</v>
      </c>
      <c r="AI143" s="48"/>
    </row>
    <row r="144" spans="1:35">
      <c r="A144" s="10" t="s">
        <v>222</v>
      </c>
      <c r="C144" s="296">
        <f>C117*Inputs!$H$61</f>
        <v>51.321600000000004</v>
      </c>
      <c r="D144" s="296">
        <f>D117*Inputs!$H$61</f>
        <v>129.69129312058664</v>
      </c>
      <c r="E144" s="296">
        <f>E117*Inputs!$H$61</f>
        <v>131.65886031051204</v>
      </c>
      <c r="F144" s="296">
        <f>F117*Inputs!$H$61</f>
        <v>110.50766314854268</v>
      </c>
      <c r="G144" s="296">
        <f>G117*Inputs!$H$61</f>
        <v>75.439237628019455</v>
      </c>
      <c r="H144" s="367">
        <f>H117*Inputs!$H$61</f>
        <v>109.78255377859537</v>
      </c>
      <c r="I144" s="14">
        <f>I117*Inputs!$H$61</f>
        <v>92.970297087023781</v>
      </c>
      <c r="J144" s="14">
        <f>J117*Inputs!$H$61</f>
        <v>87.875158313210861</v>
      </c>
      <c r="K144" s="14">
        <f>K117*Inputs!$H$61</f>
        <v>76.583025518580129</v>
      </c>
      <c r="L144" s="14">
        <f>L117*Inputs!$H$61</f>
        <v>64.705185981109722</v>
      </c>
      <c r="M144" s="14">
        <f>M117*Inputs!$H$61</f>
        <v>49.921031771202443</v>
      </c>
      <c r="N144" s="182">
        <f>N117*Inputs!$H$61</f>
        <v>32.418995874103807</v>
      </c>
      <c r="O144" s="14">
        <f>O117*Inputs!$H$61</f>
        <v>37.421647846072212</v>
      </c>
      <c r="P144" s="14">
        <f>P117*Inputs!$H$61</f>
        <v>42.254825398209931</v>
      </c>
      <c r="Q144" s="14">
        <f>Q117*Inputs!$H$61</f>
        <v>46.879165429969746</v>
      </c>
      <c r="R144" s="14">
        <f>R117*Inputs!$H$61</f>
        <v>51.091986082991298</v>
      </c>
      <c r="S144" s="14">
        <f>S117*Inputs!$H$61</f>
        <v>54.407130391960692</v>
      </c>
      <c r="T144" s="14">
        <f>T117*Inputs!$H$61</f>
        <v>57.826703122667539</v>
      </c>
      <c r="U144" s="14">
        <f>U117*Inputs!$H$61</f>
        <v>60.964135926030444</v>
      </c>
      <c r="V144" s="14">
        <f>V117*Inputs!$H$61</f>
        <v>64.676624471709502</v>
      </c>
      <c r="W144" s="14">
        <f>W117*Inputs!$H$61</f>
        <v>69.942338133699977</v>
      </c>
      <c r="X144" s="187">
        <f>X117*Inputs!$H$61</f>
        <v>79.359324430730396</v>
      </c>
      <c r="Y144" s="158">
        <f>Y117*Inputs!$H$61</f>
        <v>72.662157722295845</v>
      </c>
      <c r="Z144" s="158">
        <f>Z117*Inputs!$H$61</f>
        <v>70.640659061775466</v>
      </c>
      <c r="AA144" s="158">
        <f>AA117*Inputs!$H$61</f>
        <v>68.351470173285577</v>
      </c>
      <c r="AB144" s="158">
        <f>AB117*Inputs!$H$61</f>
        <v>65.872079432379763</v>
      </c>
      <c r="AC144" s="158">
        <f>AC117*Inputs!$H$61</f>
        <v>65.70735131625942</v>
      </c>
      <c r="AD144" s="158">
        <f>AD117*Inputs!$H$61</f>
        <v>65.660496603426779</v>
      </c>
      <c r="AE144" s="158">
        <f>AE117*Inputs!$H$61</f>
        <v>66.103946810049749</v>
      </c>
      <c r="AF144" s="158">
        <f>AF117*Inputs!$H$61</f>
        <v>65.60696028496379</v>
      </c>
      <c r="AG144" s="158">
        <f>AG117*Inputs!$H$61</f>
        <v>65.479605921573821</v>
      </c>
      <c r="AH144" s="187">
        <f>AH117*Inputs!$H$61</f>
        <v>81.908962050337735</v>
      </c>
      <c r="AI144" s="48"/>
    </row>
    <row r="145" spans="1:35">
      <c r="A145" s="10" t="s">
        <v>58</v>
      </c>
      <c r="C145" s="296">
        <f>SUM(C140,C143,C144)</f>
        <v>1734.9938099999997</v>
      </c>
      <c r="D145" s="296">
        <f>SUM(D140,D143,D144)</f>
        <v>1605.0092636268644</v>
      </c>
      <c r="E145" s="296">
        <f t="shared" ref="E145:AH145" si="94">SUM(E140,E143,E144)</f>
        <v>1875.5640258779074</v>
      </c>
      <c r="F145" s="296">
        <f t="shared" si="94"/>
        <v>1825.5600034447541</v>
      </c>
      <c r="G145" s="296">
        <f t="shared" si="94"/>
        <v>1621.0857899046528</v>
      </c>
      <c r="H145" s="367">
        <f t="shared" si="94"/>
        <v>1619.3321394845659</v>
      </c>
      <c r="I145" s="14">
        <f t="shared" si="94"/>
        <v>1605.5005938952133</v>
      </c>
      <c r="J145" s="14">
        <f t="shared" si="94"/>
        <v>1657.8211324987135</v>
      </c>
      <c r="K145" s="14">
        <f t="shared" si="94"/>
        <v>1696.2756299074736</v>
      </c>
      <c r="L145" s="14">
        <f t="shared" si="94"/>
        <v>1734.5832008491045</v>
      </c>
      <c r="M145" s="14">
        <f t="shared" si="94"/>
        <v>1766.0493796990002</v>
      </c>
      <c r="N145" s="187">
        <f t="shared" si="94"/>
        <v>1790.4615174882199</v>
      </c>
      <c r="O145" s="14">
        <f t="shared" si="94"/>
        <v>1823.4228721886373</v>
      </c>
      <c r="P145" s="14">
        <f t="shared" si="94"/>
        <v>1846.2889428733508</v>
      </c>
      <c r="Q145" s="14">
        <f t="shared" si="94"/>
        <v>1862.8236577625153</v>
      </c>
      <c r="R145" s="14">
        <f t="shared" si="94"/>
        <v>1874.6681438119315</v>
      </c>
      <c r="S145" s="14">
        <f t="shared" si="94"/>
        <v>1889.8041034869543</v>
      </c>
      <c r="T145" s="14">
        <f t="shared" si="94"/>
        <v>1915.3917567210135</v>
      </c>
      <c r="U145" s="14">
        <f t="shared" si="94"/>
        <v>1930.5382889529417</v>
      </c>
      <c r="V145" s="14">
        <f t="shared" si="94"/>
        <v>1939.3837038735089</v>
      </c>
      <c r="W145" s="14">
        <f t="shared" si="94"/>
        <v>1961.730168439241</v>
      </c>
      <c r="X145" s="187">
        <f t="shared" si="94"/>
        <v>1969.3104925818491</v>
      </c>
      <c r="Y145" s="158">
        <f t="shared" si="94"/>
        <v>1989.0197542872195</v>
      </c>
      <c r="Z145" s="158">
        <f t="shared" si="94"/>
        <v>2020.0018069650137</v>
      </c>
      <c r="AA145" s="158">
        <f t="shared" si="94"/>
        <v>2038.8130358023031</v>
      </c>
      <c r="AB145" s="158">
        <f t="shared" si="94"/>
        <v>2056.9321736047568</v>
      </c>
      <c r="AC145" s="158">
        <f t="shared" si="94"/>
        <v>2071.6922361067891</v>
      </c>
      <c r="AD145" s="158">
        <f t="shared" si="94"/>
        <v>2089.3302953281191</v>
      </c>
      <c r="AE145" s="158">
        <f t="shared" si="94"/>
        <v>2114.4228940496737</v>
      </c>
      <c r="AF145" s="158">
        <f t="shared" si="94"/>
        <v>2131.031434147128</v>
      </c>
      <c r="AG145" s="158">
        <f t="shared" si="94"/>
        <v>2158.9115270366692</v>
      </c>
      <c r="AH145" s="187">
        <f t="shared" si="94"/>
        <v>2156.6842002634844</v>
      </c>
      <c r="AI145" s="48"/>
    </row>
    <row r="146" spans="1:35" s="1" customFormat="1">
      <c r="A146" s="1" t="s">
        <v>335</v>
      </c>
      <c r="B146" s="13"/>
      <c r="C146" s="306">
        <f>C145-'Output - Jobs vs Yr (BAU)'!C73</f>
        <v>9.8729999999704887E-2</v>
      </c>
      <c r="D146" s="306">
        <f>D145-'Output - Jobs vs Yr (BAU)'!D73</f>
        <v>19.2801836268643</v>
      </c>
      <c r="E146" s="306">
        <f>E145-'Output - Jobs vs Yr (BAU)'!E73</f>
        <v>-7.4289736809273563</v>
      </c>
      <c r="F146" s="306">
        <f>F145-'Output - Jobs vs Yr (BAU)'!F73</f>
        <v>12.188100475188776</v>
      </c>
      <c r="G146" s="306">
        <f>G145-'Output - Jobs vs Yr (BAU)'!G73</f>
        <v>33.466066539258463</v>
      </c>
      <c r="H146" s="370">
        <f>H145-'Output - Jobs vs Yr (BAU)'!H73</f>
        <v>-0.10223999999993794</v>
      </c>
      <c r="I146" s="15">
        <f>I145-'Output - Jobs vs Yr (BAU)'!I73</f>
        <v>-4.9697845064076773</v>
      </c>
      <c r="J146" s="15">
        <f>J145-'Output - Jobs vs Yr (BAU)'!J73</f>
        <v>1.7596590398788976</v>
      </c>
      <c r="K146" s="15">
        <f>K145-'Output - Jobs vs Yr (BAU)'!K73</f>
        <v>8.9578944737302209</v>
      </c>
      <c r="L146" s="15">
        <f>L145-'Output - Jobs vs Yr (BAU)'!L73</f>
        <v>16.808967622597265</v>
      </c>
      <c r="M146" s="15">
        <f>M145-'Output - Jobs vs Yr (BAU)'!M73</f>
        <v>28.534325877627907</v>
      </c>
      <c r="N146" s="182">
        <f>N145-'Output - Jobs vs Yr (BAU)'!N73</f>
        <v>46.468212155854189</v>
      </c>
      <c r="O146" s="15">
        <f>O145-'Output - Jobs vs Yr (BAU)'!O73</f>
        <v>49.640078223265846</v>
      </c>
      <c r="P146" s="15">
        <f>P145-'Output - Jobs vs Yr (BAU)'!P73</f>
        <v>52.532435110240385</v>
      </c>
      <c r="Q146" s="15">
        <f>Q145-'Output - Jobs vs Yr (BAU)'!Q73</f>
        <v>53.638450172566991</v>
      </c>
      <c r="R146" s="15">
        <f>R145-'Output - Jobs vs Yr (BAU)'!R73</f>
        <v>52.056604101506764</v>
      </c>
      <c r="S146" s="15">
        <f>S145-'Output - Jobs vs Yr (BAU)'!S73</f>
        <v>54.425391156750948</v>
      </c>
      <c r="T146" s="15">
        <f>T145-'Output - Jobs vs Yr (BAU)'!T73</f>
        <v>55.963992935585111</v>
      </c>
      <c r="U146" s="15">
        <f>U145-'Output - Jobs vs Yr (BAU)'!U73</f>
        <v>57.492580360934653</v>
      </c>
      <c r="V146" s="15">
        <f>V145-'Output - Jobs vs Yr (BAU)'!V73</f>
        <v>58.629940580226503</v>
      </c>
      <c r="W146" s="15">
        <f>W145-'Output - Jobs vs Yr (BAU)'!W73</f>
        <v>61.112945241881334</v>
      </c>
      <c r="X146" s="190">
        <f>X145-'Output - Jobs vs Yr (BAU)'!X73</f>
        <v>56.401414182733106</v>
      </c>
      <c r="Y146" s="130">
        <f>Y145-'Output - Jobs vs Yr (BAU)'!Y73</f>
        <v>65.230973178402337</v>
      </c>
      <c r="Z146" s="130">
        <f>Z145-'Output - Jobs vs Yr (BAU)'!Z73</f>
        <v>68.477902770829814</v>
      </c>
      <c r="AA146" s="130">
        <f>AA145-'Output - Jobs vs Yr (BAU)'!AA73</f>
        <v>72.130187467565975</v>
      </c>
      <c r="AB146" s="130">
        <f>AB145-'Output - Jobs vs Yr (BAU)'!AB73</f>
        <v>74.914974961886173</v>
      </c>
      <c r="AC146" s="130">
        <f>AC145-'Output - Jobs vs Yr (BAU)'!AC73</f>
        <v>77.005171668955199</v>
      </c>
      <c r="AD146" s="130">
        <f>AD145-'Output - Jobs vs Yr (BAU)'!AD73</f>
        <v>76.811001426305666</v>
      </c>
      <c r="AE146" s="130">
        <f>AE145-'Output - Jobs vs Yr (BAU)'!AE73</f>
        <v>75.954909938209312</v>
      </c>
      <c r="AF146" s="130">
        <f>AF145-'Output - Jobs vs Yr (BAU)'!AF73</f>
        <v>78.432583375085414</v>
      </c>
      <c r="AG146" s="130">
        <f>AG145-'Output - Jobs vs Yr (BAU)'!AG73</f>
        <v>82.922886514018501</v>
      </c>
      <c r="AH146" s="190">
        <f>AH145-'Output - Jobs vs Yr (BAU)'!AH73</f>
        <v>65.093996265126407</v>
      </c>
    </row>
    <row r="147" spans="1:35" s="1" customFormat="1">
      <c r="A147" s="11"/>
      <c r="B147" s="13"/>
      <c r="C147" s="293"/>
      <c r="D147" s="306"/>
      <c r="E147" s="306"/>
      <c r="F147" s="306"/>
      <c r="G147" s="306"/>
      <c r="H147" s="370"/>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45"/>
    </row>
    <row r="148" spans="1:35" hidden="1">
      <c r="A148" s="1" t="s">
        <v>199</v>
      </c>
    </row>
    <row r="149" spans="1:35" hidden="1">
      <c r="A149" s="20" t="s">
        <v>197</v>
      </c>
      <c r="C149" s="298">
        <f>'backup - EIA liq_fuelS_aeo2014'!E44</f>
        <v>7088.7783050537164</v>
      </c>
      <c r="D149" s="298">
        <f>'backup - EIA liq_fuelS_aeo2014'!F44</f>
        <v>7149.5953941345133</v>
      </c>
      <c r="E149" s="298">
        <f>'backup - EIA liq_fuelS_aeo2014'!G44</f>
        <v>6912.5827950000003</v>
      </c>
      <c r="F149" s="298">
        <f>'backup - EIA liq_fuelS_aeo2014'!H44</f>
        <v>6786.185485</v>
      </c>
      <c r="G149" s="298">
        <f>'backup - EIA liq_fuelS_aeo2014'!I44</f>
        <v>6929.6414350000005</v>
      </c>
      <c r="H149" s="371">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35">
        <f>'backup - EIA liq_fuelS_aeo2014'!Z44</f>
        <v>6908.05278</v>
      </c>
    </row>
    <row r="150" spans="1:35" hidden="1">
      <c r="A150" s="20" t="s">
        <v>198</v>
      </c>
      <c r="C150" s="298">
        <f>'backup - EIA liq_fuelS_aeo2014'!E44</f>
        <v>7088.7783050537164</v>
      </c>
      <c r="D150" s="298">
        <f>'backup - EIA liq_fuelS_aeo2014'!F44</f>
        <v>7149.5953941345133</v>
      </c>
      <c r="E150" s="298">
        <f>'backup - EIA liq_fuelS_aeo2014'!G44</f>
        <v>6912.5827950000003</v>
      </c>
      <c r="F150" s="298">
        <f>'backup - EIA liq_fuelS_aeo2014'!H44</f>
        <v>6786.185485</v>
      </c>
      <c r="G150" s="298">
        <f>'backup - EIA liq_fuelS_aeo2014'!I44</f>
        <v>6929.6414350000005</v>
      </c>
      <c r="H150" s="371">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35">
        <f>'backup - EIA liq_fuelS_aeo2014'!Z44</f>
        <v>6908.05278</v>
      </c>
    </row>
    <row r="151" spans="1:35" hidden="1">
      <c r="A151" s="20" t="s">
        <v>200</v>
      </c>
      <c r="C151" s="307">
        <f>'backup - EIA liq_fuelS_aeo2014'!E46</f>
        <v>273.77869168296451</v>
      </c>
      <c r="D151" s="307">
        <f>'backup - EIA liq_fuelS_aeo2014'!F46</f>
        <v>330.59007454663532</v>
      </c>
      <c r="E151" s="307">
        <f>'backup - EIA liq_fuelS_aeo2014'!G46</f>
        <v>346.41273999999999</v>
      </c>
      <c r="F151" s="307">
        <f>'backup - EIA liq_fuelS_aeo2014'!H46</f>
        <v>332.23648773503913</v>
      </c>
      <c r="G151" s="307">
        <f>'backup - EIA liq_fuelS_aeo2014'!I46</f>
        <v>336.63400877733272</v>
      </c>
      <c r="H151" s="372">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36">
        <f>'backup - EIA liq_fuelS_aeo2014'!Z46</f>
        <v>459.60339229062083</v>
      </c>
    </row>
    <row r="152" spans="1:35" hidden="1">
      <c r="A152" s="20" t="s">
        <v>203</v>
      </c>
      <c r="C152" s="297">
        <f>C151/C149</f>
        <v>3.8621421054708789E-2</v>
      </c>
      <c r="D152" s="297">
        <f t="shared" ref="D152:X152" si="95">D151/D149</f>
        <v>4.62389906452398E-2</v>
      </c>
      <c r="E152" s="297">
        <f t="shared" si="95"/>
        <v>5.0113358533740347E-2</v>
      </c>
      <c r="F152" s="297">
        <f t="shared" si="95"/>
        <v>4.8957766991398283E-2</v>
      </c>
      <c r="G152" s="297">
        <f t="shared" si="95"/>
        <v>4.8578849560248959E-2</v>
      </c>
      <c r="H152" s="249">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07">
        <f>'backup - EIA liq_fuelS_aeo2014'!E46</f>
        <v>273.77869168296451</v>
      </c>
      <c r="D153" s="307">
        <f>'backup - EIA liq_fuelS_aeo2014'!F46</f>
        <v>330.59007454663532</v>
      </c>
      <c r="E153" s="307">
        <f>'backup - EIA liq_fuelS_aeo2014'!G46</f>
        <v>346.41273999999999</v>
      </c>
      <c r="F153" s="307">
        <f>'backup - EIA liq_fuelS_aeo2014'!H46</f>
        <v>332.23648773503913</v>
      </c>
      <c r="G153" s="307">
        <f>'backup - EIA liq_fuelS_aeo2014'!I46</f>
        <v>336.63400877733272</v>
      </c>
      <c r="H153" s="372">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36">
        <f>'backup - EIA liq_fuelS_aeo2014'!Z46</f>
        <v>459.60339229062083</v>
      </c>
    </row>
    <row r="154" spans="1:35" hidden="1">
      <c r="A154" t="s">
        <v>204</v>
      </c>
      <c r="C154" s="297">
        <f>C153/C149</f>
        <v>3.8621421054708789E-2</v>
      </c>
      <c r="D154" s="297">
        <f t="shared" ref="D154:X154" si="96">D153/D149</f>
        <v>4.62389906452398E-2</v>
      </c>
      <c r="E154" s="297">
        <f t="shared" si="96"/>
        <v>5.0113358533740347E-2</v>
      </c>
      <c r="F154" s="297">
        <f t="shared" si="96"/>
        <v>4.8957766991398283E-2</v>
      </c>
      <c r="G154" s="297">
        <f t="shared" si="96"/>
        <v>4.8578849560248959E-2</v>
      </c>
      <c r="H154" s="249">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07">
        <f>MAX(C151,C153)</f>
        <v>273.77869168296451</v>
      </c>
      <c r="D155" s="307">
        <f t="shared" ref="D155:X155" si="97">MAX(D151,D153)</f>
        <v>330.59007454663532</v>
      </c>
      <c r="E155" s="307">
        <f t="shared" si="97"/>
        <v>346.41273999999999</v>
      </c>
      <c r="F155" s="307">
        <f t="shared" si="97"/>
        <v>332.23648773503913</v>
      </c>
      <c r="G155" s="307">
        <f t="shared" si="97"/>
        <v>336.63400877733272</v>
      </c>
      <c r="H155" s="372">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36">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298">
        <f>C149-C150</f>
        <v>0</v>
      </c>
      <c r="D157" s="298">
        <f t="shared" ref="D157:X157" si="98">D149-D150</f>
        <v>0</v>
      </c>
      <c r="E157" s="298">
        <f t="shared" si="98"/>
        <v>0</v>
      </c>
      <c r="F157" s="298">
        <f t="shared" si="98"/>
        <v>0</v>
      </c>
      <c r="G157" s="298">
        <f t="shared" si="98"/>
        <v>0</v>
      </c>
      <c r="H157" s="371">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35">
        <f t="shared" si="98"/>
        <v>0</v>
      </c>
    </row>
    <row r="158" spans="1:35" hidden="1"/>
    <row r="159" spans="1:35" hidden="1">
      <c r="A159" s="1" t="s">
        <v>252</v>
      </c>
    </row>
    <row r="160" spans="1:35" hidden="1">
      <c r="A160" t="s">
        <v>285</v>
      </c>
      <c r="C160" s="295">
        <v>0</v>
      </c>
      <c r="D160" s="295">
        <v>0</v>
      </c>
      <c r="E160" s="295">
        <v>0</v>
      </c>
      <c r="F160" s="295">
        <v>0</v>
      </c>
      <c r="G160" s="295">
        <v>0</v>
      </c>
      <c r="H160" s="251">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295">
        <v>0</v>
      </c>
      <c r="D161" s="295">
        <v>0</v>
      </c>
      <c r="E161" s="295">
        <v>0</v>
      </c>
      <c r="F161" s="295">
        <v>0</v>
      </c>
      <c r="G161" s="295">
        <v>0</v>
      </c>
      <c r="H161" s="251">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295">
        <v>0</v>
      </c>
      <c r="D162" s="295">
        <v>0</v>
      </c>
      <c r="E162" s="295">
        <v>0</v>
      </c>
      <c r="F162" s="295">
        <v>0</v>
      </c>
      <c r="G162" s="295">
        <v>0</v>
      </c>
      <c r="H162" s="251">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295">
        <v>0</v>
      </c>
      <c r="D163" s="295">
        <v>0</v>
      </c>
      <c r="E163" s="295">
        <v>0</v>
      </c>
      <c r="F163" s="295">
        <v>0</v>
      </c>
      <c r="G163" s="295">
        <v>0</v>
      </c>
      <c r="H163" s="251">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295" t="e">
        <f>C157*#REF!</f>
        <v>#REF!</v>
      </c>
      <c r="D164" s="295" t="e">
        <f>D157*#REF!</f>
        <v>#REF!</v>
      </c>
      <c r="E164" s="295" t="e">
        <f>E157*#REF!</f>
        <v>#REF!</v>
      </c>
      <c r="F164" s="295" t="e">
        <f>F157*#REF!</f>
        <v>#REF!</v>
      </c>
      <c r="G164" s="295" t="e">
        <f>G157*#REF!</f>
        <v>#REF!</v>
      </c>
      <c r="H164" s="251"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295">
        <v>0</v>
      </c>
      <c r="D165" s="295">
        <v>0</v>
      </c>
      <c r="E165" s="295">
        <v>0</v>
      </c>
      <c r="F165" s="295">
        <v>0</v>
      </c>
      <c r="G165" s="295">
        <v>0</v>
      </c>
      <c r="H165" s="251">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295" t="e">
        <f>C162-C160+C164+C165</f>
        <v>#REF!</v>
      </c>
      <c r="D166" s="295">
        <v>0</v>
      </c>
      <c r="E166" s="295">
        <v>0</v>
      </c>
      <c r="F166" s="295">
        <v>0</v>
      </c>
      <c r="G166" s="295">
        <v>0</v>
      </c>
      <c r="H166" s="251">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295">
        <v>0</v>
      </c>
      <c r="D169" s="295">
        <v>0</v>
      </c>
      <c r="E169" s="295">
        <v>0</v>
      </c>
      <c r="F169" s="295">
        <v>0</v>
      </c>
      <c r="G169" s="295">
        <v>0</v>
      </c>
      <c r="H169" s="251">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295">
        <v>0</v>
      </c>
      <c r="D170" s="295">
        <v>0</v>
      </c>
      <c r="E170" s="295">
        <v>0</v>
      </c>
      <c r="F170" s="295">
        <v>0</v>
      </c>
      <c r="G170" s="295">
        <v>0</v>
      </c>
      <c r="H170" s="251">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295">
        <v>0</v>
      </c>
      <c r="D171" s="295">
        <v>0</v>
      </c>
      <c r="E171" s="295">
        <v>0</v>
      </c>
      <c r="F171" s="295">
        <v>0</v>
      </c>
      <c r="G171" s="295">
        <v>0</v>
      </c>
      <c r="H171" s="251">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295">
        <v>0</v>
      </c>
      <c r="D172" s="295">
        <v>0</v>
      </c>
      <c r="E172" s="295">
        <v>0</v>
      </c>
      <c r="F172" s="295">
        <v>0</v>
      </c>
      <c r="G172" s="295">
        <v>0</v>
      </c>
      <c r="H172" s="251">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295" t="e">
        <f>'backup - Mass Transit'!BC34</f>
        <v>#REF!</v>
      </c>
      <c r="D173" s="295" t="e">
        <f>'backup - Mass Transit'!BD34</f>
        <v>#REF!</v>
      </c>
      <c r="E173" s="295" t="e">
        <f>'backup - Mass Transit'!BE34</f>
        <v>#REF!</v>
      </c>
      <c r="F173" s="295" t="e">
        <f>'backup - Mass Transit'!BF34</f>
        <v>#REF!</v>
      </c>
      <c r="G173" s="295" t="e">
        <f>'backup - Mass Transit'!BG34</f>
        <v>#REF!</v>
      </c>
      <c r="H173" s="251"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293">
        <v>2009</v>
      </c>
      <c r="D175" s="293">
        <v>2010</v>
      </c>
      <c r="E175" s="293">
        <v>2011</v>
      </c>
      <c r="F175" s="293">
        <v>2012</v>
      </c>
      <c r="G175" s="293">
        <v>2013</v>
      </c>
      <c r="H175" s="365">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299">
        <f>'Output - Jobs vs Yr (BAU)'!C55+'Output - Jobs vs Yr (BAU)'!C73</f>
        <v>3662.5562799999998</v>
      </c>
      <c r="D176" s="299">
        <f>'Output - Jobs vs Yr (BAU)'!D55+'Output - Jobs vs Yr (BAU)'!D73</f>
        <v>3347.6502799999998</v>
      </c>
      <c r="E176" s="299">
        <f>'Output - Jobs vs Yr (BAU)'!E55+'Output - Jobs vs Yr (BAU)'!E73</f>
        <v>3975.2074435130953</v>
      </c>
      <c r="F176" s="299">
        <f>'Output - Jobs vs Yr (BAU)'!F55+'Output - Jobs vs Yr (BAU)'!F73</f>
        <v>3828.2295729357493</v>
      </c>
      <c r="G176" s="299">
        <f>'Output - Jobs vs Yr (BAU)'!G55+'Output - Jobs vs Yr (BAU)'!G73</f>
        <v>3351.6416382158327</v>
      </c>
      <c r="H176" s="369">
        <f>'Output - Jobs vs Yr (BAU)'!H55+'Output - Jobs vs Yr (BAU)'!H73</f>
        <v>3418.805912245195</v>
      </c>
      <c r="I176" s="19">
        <f>'Output - Jobs vs Yr (BAU)'!I55+'Output - Jobs vs Yr (BAU)'!I73</f>
        <v>3399.8819099589773</v>
      </c>
      <c r="J176" s="19">
        <f>'Output - Jobs vs Yr (BAU)'!J55+'Output - Jobs vs Yr (BAU)'!J73</f>
        <v>3496.1297773019842</v>
      </c>
      <c r="K176" s="19">
        <f>'Output - Jobs vs Yr (BAU)'!K55+'Output - Jobs vs Yr (BAU)'!K73</f>
        <v>3562.1152192490135</v>
      </c>
      <c r="L176" s="19">
        <f>'Output - Jobs vs Yr (BAU)'!L55+'Output - Jobs vs Yr (BAU)'!L73</f>
        <v>3626.4122701448487</v>
      </c>
      <c r="M176" s="19">
        <f>'Output - Jobs vs Yr (BAU)'!M55+'Output - Jobs vs Yr (BAU)'!M73</f>
        <v>3668.087335845119</v>
      </c>
      <c r="N176" s="182">
        <f>'Output - Jobs vs Yr (BAU)'!N55+'Output - Jobs vs Yr (BAU)'!N73</f>
        <v>3681.7636445905496</v>
      </c>
      <c r="O176" s="19">
        <f>'Output - Jobs vs Yr (BAU)'!O55+'Output - Jobs vs Yr (BAU)'!O73</f>
        <v>3744.6525650380063</v>
      </c>
      <c r="P176" s="19">
        <f>'Output - Jobs vs Yr (BAU)'!P55+'Output - Jobs vs Yr (BAU)'!P73</f>
        <v>3786.8192941665666</v>
      </c>
      <c r="Q176" s="19">
        <f>'Output - Jobs vs Yr (BAU)'!Q55+'Output - Jobs vs Yr (BAU)'!Q73</f>
        <v>3819.390993801002</v>
      </c>
      <c r="R176" s="19">
        <f>'Output - Jobs vs Yr (BAU)'!R55+'Output - Jobs vs Yr (BAU)'!R73</f>
        <v>3847.7354727220081</v>
      </c>
      <c r="S176" s="19">
        <f>'Output - Jobs vs Yr (BAU)'!S55+'Output - Jobs vs Yr (BAU)'!S73</f>
        <v>3874.6883926970959</v>
      </c>
      <c r="T176" s="19">
        <f>'Output - Jobs vs Yr (BAU)'!T55+'Output - Jobs vs Yr (BAU)'!T73</f>
        <v>3925.4586124359039</v>
      </c>
      <c r="U176" s="19">
        <f>'Output - Jobs vs Yr (BAU)'!U55+'Output - Jobs vs Yr (BAU)'!U73</f>
        <v>3954.2076070275702</v>
      </c>
      <c r="V176" s="19">
        <f>'Output - Jobs vs Yr (BAU)'!V55+'Output - Jobs vs Yr (BAU)'!V73</f>
        <v>3970.480166952485</v>
      </c>
      <c r="W176" s="19">
        <f>'Output - Jobs vs Yr (BAU)'!W55+'Output - Jobs vs Yr (BAU)'!W73</f>
        <v>4012.4141378610925</v>
      </c>
      <c r="X176" s="182">
        <f>'Output - Jobs vs Yr (BAU)'!X55+'Output - Jobs vs Yr (BAU)'!X73</f>
        <v>4038.3636099536893</v>
      </c>
      <c r="Y176" s="206">
        <f>'Output - Jobs vs Yr (BAU)'!Y55+'Output - Jobs vs Yr (BAU)'!Y73</f>
        <v>4061.3318712297246</v>
      </c>
      <c r="Z176" s="206">
        <f>'Output - Jobs vs Yr (BAU)'!Z55+'Output - Jobs vs Yr (BAU)'!Z73</f>
        <v>4119.8837977432768</v>
      </c>
      <c r="AA176" s="206">
        <f>'Output - Jobs vs Yr (BAU)'!AA55+'Output - Jobs vs Yr (BAU)'!AA73</f>
        <v>4151.8860131511119</v>
      </c>
      <c r="AB176" s="206">
        <f>'Output - Jobs vs Yr (BAU)'!AB55+'Output - Jobs vs Yr (BAU)'!AB73</f>
        <v>4184.2585304682825</v>
      </c>
      <c r="AC176" s="206">
        <f>'Output - Jobs vs Yr (BAU)'!AC55+'Output - Jobs vs Yr (BAU)'!AC73</f>
        <v>4211.0060249243161</v>
      </c>
      <c r="AD176" s="206">
        <f>'Output - Jobs vs Yr (BAU)'!AD55+'Output - Jobs vs Yr (BAU)'!AD73</f>
        <v>4248.6518426816056</v>
      </c>
      <c r="AE176" s="206">
        <f>'Output - Jobs vs Yr (BAU)'!AE55+'Output - Jobs vs Yr (BAU)'!AE73</f>
        <v>4303.4324109019799</v>
      </c>
      <c r="AF176" s="206">
        <f>'Output - Jobs vs Yr (BAU)'!AF55+'Output - Jobs vs Yr (BAU)'!AF73</f>
        <v>4333.2642405187562</v>
      </c>
      <c r="AG176" s="206">
        <f>'Output - Jobs vs Yr (BAU)'!AG55+'Output - Jobs vs Yr (BAU)'!AG73</f>
        <v>4382.6426855478185</v>
      </c>
      <c r="AH176" s="182">
        <f>'Output - Jobs vs Yr (BAU)'!AH55+'Output - Jobs vs Yr (BAU)'!AH73</f>
        <v>4415.5793195520891</v>
      </c>
      <c r="AI176" s="1"/>
    </row>
    <row r="177" spans="1:35">
      <c r="A177" s="76" t="s">
        <v>300</v>
      </c>
      <c r="C177" s="299">
        <f>'Output - Jobs vs Yr (BAU)'!C55</f>
        <v>1927.6611999999998</v>
      </c>
      <c r="D177" s="299">
        <f>'Output - Jobs vs Yr (BAU)'!D55</f>
        <v>1761.9211999999998</v>
      </c>
      <c r="E177" s="299">
        <f>'Output - Jobs vs Yr (BAU)'!E55</f>
        <v>2092.2144439542608</v>
      </c>
      <c r="F177" s="299">
        <f>'Output - Jobs vs Yr (BAU)'!F55</f>
        <v>2014.8576699661839</v>
      </c>
      <c r="G177" s="299">
        <f>'Output - Jobs vs Yr (BAU)'!G55</f>
        <v>1764.0219148504384</v>
      </c>
      <c r="H177" s="369">
        <f>'Output - Jobs vs Yr (BAU)'!H55</f>
        <v>1799.371532760629</v>
      </c>
      <c r="I177" s="19">
        <f>'Output - Jobs vs Yr (BAU)'!I55</f>
        <v>1789.4115315573565</v>
      </c>
      <c r="J177" s="19">
        <f>'Output - Jobs vs Yr (BAU)'!J55</f>
        <v>1840.0683038431496</v>
      </c>
      <c r="K177" s="19">
        <f>'Output - Jobs vs Yr (BAU)'!K55</f>
        <v>1874.79748381527</v>
      </c>
      <c r="L177" s="19">
        <f>'Output - Jobs vs Yr (BAU)'!L55</f>
        <v>1908.6380369183412</v>
      </c>
      <c r="M177" s="19">
        <f>'Output - Jobs vs Yr (BAU)'!M55</f>
        <v>1930.5722820237468</v>
      </c>
      <c r="N177" s="182">
        <f>'Output - Jobs vs Yr (BAU)'!N55</f>
        <v>1937.7703392581839</v>
      </c>
      <c r="O177" s="19">
        <f>'Output - Jobs vs Yr (BAU)'!O55</f>
        <v>1970.8697710726351</v>
      </c>
      <c r="P177" s="19">
        <f>'Output - Jobs vs Yr (BAU)'!P55</f>
        <v>1993.0627864034559</v>
      </c>
      <c r="Q177" s="19">
        <f>'Output - Jobs vs Yr (BAU)'!Q55</f>
        <v>2010.2057862110537</v>
      </c>
      <c r="R177" s="19">
        <f>'Output - Jobs vs Yr (BAU)'!R55</f>
        <v>2025.1239330115832</v>
      </c>
      <c r="S177" s="19">
        <f>'Output - Jobs vs Yr (BAU)'!S55</f>
        <v>2039.3096803668925</v>
      </c>
      <c r="T177" s="19">
        <f>'Output - Jobs vs Yr (BAU)'!T55</f>
        <v>2066.0308486504755</v>
      </c>
      <c r="U177" s="19">
        <f>'Output - Jobs vs Yr (BAU)'!U55</f>
        <v>2081.1618984355632</v>
      </c>
      <c r="V177" s="19">
        <f>'Output - Jobs vs Yr (BAU)'!V55</f>
        <v>2089.7264036592023</v>
      </c>
      <c r="W177" s="19">
        <f>'Output - Jobs vs Yr (BAU)'!W55</f>
        <v>2111.7969146637329</v>
      </c>
      <c r="X177" s="182">
        <f>'Output - Jobs vs Yr (BAU)'!X55</f>
        <v>2125.4545315545734</v>
      </c>
      <c r="Y177" s="206">
        <f>'Output - Jobs vs Yr (BAU)'!Y55</f>
        <v>2137.5430901209074</v>
      </c>
      <c r="Z177" s="206">
        <f>'Output - Jobs vs Yr (BAU)'!Z55</f>
        <v>2168.3598935490932</v>
      </c>
      <c r="AA177" s="206">
        <f>'Output - Jobs vs Yr (BAU)'!AA55</f>
        <v>2185.2031648163747</v>
      </c>
      <c r="AB177" s="206">
        <f>'Output - Jobs vs Yr (BAU)'!AB55</f>
        <v>2202.2413318254116</v>
      </c>
      <c r="AC177" s="206">
        <f>'Output - Jobs vs Yr (BAU)'!AC55</f>
        <v>2216.318960486482</v>
      </c>
      <c r="AD177" s="206">
        <f>'Output - Jobs vs Yr (BAU)'!AD55</f>
        <v>2236.1325487797926</v>
      </c>
      <c r="AE177" s="206">
        <f>'Output - Jobs vs Yr (BAU)'!AE55</f>
        <v>2264.9644267905155</v>
      </c>
      <c r="AF177" s="206">
        <f>'Output - Jobs vs Yr (BAU)'!AF55</f>
        <v>2280.665389746714</v>
      </c>
      <c r="AG177" s="206">
        <f>'Output - Jobs vs Yr (BAU)'!AG55</f>
        <v>2306.6540450251678</v>
      </c>
      <c r="AH177" s="182">
        <f>'Output - Jobs vs Yr (BAU)'!AH55</f>
        <v>2323.9891155537316</v>
      </c>
      <c r="AI177" s="1"/>
    </row>
    <row r="178" spans="1:35">
      <c r="A178" s="76" t="s">
        <v>301</v>
      </c>
      <c r="C178" s="299">
        <f>'Output - Jobs vs Yr (BAU)'!C73</f>
        <v>1734.89508</v>
      </c>
      <c r="D178" s="299">
        <f>'Output - Jobs vs Yr (BAU)'!D73</f>
        <v>1585.7290800000001</v>
      </c>
      <c r="E178" s="299">
        <f>'Output - Jobs vs Yr (BAU)'!E73</f>
        <v>1882.9929995588348</v>
      </c>
      <c r="F178" s="299">
        <f>'Output - Jobs vs Yr (BAU)'!F73</f>
        <v>1813.3719029695653</v>
      </c>
      <c r="G178" s="299">
        <f>'Output - Jobs vs Yr (BAU)'!G73</f>
        <v>1587.6197233653943</v>
      </c>
      <c r="H178" s="369">
        <f>'Output - Jobs vs Yr (BAU)'!H73</f>
        <v>1619.4343794845659</v>
      </c>
      <c r="I178" s="19">
        <f>'Output - Jobs vs Yr (BAU)'!I73</f>
        <v>1610.470378401621</v>
      </c>
      <c r="J178" s="19">
        <f>'Output - Jobs vs Yr (BAU)'!J73</f>
        <v>1656.0614734588346</v>
      </c>
      <c r="K178" s="19">
        <f>'Output - Jobs vs Yr (BAU)'!K73</f>
        <v>1687.3177354337433</v>
      </c>
      <c r="L178" s="19">
        <f>'Output - Jobs vs Yr (BAU)'!L73</f>
        <v>1717.7742332265072</v>
      </c>
      <c r="M178" s="19">
        <f>'Output - Jobs vs Yr (BAU)'!M73</f>
        <v>1737.5150538213722</v>
      </c>
      <c r="N178" s="182">
        <f>'Output - Jobs vs Yr (BAU)'!N73</f>
        <v>1743.9933053323657</v>
      </c>
      <c r="O178" s="19">
        <f>'Output - Jobs vs Yr (BAU)'!O73</f>
        <v>1773.7827939653714</v>
      </c>
      <c r="P178" s="19">
        <f>'Output - Jobs vs Yr (BAU)'!P73</f>
        <v>1793.7565077631104</v>
      </c>
      <c r="Q178" s="19">
        <f>'Output - Jobs vs Yr (BAU)'!Q73</f>
        <v>1809.1852075899483</v>
      </c>
      <c r="R178" s="19">
        <f>'Output - Jobs vs Yr (BAU)'!R73</f>
        <v>1822.6115397104247</v>
      </c>
      <c r="S178" s="19">
        <f>'Output - Jobs vs Yr (BAU)'!S73</f>
        <v>1835.3787123302034</v>
      </c>
      <c r="T178" s="19">
        <f>'Output - Jobs vs Yr (BAU)'!T73</f>
        <v>1859.4277637854284</v>
      </c>
      <c r="U178" s="19">
        <f>'Output - Jobs vs Yr (BAU)'!U73</f>
        <v>1873.045708592007</v>
      </c>
      <c r="V178" s="19">
        <f>'Output - Jobs vs Yr (BAU)'!V73</f>
        <v>1880.7537632932824</v>
      </c>
      <c r="W178" s="19">
        <f>'Output - Jobs vs Yr (BAU)'!W73</f>
        <v>1900.6172231973596</v>
      </c>
      <c r="X178" s="182">
        <f>'Output - Jobs vs Yr (BAU)'!X73</f>
        <v>1912.909078399116</v>
      </c>
      <c r="Y178" s="206">
        <f>'Output - Jobs vs Yr (BAU)'!Y73</f>
        <v>1923.7887811088171</v>
      </c>
      <c r="Z178" s="206">
        <f>'Output - Jobs vs Yr (BAU)'!Z73</f>
        <v>1951.5239041941838</v>
      </c>
      <c r="AA178" s="206">
        <f>'Output - Jobs vs Yr (BAU)'!AA73</f>
        <v>1966.6828483347372</v>
      </c>
      <c r="AB178" s="206">
        <f>'Output - Jobs vs Yr (BAU)'!AB73</f>
        <v>1982.0171986428707</v>
      </c>
      <c r="AC178" s="206">
        <f>'Output - Jobs vs Yr (BAU)'!AC73</f>
        <v>1994.6870644378339</v>
      </c>
      <c r="AD178" s="206">
        <f>'Output - Jobs vs Yr (BAU)'!AD73</f>
        <v>2012.5192939018134</v>
      </c>
      <c r="AE178" s="206">
        <f>'Output - Jobs vs Yr (BAU)'!AE73</f>
        <v>2038.4679841114644</v>
      </c>
      <c r="AF178" s="206">
        <f>'Output - Jobs vs Yr (BAU)'!AF73</f>
        <v>2052.5988507720426</v>
      </c>
      <c r="AG178" s="206">
        <f>'Output - Jobs vs Yr (BAU)'!AG73</f>
        <v>2075.9886405226507</v>
      </c>
      <c r="AH178" s="182">
        <f>'Output - Jobs vs Yr (BAU)'!AH73</f>
        <v>2091.590203998358</v>
      </c>
      <c r="AI178" s="80" t="s">
        <v>0</v>
      </c>
    </row>
    <row r="179" spans="1:35">
      <c r="A179" s="75" t="s">
        <v>298</v>
      </c>
      <c r="C179" s="296">
        <f>SUM(C118,C145)</f>
        <v>3662.7650099999992</v>
      </c>
      <c r="D179" s="296">
        <f t="shared" ref="D179:AH179" si="99">SUM(D118,D145)+D249+D252</f>
        <v>3388.3531898789361</v>
      </c>
      <c r="E179" s="296">
        <f t="shared" si="99"/>
        <v>3959.5243987364029</v>
      </c>
      <c r="F179" s="296">
        <f t="shared" si="99"/>
        <v>3853.9603530659178</v>
      </c>
      <c r="G179" s="296">
        <f t="shared" si="99"/>
        <v>3422.2925373133594</v>
      </c>
      <c r="H179" s="367">
        <f>SUM(H118,H145)+H249+H252</f>
        <v>3418.5903722451949</v>
      </c>
      <c r="I179" s="14">
        <f t="shared" si="99"/>
        <v>3389.3904499688178</v>
      </c>
      <c r="J179" s="14">
        <f t="shared" si="99"/>
        <v>3499.844941201874</v>
      </c>
      <c r="K179" s="14">
        <f t="shared" si="99"/>
        <v>3581.0266763896316</v>
      </c>
      <c r="L179" s="14">
        <f t="shared" si="99"/>
        <v>3661.8982341746641</v>
      </c>
      <c r="M179" s="14">
        <f t="shared" si="99"/>
        <v>3728.3268521068803</v>
      </c>
      <c r="N179" s="187">
        <f t="shared" si="99"/>
        <v>3779.863604312447</v>
      </c>
      <c r="O179" s="14">
        <f t="shared" si="99"/>
        <v>3849.4486996546734</v>
      </c>
      <c r="P179" s="14">
        <f t="shared" si="99"/>
        <v>3897.7215266981257</v>
      </c>
      <c r="Q179" s="14">
        <f t="shared" si="99"/>
        <v>3932.6281569170519</v>
      </c>
      <c r="R179" s="14">
        <f t="shared" si="99"/>
        <v>3957.6331919302111</v>
      </c>
      <c r="S179" s="14">
        <f t="shared" si="99"/>
        <v>3989.5868941005028</v>
      </c>
      <c r="T179" s="14">
        <f t="shared" si="99"/>
        <v>4043.6052852940411</v>
      </c>
      <c r="U179" s="14">
        <f t="shared" si="99"/>
        <v>4075.5813076253162</v>
      </c>
      <c r="V179" s="14">
        <f t="shared" si="99"/>
        <v>4094.2549700488671</v>
      </c>
      <c r="W179" s="14">
        <f t="shared" si="99"/>
        <v>4141.4308522656847</v>
      </c>
      <c r="X179" s="187">
        <f t="shared" si="99"/>
        <v>4157.4337693435582</v>
      </c>
      <c r="Y179" s="158">
        <f t="shared" si="99"/>
        <v>4199.0422228879415</v>
      </c>
      <c r="Z179" s="158">
        <f t="shared" si="99"/>
        <v>4264.448795383074</v>
      </c>
      <c r="AA179" s="158">
        <f t="shared" si="99"/>
        <v>4304.1614036971714</v>
      </c>
      <c r="AB179" s="158">
        <f t="shared" si="99"/>
        <v>4342.4129310576554</v>
      </c>
      <c r="AC179" s="158">
        <f t="shared" si="99"/>
        <v>4373.5730775054171</v>
      </c>
      <c r="AD179" s="158">
        <f t="shared" si="99"/>
        <v>4410.8089960158968</v>
      </c>
      <c r="AE179" s="158">
        <f t="shared" si="99"/>
        <v>4463.7822783398078</v>
      </c>
      <c r="AF179" s="158">
        <f t="shared" si="99"/>
        <v>4498.8447679746714</v>
      </c>
      <c r="AG179" s="158">
        <f t="shared" si="99"/>
        <v>4557.7027617326612</v>
      </c>
      <c r="AH179" s="187">
        <f t="shared" si="99"/>
        <v>4553.0006454298855</v>
      </c>
    </row>
    <row r="180" spans="1:35">
      <c r="A180" s="76" t="s">
        <v>302</v>
      </c>
      <c r="C180" s="296">
        <f>C118</f>
        <v>1927.7711999999997</v>
      </c>
      <c r="D180" s="296">
        <f t="shared" ref="D180:AH180" si="100">D118+D250+D253</f>
        <v>1783.3439262520719</v>
      </c>
      <c r="E180" s="296">
        <f t="shared" si="100"/>
        <v>2083.9603728584952</v>
      </c>
      <c r="F180" s="296">
        <f t="shared" si="100"/>
        <v>2028.4003496211635</v>
      </c>
      <c r="G180" s="296">
        <f t="shared" si="100"/>
        <v>1801.2067474087064</v>
      </c>
      <c r="H180" s="367">
        <f t="shared" si="100"/>
        <v>1799.2582327606287</v>
      </c>
      <c r="I180" s="14">
        <f t="shared" si="100"/>
        <v>1783.8898560736045</v>
      </c>
      <c r="J180" s="14">
        <f t="shared" si="100"/>
        <v>1842.0238087031605</v>
      </c>
      <c r="K180" s="14">
        <f t="shared" si="100"/>
        <v>1884.7510464821582</v>
      </c>
      <c r="L180" s="14">
        <f t="shared" si="100"/>
        <v>1927.3150333255596</v>
      </c>
      <c r="M180" s="14">
        <f t="shared" si="100"/>
        <v>1962.2774724078804</v>
      </c>
      <c r="N180" s="187">
        <f t="shared" si="100"/>
        <v>1989.4020868242269</v>
      </c>
      <c r="O180" s="14">
        <f t="shared" si="100"/>
        <v>2026.0258274660362</v>
      </c>
      <c r="P180" s="14">
        <f t="shared" si="100"/>
        <v>2051.4325838247751</v>
      </c>
      <c r="Q180" s="14">
        <f t="shared" si="100"/>
        <v>2069.8044991545366</v>
      </c>
      <c r="R180" s="14">
        <f t="shared" si="100"/>
        <v>2082.9650481182798</v>
      </c>
      <c r="S180" s="14">
        <f t="shared" si="100"/>
        <v>2099.7827906135485</v>
      </c>
      <c r="T180" s="14">
        <f t="shared" si="100"/>
        <v>2128.2135285730278</v>
      </c>
      <c r="U180" s="14">
        <f t="shared" si="100"/>
        <v>2145.0430186723747</v>
      </c>
      <c r="V180" s="14">
        <f t="shared" si="100"/>
        <v>2154.8712661753584</v>
      </c>
      <c r="W180" s="14">
        <f t="shared" si="100"/>
        <v>2179.7006838264433</v>
      </c>
      <c r="X180" s="187">
        <f t="shared" si="100"/>
        <v>2188.1232767617089</v>
      </c>
      <c r="Y180" s="158">
        <f t="shared" si="100"/>
        <v>2210.0224686007218</v>
      </c>
      <c r="Z180" s="158">
        <f t="shared" si="100"/>
        <v>2244.4469884180598</v>
      </c>
      <c r="AA180" s="158">
        <f t="shared" si="100"/>
        <v>2265.3483678948683</v>
      </c>
      <c r="AB180" s="158">
        <f t="shared" si="100"/>
        <v>2285.4807574528982</v>
      </c>
      <c r="AC180" s="158">
        <f t="shared" si="100"/>
        <v>2301.880841398628</v>
      </c>
      <c r="AD180" s="158">
        <f t="shared" si="100"/>
        <v>2321.4787006877777</v>
      </c>
      <c r="AE180" s="158">
        <f t="shared" si="100"/>
        <v>2349.3593842901341</v>
      </c>
      <c r="AF180" s="158">
        <f t="shared" si="100"/>
        <v>2367.8133338275434</v>
      </c>
      <c r="AG180" s="158">
        <f t="shared" si="100"/>
        <v>2398.791234695992</v>
      </c>
      <c r="AH180" s="187">
        <f t="shared" si="100"/>
        <v>2396.3164451664011</v>
      </c>
    </row>
    <row r="181" spans="1:35">
      <c r="A181" s="76" t="s">
        <v>303</v>
      </c>
      <c r="C181" s="296">
        <f>C145</f>
        <v>1734.9938099999997</v>
      </c>
      <c r="D181" s="296">
        <f t="shared" ref="D181:AH181" si="101">D145+D251+D254</f>
        <v>1605.0092636268644</v>
      </c>
      <c r="E181" s="296">
        <f t="shared" si="101"/>
        <v>1875.5640258779074</v>
      </c>
      <c r="F181" s="296">
        <f t="shared" si="101"/>
        <v>1825.5600034447541</v>
      </c>
      <c r="G181" s="296">
        <f t="shared" si="101"/>
        <v>1621.0857899046528</v>
      </c>
      <c r="H181" s="367">
        <f>H145+H251+H254</f>
        <v>1619.3321394845659</v>
      </c>
      <c r="I181" s="14">
        <f t="shared" si="101"/>
        <v>1605.5005938952133</v>
      </c>
      <c r="J181" s="14">
        <f t="shared" si="101"/>
        <v>1657.8211324987135</v>
      </c>
      <c r="K181" s="14">
        <f t="shared" si="101"/>
        <v>1696.2756299074736</v>
      </c>
      <c r="L181" s="14">
        <f t="shared" si="101"/>
        <v>1734.5832008491045</v>
      </c>
      <c r="M181" s="14">
        <f t="shared" si="101"/>
        <v>1766.0493796990002</v>
      </c>
      <c r="N181" s="187">
        <f t="shared" si="101"/>
        <v>1790.4615174882199</v>
      </c>
      <c r="O181" s="14">
        <f t="shared" si="101"/>
        <v>1823.4228721886373</v>
      </c>
      <c r="P181" s="14">
        <f t="shared" si="101"/>
        <v>1846.2889428733508</v>
      </c>
      <c r="Q181" s="14">
        <f t="shared" si="101"/>
        <v>1862.8236577625153</v>
      </c>
      <c r="R181" s="14">
        <f t="shared" si="101"/>
        <v>1874.6681438119315</v>
      </c>
      <c r="S181" s="14">
        <f t="shared" si="101"/>
        <v>1889.8041034869543</v>
      </c>
      <c r="T181" s="14">
        <f t="shared" si="101"/>
        <v>1915.3917567210135</v>
      </c>
      <c r="U181" s="14">
        <f t="shared" si="101"/>
        <v>1930.5382889529417</v>
      </c>
      <c r="V181" s="14">
        <f t="shared" si="101"/>
        <v>1939.3837038735089</v>
      </c>
      <c r="W181" s="14">
        <f t="shared" si="101"/>
        <v>1961.730168439241</v>
      </c>
      <c r="X181" s="187">
        <f t="shared" si="101"/>
        <v>1969.3104925818491</v>
      </c>
      <c r="Y181" s="158">
        <f t="shared" si="101"/>
        <v>1989.0197542872195</v>
      </c>
      <c r="Z181" s="158">
        <f t="shared" si="101"/>
        <v>2020.0018069650137</v>
      </c>
      <c r="AA181" s="158">
        <f t="shared" si="101"/>
        <v>2038.8130358023031</v>
      </c>
      <c r="AB181" s="158">
        <f t="shared" si="101"/>
        <v>2056.9321736047568</v>
      </c>
      <c r="AC181" s="158">
        <f t="shared" si="101"/>
        <v>2071.6922361067891</v>
      </c>
      <c r="AD181" s="158">
        <f t="shared" si="101"/>
        <v>2089.3302953281191</v>
      </c>
      <c r="AE181" s="158">
        <f t="shared" si="101"/>
        <v>2114.4228940496737</v>
      </c>
      <c r="AF181" s="158">
        <f t="shared" si="101"/>
        <v>2131.031434147128</v>
      </c>
      <c r="AG181" s="158">
        <f t="shared" si="101"/>
        <v>2158.9115270366692</v>
      </c>
      <c r="AH181" s="187">
        <f t="shared" si="101"/>
        <v>2156.6842002634844</v>
      </c>
      <c r="AI181" s="31" t="s">
        <v>0</v>
      </c>
    </row>
    <row r="182" spans="1:35" s="1" customFormat="1">
      <c r="A182" s="75" t="s">
        <v>304</v>
      </c>
      <c r="B182" s="13"/>
      <c r="C182" s="306" t="s">
        <v>0</v>
      </c>
      <c r="D182" s="306">
        <f t="shared" ref="D182:AH182" si="102">D179-D176</f>
        <v>40.702909878936225</v>
      </c>
      <c r="E182" s="306">
        <f t="shared" si="102"/>
        <v>-15.683044776692441</v>
      </c>
      <c r="F182" s="306">
        <f t="shared" si="102"/>
        <v>25.730780130168569</v>
      </c>
      <c r="G182" s="306">
        <f t="shared" si="102"/>
        <v>70.65089909752669</v>
      </c>
      <c r="H182" s="370">
        <f>H179-H176</f>
        <v>-0.21554000000014639</v>
      </c>
      <c r="I182" s="15">
        <f t="shared" si="102"/>
        <v>-10.491459990159456</v>
      </c>
      <c r="J182" s="15">
        <f t="shared" si="102"/>
        <v>3.7151638998898306</v>
      </c>
      <c r="K182" s="15">
        <f t="shared" si="102"/>
        <v>18.91145714061804</v>
      </c>
      <c r="L182" s="15">
        <f t="shared" si="102"/>
        <v>35.485964029815477</v>
      </c>
      <c r="M182" s="15">
        <f t="shared" si="102"/>
        <v>60.23951626176131</v>
      </c>
      <c r="N182" s="190">
        <f t="shared" si="102"/>
        <v>98.099959721897449</v>
      </c>
      <c r="O182" s="15">
        <f t="shared" si="102"/>
        <v>104.79613461666713</v>
      </c>
      <c r="P182" s="15">
        <f t="shared" si="102"/>
        <v>110.90223253155909</v>
      </c>
      <c r="Q182" s="15">
        <f t="shared" si="102"/>
        <v>113.23716311604994</v>
      </c>
      <c r="R182" s="15">
        <f t="shared" si="102"/>
        <v>109.89771920820294</v>
      </c>
      <c r="S182" s="15">
        <f t="shared" si="102"/>
        <v>114.89850140340695</v>
      </c>
      <c r="T182" s="15">
        <f t="shared" si="102"/>
        <v>118.14667285813721</v>
      </c>
      <c r="U182" s="15">
        <f t="shared" si="102"/>
        <v>121.37370059774594</v>
      </c>
      <c r="V182" s="15">
        <f t="shared" si="102"/>
        <v>123.77480309638213</v>
      </c>
      <c r="W182" s="15">
        <f t="shared" si="102"/>
        <v>129.01671440459222</v>
      </c>
      <c r="X182" s="190">
        <f t="shared" si="102"/>
        <v>119.07015938986888</v>
      </c>
      <c r="Y182" s="130">
        <f t="shared" si="102"/>
        <v>137.71035165821695</v>
      </c>
      <c r="Z182" s="130">
        <f t="shared" si="102"/>
        <v>144.56499763979718</v>
      </c>
      <c r="AA182" s="130">
        <f t="shared" si="102"/>
        <v>152.2753905460595</v>
      </c>
      <c r="AB182" s="130">
        <f t="shared" si="102"/>
        <v>158.15440058937293</v>
      </c>
      <c r="AC182" s="130">
        <f t="shared" si="102"/>
        <v>162.56705258110105</v>
      </c>
      <c r="AD182" s="130">
        <f t="shared" si="102"/>
        <v>162.15715333429125</v>
      </c>
      <c r="AE182" s="130">
        <f t="shared" si="102"/>
        <v>160.34986743782792</v>
      </c>
      <c r="AF182" s="130">
        <f t="shared" si="102"/>
        <v>165.58052745591522</v>
      </c>
      <c r="AG182" s="130">
        <f t="shared" si="102"/>
        <v>175.06007618484273</v>
      </c>
      <c r="AH182" s="190">
        <f t="shared" si="102"/>
        <v>137.42132587779633</v>
      </c>
    </row>
    <row r="183" spans="1:35" s="20" customFormat="1">
      <c r="A183" s="20" t="s">
        <v>305</v>
      </c>
      <c r="B183" s="33"/>
      <c r="C183" s="299" t="s">
        <v>0</v>
      </c>
      <c r="D183" s="299">
        <f t="shared" ref="D183:AH183" si="103">D180-D177</f>
        <v>21.422726252072152</v>
      </c>
      <c r="E183" s="299">
        <f t="shared" si="103"/>
        <v>-8.2540710957655392</v>
      </c>
      <c r="F183" s="299">
        <f t="shared" si="103"/>
        <v>13.542679654979565</v>
      </c>
      <c r="G183" s="299">
        <f t="shared" si="103"/>
        <v>37.184832558267999</v>
      </c>
      <c r="H183" s="369">
        <f>H180-H177</f>
        <v>-0.11330000000020846</v>
      </c>
      <c r="I183" s="19">
        <f t="shared" si="103"/>
        <v>-5.5216754837520057</v>
      </c>
      <c r="J183" s="19">
        <f t="shared" si="103"/>
        <v>1.955504860010933</v>
      </c>
      <c r="K183" s="19">
        <f t="shared" si="103"/>
        <v>9.9535626668882742</v>
      </c>
      <c r="L183" s="19">
        <f t="shared" si="103"/>
        <v>18.676996407218439</v>
      </c>
      <c r="M183" s="19">
        <f t="shared" si="103"/>
        <v>31.70519038413363</v>
      </c>
      <c r="N183" s="182">
        <f t="shared" si="103"/>
        <v>51.631747566043032</v>
      </c>
      <c r="O183" s="19">
        <f t="shared" si="103"/>
        <v>55.156056393401059</v>
      </c>
      <c r="P183" s="19">
        <f t="shared" si="103"/>
        <v>58.369797421319163</v>
      </c>
      <c r="Q183" s="19">
        <f t="shared" si="103"/>
        <v>59.598712943482951</v>
      </c>
      <c r="R183" s="19">
        <f t="shared" si="103"/>
        <v>57.841115106696634</v>
      </c>
      <c r="S183" s="19">
        <f t="shared" si="103"/>
        <v>60.473110246656006</v>
      </c>
      <c r="T183" s="19">
        <f t="shared" si="103"/>
        <v>62.182679922552325</v>
      </c>
      <c r="U183" s="19">
        <f t="shared" si="103"/>
        <v>63.881120236811512</v>
      </c>
      <c r="V183" s="19">
        <f t="shared" si="103"/>
        <v>65.144862516156081</v>
      </c>
      <c r="W183" s="19">
        <f t="shared" si="103"/>
        <v>67.903769162710432</v>
      </c>
      <c r="X183" s="182">
        <f t="shared" si="103"/>
        <v>62.668745207135544</v>
      </c>
      <c r="Y183" s="206">
        <f t="shared" si="103"/>
        <v>72.479378479814386</v>
      </c>
      <c r="Z183" s="206">
        <f t="shared" si="103"/>
        <v>76.087094868966687</v>
      </c>
      <c r="AA183" s="206">
        <f t="shared" si="103"/>
        <v>80.145203078493523</v>
      </c>
      <c r="AB183" s="206">
        <f t="shared" si="103"/>
        <v>83.239425627486526</v>
      </c>
      <c r="AC183" s="206">
        <f t="shared" si="103"/>
        <v>85.56188091214608</v>
      </c>
      <c r="AD183" s="206">
        <f t="shared" si="103"/>
        <v>85.346151907985131</v>
      </c>
      <c r="AE183" s="206">
        <f t="shared" si="103"/>
        <v>84.394957499618613</v>
      </c>
      <c r="AF183" s="206">
        <f t="shared" si="103"/>
        <v>87.147944080829348</v>
      </c>
      <c r="AG183" s="206">
        <f t="shared" si="103"/>
        <v>92.137189670824228</v>
      </c>
      <c r="AH183" s="182">
        <f t="shared" si="103"/>
        <v>72.327329612669473</v>
      </c>
    </row>
    <row r="184" spans="1:35" s="20" customFormat="1">
      <c r="A184" s="20" t="s">
        <v>306</v>
      </c>
      <c r="B184" s="33"/>
      <c r="C184" s="299" t="s">
        <v>0</v>
      </c>
      <c r="D184" s="299">
        <f t="shared" ref="D184:AH184" si="104">D181-D178</f>
        <v>19.2801836268643</v>
      </c>
      <c r="E184" s="299">
        <f t="shared" si="104"/>
        <v>-7.4289736809273563</v>
      </c>
      <c r="F184" s="299">
        <f t="shared" si="104"/>
        <v>12.188100475188776</v>
      </c>
      <c r="G184" s="299">
        <f t="shared" si="104"/>
        <v>33.466066539258463</v>
      </c>
      <c r="H184" s="369">
        <f t="shared" si="104"/>
        <v>-0.10223999999993794</v>
      </c>
      <c r="I184" s="19">
        <f t="shared" si="104"/>
        <v>-4.9697845064076773</v>
      </c>
      <c r="J184" s="19">
        <f t="shared" si="104"/>
        <v>1.7596590398788976</v>
      </c>
      <c r="K184" s="19">
        <f t="shared" si="104"/>
        <v>8.9578944737302209</v>
      </c>
      <c r="L184" s="19">
        <f t="shared" si="104"/>
        <v>16.808967622597265</v>
      </c>
      <c r="M184" s="19">
        <f t="shared" si="104"/>
        <v>28.534325877627907</v>
      </c>
      <c r="N184" s="182">
        <f t="shared" si="104"/>
        <v>46.468212155854189</v>
      </c>
      <c r="O184" s="19">
        <f t="shared" si="104"/>
        <v>49.640078223265846</v>
      </c>
      <c r="P184" s="19">
        <f t="shared" si="104"/>
        <v>52.532435110240385</v>
      </c>
      <c r="Q184" s="19">
        <f t="shared" si="104"/>
        <v>53.638450172566991</v>
      </c>
      <c r="R184" s="19">
        <f t="shared" si="104"/>
        <v>52.056604101506764</v>
      </c>
      <c r="S184" s="19">
        <f t="shared" si="104"/>
        <v>54.425391156750948</v>
      </c>
      <c r="T184" s="19">
        <f t="shared" si="104"/>
        <v>55.963992935585111</v>
      </c>
      <c r="U184" s="19">
        <f t="shared" si="104"/>
        <v>57.492580360934653</v>
      </c>
      <c r="V184" s="19">
        <f t="shared" si="104"/>
        <v>58.629940580226503</v>
      </c>
      <c r="W184" s="19">
        <f t="shared" si="104"/>
        <v>61.112945241881334</v>
      </c>
      <c r="X184" s="182">
        <f t="shared" si="104"/>
        <v>56.401414182733106</v>
      </c>
      <c r="Y184" s="206">
        <f t="shared" si="104"/>
        <v>65.230973178402337</v>
      </c>
      <c r="Z184" s="206">
        <f t="shared" si="104"/>
        <v>68.477902770829814</v>
      </c>
      <c r="AA184" s="206">
        <f t="shared" si="104"/>
        <v>72.130187467565975</v>
      </c>
      <c r="AB184" s="206">
        <f t="shared" si="104"/>
        <v>74.914974961886173</v>
      </c>
      <c r="AC184" s="206">
        <f t="shared" si="104"/>
        <v>77.005171668955199</v>
      </c>
      <c r="AD184" s="206">
        <f t="shared" si="104"/>
        <v>76.811001426305666</v>
      </c>
      <c r="AE184" s="206">
        <f t="shared" si="104"/>
        <v>75.954909938209312</v>
      </c>
      <c r="AF184" s="206">
        <f t="shared" si="104"/>
        <v>78.432583375085414</v>
      </c>
      <c r="AG184" s="206">
        <f t="shared" si="104"/>
        <v>82.922886514018501</v>
      </c>
      <c r="AH184" s="182">
        <f t="shared" si="104"/>
        <v>65.093996265126407</v>
      </c>
    </row>
    <row r="185" spans="1:35" s="1" customFormat="1">
      <c r="A185" s="1" t="s">
        <v>450</v>
      </c>
      <c r="B185" s="13"/>
      <c r="C185" s="306"/>
      <c r="D185" s="306">
        <f>D182</f>
        <v>40.702909878936225</v>
      </c>
      <c r="E185" s="306">
        <f>D185+E182</f>
        <v>25.019865102243784</v>
      </c>
      <c r="F185" s="306">
        <f t="shared" ref="E185:N187" si="105">E185+F182</f>
        <v>50.750645232412353</v>
      </c>
      <c r="G185" s="306">
        <f t="shared" si="105"/>
        <v>121.40154432993904</v>
      </c>
      <c r="H185" s="370">
        <f>H182</f>
        <v>-0.21554000000014639</v>
      </c>
      <c r="I185" s="15">
        <f t="shared" si="105"/>
        <v>-10.706999990159602</v>
      </c>
      <c r="J185" s="15">
        <f t="shared" si="105"/>
        <v>-6.9918360902697714</v>
      </c>
      <c r="K185" s="15">
        <f t="shared" si="105"/>
        <v>11.919621050348269</v>
      </c>
      <c r="L185" s="15">
        <f t="shared" si="105"/>
        <v>47.405585080163746</v>
      </c>
      <c r="M185" s="15">
        <f t="shared" si="105"/>
        <v>107.64510134192506</v>
      </c>
      <c r="N185" s="15">
        <f t="shared" si="105"/>
        <v>205.7450610638225</v>
      </c>
      <c r="O185" s="15">
        <f t="shared" ref="O185:X185" si="106">N185+O182</f>
        <v>310.54119568048964</v>
      </c>
      <c r="P185" s="15">
        <f t="shared" si="106"/>
        <v>421.44342821204873</v>
      </c>
      <c r="Q185" s="15">
        <f t="shared" si="106"/>
        <v>534.68059132809867</v>
      </c>
      <c r="R185" s="15">
        <f t="shared" si="106"/>
        <v>644.57831053630161</v>
      </c>
      <c r="S185" s="130">
        <f t="shared" si="106"/>
        <v>759.47681193970857</v>
      </c>
      <c r="T185" s="15">
        <f t="shared" si="106"/>
        <v>877.62348479784578</v>
      </c>
      <c r="U185" s="15">
        <f t="shared" si="106"/>
        <v>998.99718539559171</v>
      </c>
      <c r="V185" s="15">
        <f t="shared" si="106"/>
        <v>1122.7719884919738</v>
      </c>
      <c r="W185" s="15">
        <f t="shared" si="106"/>
        <v>1251.7887028965661</v>
      </c>
      <c r="X185" s="190">
        <f t="shared" si="106"/>
        <v>1370.8588622864349</v>
      </c>
      <c r="Y185" s="130">
        <f t="shared" ref="Y185:AH185" si="107">X185+Y182</f>
        <v>1508.5692139446519</v>
      </c>
      <c r="Z185" s="130">
        <f t="shared" si="107"/>
        <v>1653.1342115844491</v>
      </c>
      <c r="AA185" s="130">
        <f t="shared" si="107"/>
        <v>1805.4096021305086</v>
      </c>
      <c r="AB185" s="130">
        <f t="shared" si="107"/>
        <v>1963.5640027198815</v>
      </c>
      <c r="AC185" s="130">
        <f t="shared" si="107"/>
        <v>2126.1310553009826</v>
      </c>
      <c r="AD185" s="130">
        <f t="shared" si="107"/>
        <v>2288.2882086352738</v>
      </c>
      <c r="AE185" s="130">
        <f t="shared" si="107"/>
        <v>2448.6380760731017</v>
      </c>
      <c r="AF185" s="130">
        <f t="shared" si="107"/>
        <v>2614.2186035290169</v>
      </c>
      <c r="AG185" s="130">
        <f t="shared" si="107"/>
        <v>2789.2786797138597</v>
      </c>
      <c r="AH185" s="190">
        <f t="shared" si="107"/>
        <v>2926.700005591656</v>
      </c>
    </row>
    <row r="186" spans="1:35" s="20" customFormat="1">
      <c r="A186" s="20" t="s">
        <v>451</v>
      </c>
      <c r="B186" s="33"/>
      <c r="C186" s="299"/>
      <c r="D186" s="299">
        <f>D183</f>
        <v>21.422726252072152</v>
      </c>
      <c r="E186" s="299">
        <f t="shared" si="105"/>
        <v>13.168655156306613</v>
      </c>
      <c r="F186" s="299">
        <f t="shared" si="105"/>
        <v>26.711334811286179</v>
      </c>
      <c r="G186" s="299">
        <f t="shared" si="105"/>
        <v>63.896167369554178</v>
      </c>
      <c r="H186" s="369">
        <f t="shared" si="105"/>
        <v>63.782867369553969</v>
      </c>
      <c r="I186" s="19">
        <f t="shared" ref="I186:X186" si="108">H186+I183</f>
        <v>58.261191885801964</v>
      </c>
      <c r="J186" s="19">
        <f t="shared" si="108"/>
        <v>60.216696745812897</v>
      </c>
      <c r="K186" s="19">
        <f t="shared" si="108"/>
        <v>70.170259412701171</v>
      </c>
      <c r="L186" s="19">
        <f t="shared" si="108"/>
        <v>88.84725581991961</v>
      </c>
      <c r="M186" s="19">
        <f t="shared" si="108"/>
        <v>120.55244620405324</v>
      </c>
      <c r="N186" s="182">
        <f t="shared" si="108"/>
        <v>172.18419377009627</v>
      </c>
      <c r="O186" s="19">
        <f t="shared" si="108"/>
        <v>227.34025016349733</v>
      </c>
      <c r="P186" s="19">
        <f t="shared" si="108"/>
        <v>285.71004758481649</v>
      </c>
      <c r="Q186" s="19">
        <f t="shared" si="108"/>
        <v>345.30876052829944</v>
      </c>
      <c r="R186" s="19">
        <f t="shared" si="108"/>
        <v>403.14987563499608</v>
      </c>
      <c r="S186" s="206">
        <f t="shared" si="108"/>
        <v>463.62298588165208</v>
      </c>
      <c r="T186" s="19">
        <f t="shared" si="108"/>
        <v>525.80566580420441</v>
      </c>
      <c r="U186" s="19">
        <f t="shared" si="108"/>
        <v>589.68678604101592</v>
      </c>
      <c r="V186" s="19">
        <f t="shared" si="108"/>
        <v>654.831648557172</v>
      </c>
      <c r="W186" s="19">
        <f t="shared" si="108"/>
        <v>722.73541771988243</v>
      </c>
      <c r="X186" s="182">
        <f t="shared" si="108"/>
        <v>785.40416292701798</v>
      </c>
      <c r="Y186" s="206">
        <f t="shared" ref="Y186:AH186" si="109">X186+Y183</f>
        <v>857.88354140683236</v>
      </c>
      <c r="Z186" s="206">
        <f t="shared" si="109"/>
        <v>933.97063627579905</v>
      </c>
      <c r="AA186" s="206">
        <f t="shared" si="109"/>
        <v>1014.1158393542926</v>
      </c>
      <c r="AB186" s="206">
        <f t="shared" si="109"/>
        <v>1097.3552649817791</v>
      </c>
      <c r="AC186" s="206">
        <f t="shared" si="109"/>
        <v>1182.9171458939252</v>
      </c>
      <c r="AD186" s="206">
        <f t="shared" si="109"/>
        <v>1268.2632978019103</v>
      </c>
      <c r="AE186" s="206">
        <f t="shared" si="109"/>
        <v>1352.6582553015289</v>
      </c>
      <c r="AF186" s="206">
        <f t="shared" si="109"/>
        <v>1439.8061993823583</v>
      </c>
      <c r="AG186" s="206">
        <f t="shared" si="109"/>
        <v>1531.9433890531825</v>
      </c>
      <c r="AH186" s="182">
        <f t="shared" si="109"/>
        <v>1604.270718665852</v>
      </c>
    </row>
    <row r="187" spans="1:35" s="20" customFormat="1">
      <c r="A187" s="20" t="s">
        <v>452</v>
      </c>
      <c r="B187" s="33"/>
      <c r="C187" s="299"/>
      <c r="D187" s="299">
        <f>D184</f>
        <v>19.2801836268643</v>
      </c>
      <c r="E187" s="299">
        <f t="shared" si="105"/>
        <v>11.851209945936944</v>
      </c>
      <c r="F187" s="299">
        <f t="shared" si="105"/>
        <v>24.03931042112572</v>
      </c>
      <c r="G187" s="299">
        <f t="shared" si="105"/>
        <v>57.505376960384183</v>
      </c>
      <c r="H187" s="369">
        <f t="shared" si="105"/>
        <v>57.403136960384245</v>
      </c>
      <c r="I187" s="19">
        <f t="shared" ref="I187:X187" si="110">H187+I184</f>
        <v>52.433352453976568</v>
      </c>
      <c r="J187" s="19">
        <f t="shared" si="110"/>
        <v>54.193011493855465</v>
      </c>
      <c r="K187" s="19">
        <f t="shared" si="110"/>
        <v>63.150905967585686</v>
      </c>
      <c r="L187" s="19">
        <f t="shared" si="110"/>
        <v>79.959873590182951</v>
      </c>
      <c r="M187" s="19">
        <f t="shared" si="110"/>
        <v>108.49419946781086</v>
      </c>
      <c r="N187" s="182">
        <f t="shared" si="110"/>
        <v>154.96241162366505</v>
      </c>
      <c r="O187" s="19">
        <f t="shared" si="110"/>
        <v>204.60248984693089</v>
      </c>
      <c r="P187" s="19">
        <f t="shared" si="110"/>
        <v>257.13492495717128</v>
      </c>
      <c r="Q187" s="19">
        <f t="shared" si="110"/>
        <v>310.77337512973827</v>
      </c>
      <c r="R187" s="19">
        <f t="shared" si="110"/>
        <v>362.82997923124503</v>
      </c>
      <c r="S187" s="206">
        <f t="shared" si="110"/>
        <v>417.25537038799598</v>
      </c>
      <c r="T187" s="19">
        <f t="shared" si="110"/>
        <v>473.21936332358109</v>
      </c>
      <c r="U187" s="19">
        <f t="shared" si="110"/>
        <v>530.71194368451575</v>
      </c>
      <c r="V187" s="19">
        <f t="shared" si="110"/>
        <v>589.34188426474225</v>
      </c>
      <c r="W187" s="19">
        <f t="shared" si="110"/>
        <v>650.45482950662358</v>
      </c>
      <c r="X187" s="182">
        <f t="shared" si="110"/>
        <v>706.85624368935669</v>
      </c>
      <c r="Y187" s="206">
        <f t="shared" ref="Y187:AH187" si="111">X187+Y184</f>
        <v>772.08721686775903</v>
      </c>
      <c r="Z187" s="206">
        <f t="shared" si="111"/>
        <v>840.56511963858884</v>
      </c>
      <c r="AA187" s="206">
        <f t="shared" si="111"/>
        <v>912.69530710615481</v>
      </c>
      <c r="AB187" s="206">
        <f t="shared" si="111"/>
        <v>987.61028206804099</v>
      </c>
      <c r="AC187" s="206">
        <f t="shared" si="111"/>
        <v>1064.6154537369962</v>
      </c>
      <c r="AD187" s="206">
        <f t="shared" si="111"/>
        <v>1141.4264551633019</v>
      </c>
      <c r="AE187" s="206">
        <f t="shared" si="111"/>
        <v>1217.3813651015112</v>
      </c>
      <c r="AF187" s="206">
        <f t="shared" si="111"/>
        <v>1295.8139484765966</v>
      </c>
      <c r="AG187" s="206">
        <f t="shared" si="111"/>
        <v>1378.7368349906151</v>
      </c>
      <c r="AH187" s="182">
        <f t="shared" si="111"/>
        <v>1443.8308312557415</v>
      </c>
    </row>
    <row r="188" spans="1:35" s="427" customFormat="1">
      <c r="A188" s="427" t="s">
        <v>550</v>
      </c>
      <c r="B188" s="428"/>
      <c r="C188" s="429"/>
      <c r="D188"/>
      <c r="E188"/>
      <c r="F188"/>
      <c r="G188"/>
      <c r="H188"/>
      <c r="I188"/>
      <c r="J188"/>
      <c r="K188"/>
      <c r="L188"/>
      <c r="M188"/>
      <c r="N188"/>
      <c r="O188"/>
      <c r="P188"/>
      <c r="Q188"/>
      <c r="R188"/>
      <c r="S188"/>
      <c r="T188"/>
      <c r="U188"/>
      <c r="V188"/>
      <c r="W188"/>
      <c r="X188"/>
      <c r="Y188"/>
      <c r="Z188"/>
      <c r="AA188"/>
      <c r="AB188"/>
      <c r="AC188"/>
      <c r="AD188" s="431"/>
      <c r="AE188" s="431"/>
      <c r="AF188" s="431"/>
      <c r="AG188" s="431"/>
      <c r="AH188" s="430"/>
    </row>
    <row r="189" spans="1:35" s="1" customFormat="1">
      <c r="B189" s="13"/>
      <c r="C189" s="306"/>
      <c r="D189"/>
      <c r="E189"/>
      <c r="F189"/>
      <c r="G189"/>
      <c r="H189"/>
      <c r="I189"/>
      <c r="J189"/>
      <c r="K189"/>
      <c r="L189"/>
      <c r="M189"/>
      <c r="N189"/>
      <c r="O189"/>
      <c r="P189"/>
      <c r="Q189"/>
      <c r="R189"/>
      <c r="S189"/>
      <c r="T189"/>
      <c r="U189"/>
      <c r="V189"/>
      <c r="W189"/>
      <c r="X189"/>
      <c r="Y189"/>
      <c r="Z189"/>
      <c r="AA189"/>
      <c r="AB189"/>
      <c r="AC189"/>
      <c r="AD189"/>
      <c r="AE189"/>
      <c r="AF189"/>
      <c r="AG189"/>
      <c r="AH189" s="245"/>
    </row>
    <row r="190" spans="1:35" s="1" customFormat="1">
      <c r="A190" s="1" t="s">
        <v>412</v>
      </c>
      <c r="B190" s="13"/>
      <c r="C190" s="293"/>
      <c r="D190" s="293"/>
      <c r="E190" s="293"/>
      <c r="F190" s="293"/>
      <c r="G190" s="293"/>
      <c r="H190" s="365"/>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45"/>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296">
        <f>SUM(C195:C196)</f>
        <v>327.92613000000006</v>
      </c>
      <c r="D194" s="296">
        <f t="shared" ref="D194:AH194" si="112">SUM(D195:D196)</f>
        <v>367.37013000000002</v>
      </c>
      <c r="E194" s="296">
        <f t="shared" si="112"/>
        <v>422.39840655037176</v>
      </c>
      <c r="F194" s="296">
        <f t="shared" si="112"/>
        <v>446.59243531969048</v>
      </c>
      <c r="G194" s="296">
        <f t="shared" si="112"/>
        <v>489.69482284888568</v>
      </c>
      <c r="H194" s="367">
        <f t="shared" si="112"/>
        <v>505.54007218911073</v>
      </c>
      <c r="I194" s="14">
        <f t="shared" si="112"/>
        <v>523.4848639390425</v>
      </c>
      <c r="J194" s="14">
        <f t="shared" si="112"/>
        <v>559.77317087534243</v>
      </c>
      <c r="K194" s="14">
        <f t="shared" si="112"/>
        <v>592.68403783612212</v>
      </c>
      <c r="L194" s="14">
        <f t="shared" si="112"/>
        <v>652.10425395458287</v>
      </c>
      <c r="M194" s="14">
        <f t="shared" si="112"/>
        <v>686.76287352309043</v>
      </c>
      <c r="N194" s="187">
        <f t="shared" si="112"/>
        <v>692.45933739818349</v>
      </c>
      <c r="O194" s="14">
        <f t="shared" si="112"/>
        <v>712.57345264906462</v>
      </c>
      <c r="P194" s="14">
        <f t="shared" si="112"/>
        <v>728.06485733560498</v>
      </c>
      <c r="Q194" s="14">
        <f t="shared" si="112"/>
        <v>742.82828404200552</v>
      </c>
      <c r="R194" s="14">
        <f t="shared" si="112"/>
        <v>764.15850444669616</v>
      </c>
      <c r="S194" s="15">
        <f t="shared" si="112"/>
        <v>777.05417231254569</v>
      </c>
      <c r="T194" s="14">
        <f t="shared" si="112"/>
        <v>808.60155867881281</v>
      </c>
      <c r="U194" s="14">
        <f t="shared" si="112"/>
        <v>826.14823933495427</v>
      </c>
      <c r="V194" s="14">
        <f t="shared" si="112"/>
        <v>834.57708985524221</v>
      </c>
      <c r="W194" s="14">
        <f t="shared" si="112"/>
        <v>842.54845981164181</v>
      </c>
      <c r="X194" s="187">
        <f t="shared" si="112"/>
        <v>853.36535072239496</v>
      </c>
      <c r="Y194" s="158">
        <f t="shared" si="112"/>
        <v>872.90083327700722</v>
      </c>
      <c r="Z194" s="158">
        <f t="shared" si="112"/>
        <v>916.98899146992414</v>
      </c>
      <c r="AA194" s="158">
        <f t="shared" si="112"/>
        <v>942.21029361010255</v>
      </c>
      <c r="AB194" s="158">
        <f t="shared" si="112"/>
        <v>971.13258749621787</v>
      </c>
      <c r="AC194" s="158">
        <f t="shared" si="112"/>
        <v>987.96685512734689</v>
      </c>
      <c r="AD194" s="158">
        <f t="shared" si="112"/>
        <v>1028.1003901403676</v>
      </c>
      <c r="AE194" s="158">
        <f t="shared" si="112"/>
        <v>1081.7398309748246</v>
      </c>
      <c r="AF194" s="158">
        <f t="shared" si="112"/>
        <v>1105.3890162297957</v>
      </c>
      <c r="AG194" s="158">
        <f t="shared" si="112"/>
        <v>1127.1208584435835</v>
      </c>
      <c r="AH194" s="187">
        <f t="shared" si="112"/>
        <v>1147.059709866342</v>
      </c>
    </row>
    <row r="195" spans="1:34">
      <c r="A195" t="s">
        <v>389</v>
      </c>
      <c r="C195" s="295">
        <f>'Output - Jobs vs Yr (BAU)'!C51</f>
        <v>172.59270000000001</v>
      </c>
      <c r="D195" s="295">
        <f>'Output - Jobs vs Yr (BAU)'!D51</f>
        <v>193.3527</v>
      </c>
      <c r="E195" s="295">
        <f>'Output - Jobs vs Yr (BAU)'!E51</f>
        <v>222.31495081598513</v>
      </c>
      <c r="F195" s="295">
        <f>'Output - Jobs vs Yr (BAU)'!F51</f>
        <v>235.04865016825815</v>
      </c>
      <c r="G195" s="295">
        <f>'Output - Jobs vs Yr (BAU)'!G51</f>
        <v>257.73411728888721</v>
      </c>
      <c r="H195" s="251">
        <f>'Output - Jobs vs Yr (BAU)'!H51</f>
        <v>266.0737222047951</v>
      </c>
      <c r="I195" s="118">
        <f>'Output - Jobs vs Yr (BAU)'!I51</f>
        <v>275.51834944160129</v>
      </c>
      <c r="J195" s="118">
        <f>'Output - Jobs vs Yr (BAU)'!J51</f>
        <v>294.61745835544338</v>
      </c>
      <c r="K195" s="118">
        <f>'Output - Jobs vs Yr (BAU)'!K51</f>
        <v>311.93896728216953</v>
      </c>
      <c r="L195" s="118">
        <f>'Output - Jobs vs Yr (BAU)'!L51</f>
        <v>343.21276523925417</v>
      </c>
      <c r="M195" s="118">
        <f>'Output - Jobs vs Yr (BAU)'!M51</f>
        <v>361.45414395952128</v>
      </c>
      <c r="N195" s="177">
        <f>'Output - Jobs vs Yr (BAU)'!N51</f>
        <v>364.45228284114921</v>
      </c>
      <c r="O195" s="118">
        <f>'Output - Jobs vs Yr (BAU)'!O51</f>
        <v>375.03865928898142</v>
      </c>
      <c r="P195" s="118">
        <f>'Output - Jobs vs Yr (BAU)'!P51</f>
        <v>383.1920301766342</v>
      </c>
      <c r="Q195" s="118">
        <f>'Output - Jobs vs Yr (BAU)'!Q51</f>
        <v>390.96225475895028</v>
      </c>
      <c r="R195" s="118">
        <f>'Output - Jobs vs Yr (BAU)'!R51</f>
        <v>402.18868655089273</v>
      </c>
      <c r="S195" s="118">
        <f>'Output - Jobs vs Yr (BAU)'!S51</f>
        <v>408.97588016449771</v>
      </c>
      <c r="T195" s="118">
        <f>'Output - Jobs vs Yr (BAU)'!T51</f>
        <v>425.579767725691</v>
      </c>
      <c r="U195" s="118">
        <f>'Output - Jobs vs Yr (BAU)'!U51</f>
        <v>434.81486280787067</v>
      </c>
      <c r="V195" s="118">
        <f>'Output - Jobs vs Yr (BAU)'!V51</f>
        <v>439.25109992381169</v>
      </c>
      <c r="W195" s="118">
        <f>'Output - Jobs vs Yr (BAU)'!W51</f>
        <v>443.44655779560094</v>
      </c>
      <c r="X195" s="184">
        <f>'Output - Jobs vs Yr (BAU)'!X51</f>
        <v>449.13965827494474</v>
      </c>
      <c r="Y195" s="236">
        <f>'Output - Jobs vs Yr (BAU)'!Y51</f>
        <v>459.42149119842486</v>
      </c>
      <c r="Z195" s="236">
        <f>'Output - Jobs vs Yr (BAU)'!Z51</f>
        <v>482.62578498417054</v>
      </c>
      <c r="AA195" s="236">
        <f>'Output - Jobs vs Yr (BAU)'!AA51</f>
        <v>495.90015453163289</v>
      </c>
      <c r="AB195" s="236">
        <f>'Output - Jobs vs Yr (BAU)'!AB51</f>
        <v>511.12241447169362</v>
      </c>
      <c r="AC195" s="236">
        <f>'Output - Jobs vs Yr (BAU)'!AC51</f>
        <v>519.98255533018255</v>
      </c>
      <c r="AD195" s="236">
        <f>'Output - Jobs vs Yr (BAU)'!AD51</f>
        <v>541.10546849493028</v>
      </c>
      <c r="AE195" s="236">
        <f>'Output - Jobs vs Yr (BAU)'!AE51</f>
        <v>569.33675314464449</v>
      </c>
      <c r="AF195" s="236">
        <f>'Output - Jobs vs Yr (BAU)'!AF51</f>
        <v>581.78369275252408</v>
      </c>
      <c r="AG195" s="236">
        <f>'Output - Jobs vs Yr (BAU)'!AG51</f>
        <v>593.22150444399131</v>
      </c>
      <c r="AH195" s="184">
        <f>'Output - Jobs vs Yr (BAU)'!AH51</f>
        <v>603.71563677175891</v>
      </c>
    </row>
    <row r="196" spans="1:34">
      <c r="A196" t="s">
        <v>390</v>
      </c>
      <c r="C196" s="295">
        <f>'Output - Jobs vs Yr (BAU)'!C69</f>
        <v>155.33343000000002</v>
      </c>
      <c r="D196" s="295">
        <f>'Output - Jobs vs Yr (BAU)'!D69</f>
        <v>174.01742999999999</v>
      </c>
      <c r="E196" s="295">
        <f>'Output - Jobs vs Yr (BAU)'!E69</f>
        <v>200.0834557343866</v>
      </c>
      <c r="F196" s="295">
        <f>'Output - Jobs vs Yr (BAU)'!F69</f>
        <v>211.54378515143236</v>
      </c>
      <c r="G196" s="295">
        <f>'Output - Jobs vs Yr (BAU)'!G69</f>
        <v>231.96070555999847</v>
      </c>
      <c r="H196" s="251">
        <f>'Output - Jobs vs Yr (BAU)'!H69</f>
        <v>239.46634998431563</v>
      </c>
      <c r="I196" s="118">
        <f>'Output - Jobs vs Yr (BAU)'!I69</f>
        <v>247.96651449744115</v>
      </c>
      <c r="J196" s="118">
        <f>'Output - Jobs vs Yr (BAU)'!J69</f>
        <v>265.15571251989905</v>
      </c>
      <c r="K196" s="118">
        <f>'Output - Jobs vs Yr (BAU)'!K69</f>
        <v>280.74507055395259</v>
      </c>
      <c r="L196" s="118">
        <f>'Output - Jobs vs Yr (BAU)'!L69</f>
        <v>308.89148871532876</v>
      </c>
      <c r="M196" s="118">
        <f>'Output - Jobs vs Yr (BAU)'!M69</f>
        <v>325.30872956356916</v>
      </c>
      <c r="N196" s="177">
        <f>'Output - Jobs vs Yr (BAU)'!N69</f>
        <v>328.00705455703428</v>
      </c>
      <c r="O196" s="118">
        <f>'Output - Jobs vs Yr (BAU)'!O69</f>
        <v>337.53479336008326</v>
      </c>
      <c r="P196" s="118">
        <f>'Output - Jobs vs Yr (BAU)'!P69</f>
        <v>344.87282715897078</v>
      </c>
      <c r="Q196" s="118">
        <f>'Output - Jobs vs Yr (BAU)'!Q69</f>
        <v>351.86602928305524</v>
      </c>
      <c r="R196" s="118">
        <f>'Output - Jobs vs Yr (BAU)'!R69</f>
        <v>361.96981789580343</v>
      </c>
      <c r="S196" s="118">
        <f>'Output - Jobs vs Yr (BAU)'!S69</f>
        <v>368.07829214804798</v>
      </c>
      <c r="T196" s="118">
        <f>'Output - Jobs vs Yr (BAU)'!T69</f>
        <v>383.02179095312181</v>
      </c>
      <c r="U196" s="118">
        <f>'Output - Jobs vs Yr (BAU)'!U69</f>
        <v>391.33337652708354</v>
      </c>
      <c r="V196" s="118">
        <f>'Output - Jobs vs Yr (BAU)'!V69</f>
        <v>395.32598993143051</v>
      </c>
      <c r="W196" s="118">
        <f>'Output - Jobs vs Yr (BAU)'!W69</f>
        <v>399.10190201604087</v>
      </c>
      <c r="X196" s="184">
        <f>'Output - Jobs vs Yr (BAU)'!X69</f>
        <v>404.22569244745023</v>
      </c>
      <c r="Y196" s="236">
        <f>'Output - Jobs vs Yr (BAU)'!Y69</f>
        <v>413.47934207858236</v>
      </c>
      <c r="Z196" s="236">
        <f>'Output - Jobs vs Yr (BAU)'!Z69</f>
        <v>434.36320648575361</v>
      </c>
      <c r="AA196" s="236">
        <f>'Output - Jobs vs Yr (BAU)'!AA69</f>
        <v>446.31013907846966</v>
      </c>
      <c r="AB196" s="236">
        <f>'Output - Jobs vs Yr (BAU)'!AB69</f>
        <v>460.01017302452431</v>
      </c>
      <c r="AC196" s="236">
        <f>'Output - Jobs vs Yr (BAU)'!AC69</f>
        <v>467.98429979716434</v>
      </c>
      <c r="AD196" s="236">
        <f>'Output - Jobs vs Yr (BAU)'!AD69</f>
        <v>486.99492164543733</v>
      </c>
      <c r="AE196" s="236">
        <f>'Output - Jobs vs Yr (BAU)'!AE69</f>
        <v>512.40307783018011</v>
      </c>
      <c r="AF196" s="236">
        <f>'Output - Jobs vs Yr (BAU)'!AF69</f>
        <v>523.60532347727167</v>
      </c>
      <c r="AG196" s="236">
        <f>'Output - Jobs vs Yr (BAU)'!AG69</f>
        <v>533.89935399959222</v>
      </c>
      <c r="AH196" s="184">
        <f>'Output - Jobs vs Yr (BAU)'!AH69</f>
        <v>543.344073094583</v>
      </c>
    </row>
    <row r="197" spans="1:34">
      <c r="A197" t="s">
        <v>391</v>
      </c>
      <c r="C197" s="296">
        <f>SUM(C198:C199)</f>
        <v>2973.6871499999997</v>
      </c>
      <c r="D197" s="296">
        <f t="shared" ref="D197:AH197" si="113">SUM(D198:D199)</f>
        <v>2608.8871499999996</v>
      </c>
      <c r="E197" s="296">
        <f t="shared" si="113"/>
        <v>3378.7510763232895</v>
      </c>
      <c r="F197" s="296">
        <f t="shared" si="113"/>
        <v>3175.9552011289261</v>
      </c>
      <c r="G197" s="296">
        <f t="shared" si="113"/>
        <v>2611.9293737134976</v>
      </c>
      <c r="H197" s="367">
        <f t="shared" si="113"/>
        <v>2667.4846051581476</v>
      </c>
      <c r="I197" s="14">
        <f t="shared" si="113"/>
        <v>2711.4301986584073</v>
      </c>
      <c r="J197" s="14">
        <f t="shared" si="113"/>
        <v>2759.3127096603962</v>
      </c>
      <c r="K197" s="14">
        <f t="shared" si="113"/>
        <v>2792.9789663878437</v>
      </c>
      <c r="L197" s="14">
        <f t="shared" si="113"/>
        <v>2781.0042355337341</v>
      </c>
      <c r="M197" s="14">
        <f t="shared" si="113"/>
        <v>2781.0051519629674</v>
      </c>
      <c r="N197" s="187">
        <f t="shared" si="113"/>
        <v>2781.0042355337341</v>
      </c>
      <c r="O197" s="14">
        <f t="shared" si="113"/>
        <v>2795.3863426715366</v>
      </c>
      <c r="P197" s="14">
        <f t="shared" si="113"/>
        <v>2795.3854262423038</v>
      </c>
      <c r="Q197" s="14">
        <f t="shared" si="113"/>
        <v>2795.3851138232462</v>
      </c>
      <c r="R197" s="14">
        <f t="shared" si="113"/>
        <v>2795.3851138232462</v>
      </c>
      <c r="S197" s="15">
        <f t="shared" si="113"/>
        <v>2795.3851138232462</v>
      </c>
      <c r="T197" s="14">
        <f t="shared" si="113"/>
        <v>2795.3847805762525</v>
      </c>
      <c r="U197" s="14">
        <f t="shared" si="113"/>
        <v>2795.3847805762525</v>
      </c>
      <c r="V197" s="14">
        <f t="shared" si="113"/>
        <v>2795.3847805762525</v>
      </c>
      <c r="W197" s="14">
        <f t="shared" si="113"/>
        <v>2812.2696559497426</v>
      </c>
      <c r="X197" s="187">
        <f t="shared" si="113"/>
        <v>2812.2696559497426</v>
      </c>
      <c r="Y197" s="158">
        <f t="shared" si="113"/>
        <v>2815.9330401533198</v>
      </c>
      <c r="Z197" s="158">
        <f t="shared" si="113"/>
        <v>2815.9330609812559</v>
      </c>
      <c r="AA197" s="158">
        <f t="shared" si="113"/>
        <v>2815.9330609812559</v>
      </c>
      <c r="AB197" s="158">
        <f t="shared" si="113"/>
        <v>2815.9330609812559</v>
      </c>
      <c r="AC197" s="158">
        <f t="shared" si="113"/>
        <v>2821.3234144187986</v>
      </c>
      <c r="AD197" s="158">
        <f t="shared" si="113"/>
        <v>2821.324351675969</v>
      </c>
      <c r="AE197" s="158">
        <f t="shared" si="113"/>
        <v>2821.3237060099186</v>
      </c>
      <c r="AF197" s="158">
        <f t="shared" si="113"/>
        <v>2821.3227479248117</v>
      </c>
      <c r="AG197" s="158">
        <f t="shared" si="113"/>
        <v>2834.3427288031207</v>
      </c>
      <c r="AH197" s="187">
        <f t="shared" si="113"/>
        <v>2834.3424372120007</v>
      </c>
    </row>
    <row r="198" spans="1:34">
      <c r="A198" t="s">
        <v>393</v>
      </c>
      <c r="C198" s="295">
        <f>SUM('Output - Jobs vs Yr (BAU)'!C40:C43)</f>
        <v>1565.0984999999998</v>
      </c>
      <c r="D198" s="295">
        <f>SUM('Output - Jobs vs Yr (BAU)'!D40:D43)</f>
        <v>1373.0984999999998</v>
      </c>
      <c r="E198" s="295">
        <f>SUM('Output - Jobs vs Yr (BAU)'!E40:E43)</f>
        <v>1778.2900401701525</v>
      </c>
      <c r="F198" s="295">
        <f>SUM('Output - Jobs vs Yr (BAU)'!F40:F43)</f>
        <v>1671.5553690152242</v>
      </c>
      <c r="G198" s="295">
        <f>SUM('Output - Jobs vs Yr (BAU)'!G40:G43)</f>
        <v>1374.6996703755251</v>
      </c>
      <c r="H198" s="251">
        <f>SUM('Output - Jobs vs Yr (BAU)'!H40:H43)</f>
        <v>1403.9392658727093</v>
      </c>
      <c r="I198" s="118">
        <f>SUM('Output - Jobs vs Yr (BAU)'!I40:I43)</f>
        <v>1427.0685256096881</v>
      </c>
      <c r="J198" s="118">
        <f>SUM('Output - Jobs vs Yr (BAU)'!J40:J43)</f>
        <v>1452.2698471896822</v>
      </c>
      <c r="K198" s="118">
        <f>SUM('Output - Jobs vs Yr (BAU)'!K40:K43)</f>
        <v>1469.9889296778124</v>
      </c>
      <c r="L198" s="118">
        <f>SUM('Output - Jobs vs Yr (BAU)'!L40:L43)</f>
        <v>1463.6864397545969</v>
      </c>
      <c r="M198" s="118">
        <f>SUM('Output - Jobs vs Yr (BAU)'!M40:M43)</f>
        <v>1463.6869220857723</v>
      </c>
      <c r="N198" s="177">
        <f>SUM('Output - Jobs vs Yr (BAU)'!N40:N43)</f>
        <v>1463.6864397545969</v>
      </c>
      <c r="O198" s="118">
        <f>SUM('Output - Jobs vs Yr (BAU)'!O40:O43)</f>
        <v>1471.2559698271245</v>
      </c>
      <c r="P198" s="118">
        <f>SUM('Output - Jobs vs Yr (BAU)'!P40:P43)</f>
        <v>1471.2554874959492</v>
      </c>
      <c r="Q198" s="118">
        <f>SUM('Output - Jobs vs Yr (BAU)'!Q40:Q43)</f>
        <v>1471.2553230648664</v>
      </c>
      <c r="R198" s="118">
        <f>SUM('Output - Jobs vs Yr (BAU)'!R40:R43)</f>
        <v>1471.2553230648664</v>
      </c>
      <c r="S198" s="118">
        <f>SUM('Output - Jobs vs Yr (BAU)'!S40:S43)</f>
        <v>1471.2553230648664</v>
      </c>
      <c r="T198" s="118">
        <f>SUM('Output - Jobs vs Yr (BAU)'!T40:T43)</f>
        <v>1471.2551476717119</v>
      </c>
      <c r="U198" s="118">
        <f>SUM('Output - Jobs vs Yr (BAU)'!U40:U43)</f>
        <v>1471.2551476717119</v>
      </c>
      <c r="V198" s="118">
        <f>SUM('Output - Jobs vs Yr (BAU)'!V40:V43)</f>
        <v>1471.2551476717119</v>
      </c>
      <c r="W198" s="118">
        <f>SUM('Output - Jobs vs Yr (BAU)'!W40:W43)</f>
        <v>1480.1419241840752</v>
      </c>
      <c r="X198" s="184">
        <f>SUM('Output - Jobs vs Yr (BAU)'!X40:X43)</f>
        <v>1480.1419241840752</v>
      </c>
      <c r="Y198" s="236">
        <f>SUM('Output - Jobs vs Yr (BAU)'!Y40:Y43)</f>
        <v>1482.070021133326</v>
      </c>
      <c r="Z198" s="236">
        <f>SUM('Output - Jobs vs Yr (BAU)'!Z40:Z43)</f>
        <v>1482.0700320953979</v>
      </c>
      <c r="AA198" s="236">
        <f>SUM('Output - Jobs vs Yr (BAU)'!AA40:AA43)</f>
        <v>1482.0700320953979</v>
      </c>
      <c r="AB198" s="236">
        <f>SUM('Output - Jobs vs Yr (BAU)'!AB40:AB43)</f>
        <v>1482.0700320953979</v>
      </c>
      <c r="AC198" s="236">
        <f>SUM('Output - Jobs vs Yr (BAU)'!AC40:AC43)</f>
        <v>1484.9070602204204</v>
      </c>
      <c r="AD198" s="236">
        <f>SUM('Output - Jobs vs Yr (BAU)'!AD40:AD43)</f>
        <v>1484.9075535136678</v>
      </c>
      <c r="AE198" s="236">
        <f>SUM('Output - Jobs vs Yr (BAU)'!AE40:AE43)</f>
        <v>1484.9072136894308</v>
      </c>
      <c r="AF198" s="236">
        <f>SUM('Output - Jobs vs Yr (BAU)'!AF40:AF43)</f>
        <v>1484.9067094341112</v>
      </c>
      <c r="AG198" s="236">
        <f>SUM('Output - Jobs vs Yr (BAU)'!AG40:AG43)</f>
        <v>1491.7593309490107</v>
      </c>
      <c r="AH198" s="184">
        <f>SUM('Output - Jobs vs Yr (BAU)'!AH40:AH43)</f>
        <v>1491.7591774800005</v>
      </c>
    </row>
    <row r="199" spans="1:34">
      <c r="A199" t="s">
        <v>392</v>
      </c>
      <c r="C199" s="295">
        <f>SUM('Output - Jobs vs Yr (BAU)'!C58:C61)</f>
        <v>1408.5886499999999</v>
      </c>
      <c r="D199" s="295">
        <f>SUM('Output - Jobs vs Yr (BAU)'!D58:D61)</f>
        <v>1235.78865</v>
      </c>
      <c r="E199" s="295">
        <f>SUM('Output - Jobs vs Yr (BAU)'!E58:E61)</f>
        <v>1600.4610361531372</v>
      </c>
      <c r="F199" s="295">
        <f>SUM('Output - Jobs vs Yr (BAU)'!F58:F61)</f>
        <v>1504.3998321137019</v>
      </c>
      <c r="G199" s="295">
        <f>SUM('Output - Jobs vs Yr (BAU)'!G58:G61)</f>
        <v>1237.2297033379725</v>
      </c>
      <c r="H199" s="251">
        <f>SUM('Output - Jobs vs Yr (BAU)'!H58:H61)</f>
        <v>1263.5453392854383</v>
      </c>
      <c r="I199" s="118">
        <f>SUM('Output - Jobs vs Yr (BAU)'!I58:I61)</f>
        <v>1284.3616730487192</v>
      </c>
      <c r="J199" s="118">
        <f>SUM('Output - Jobs vs Yr (BAU)'!J58:J61)</f>
        <v>1307.042862470714</v>
      </c>
      <c r="K199" s="118">
        <f>SUM('Output - Jobs vs Yr (BAU)'!K58:K61)</f>
        <v>1322.9900367100313</v>
      </c>
      <c r="L199" s="118">
        <f>SUM('Output - Jobs vs Yr (BAU)'!L58:L61)</f>
        <v>1317.3177957791372</v>
      </c>
      <c r="M199" s="118">
        <f>SUM('Output - Jobs vs Yr (BAU)'!M58:M61)</f>
        <v>1317.3182298771951</v>
      </c>
      <c r="N199" s="177">
        <f>SUM('Output - Jobs vs Yr (BAU)'!N58:N61)</f>
        <v>1317.3177957791372</v>
      </c>
      <c r="O199" s="118">
        <f>SUM('Output - Jobs vs Yr (BAU)'!O58:O61)</f>
        <v>1324.130372844412</v>
      </c>
      <c r="P199" s="118">
        <f>SUM('Output - Jobs vs Yr (BAU)'!P58:P61)</f>
        <v>1324.1299387463544</v>
      </c>
      <c r="Q199" s="118">
        <f>SUM('Output - Jobs vs Yr (BAU)'!Q58:Q61)</f>
        <v>1324.1297907583798</v>
      </c>
      <c r="R199" s="118">
        <f>SUM('Output - Jobs vs Yr (BAU)'!R58:R61)</f>
        <v>1324.1297907583798</v>
      </c>
      <c r="S199" s="118">
        <f>SUM('Output - Jobs vs Yr (BAU)'!S58:S61)</f>
        <v>1324.1297907583798</v>
      </c>
      <c r="T199" s="118">
        <f>SUM('Output - Jobs vs Yr (BAU)'!T58:T61)</f>
        <v>1324.1296329045408</v>
      </c>
      <c r="U199" s="118">
        <f>SUM('Output - Jobs vs Yr (BAU)'!U58:U61)</f>
        <v>1324.1296329045408</v>
      </c>
      <c r="V199" s="118">
        <f>SUM('Output - Jobs vs Yr (BAU)'!V58:V61)</f>
        <v>1324.1296329045408</v>
      </c>
      <c r="W199" s="118">
        <f>SUM('Output - Jobs vs Yr (BAU)'!W58:W61)</f>
        <v>1332.1277317656677</v>
      </c>
      <c r="X199" s="184">
        <f>SUM('Output - Jobs vs Yr (BAU)'!X58:X61)</f>
        <v>1332.1277317656677</v>
      </c>
      <c r="Y199" s="236">
        <f>SUM('Output - Jobs vs Yr (BAU)'!Y58:Y61)</f>
        <v>1333.8630190199935</v>
      </c>
      <c r="Z199" s="236">
        <f>SUM('Output - Jobs vs Yr (BAU)'!Z58:Z61)</f>
        <v>1333.8630288858581</v>
      </c>
      <c r="AA199" s="236">
        <f>SUM('Output - Jobs vs Yr (BAU)'!AA58:AA61)</f>
        <v>1333.8630288858581</v>
      </c>
      <c r="AB199" s="236">
        <f>SUM('Output - Jobs vs Yr (BAU)'!AB58:AB61)</f>
        <v>1333.8630288858581</v>
      </c>
      <c r="AC199" s="236">
        <f>SUM('Output - Jobs vs Yr (BAU)'!AC58:AC61)</f>
        <v>1336.4163541983783</v>
      </c>
      <c r="AD199" s="236">
        <f>SUM('Output - Jobs vs Yr (BAU)'!AD58:AD61)</f>
        <v>1336.4167981623011</v>
      </c>
      <c r="AE199" s="236">
        <f>SUM('Output - Jobs vs Yr (BAU)'!AE58:AE61)</f>
        <v>1336.4164923204878</v>
      </c>
      <c r="AF199" s="236">
        <f>SUM('Output - Jobs vs Yr (BAU)'!AF58:AF61)</f>
        <v>1336.4160384907002</v>
      </c>
      <c r="AG199" s="236">
        <f>SUM('Output - Jobs vs Yr (BAU)'!AG58:AG61)</f>
        <v>1342.5833978541098</v>
      </c>
      <c r="AH199" s="184">
        <f>SUM('Output - Jobs vs Yr (BAU)'!AH58:AH61)</f>
        <v>1342.5832597320004</v>
      </c>
    </row>
    <row r="200" spans="1:34">
      <c r="A200" t="s">
        <v>394</v>
      </c>
      <c r="C200" s="296">
        <f>SUM(C201:C202)</f>
        <v>360.94299999999998</v>
      </c>
      <c r="D200" s="296">
        <f t="shared" ref="D200:AH200" si="114">SUM(D201:D202)</f>
        <v>371.39299999999997</v>
      </c>
      <c r="E200" s="296">
        <f t="shared" si="114"/>
        <v>174.05796063943387</v>
      </c>
      <c r="F200" s="296">
        <f t="shared" si="114"/>
        <v>205.68193648713273</v>
      </c>
      <c r="G200" s="296">
        <f t="shared" si="114"/>
        <v>250.0174416534494</v>
      </c>
      <c r="H200" s="367">
        <f t="shared" si="114"/>
        <v>245.78123489793609</v>
      </c>
      <c r="I200" s="14">
        <f t="shared" si="114"/>
        <v>164.96684736152761</v>
      </c>
      <c r="J200" s="14">
        <f t="shared" si="114"/>
        <v>177.04389676624547</v>
      </c>
      <c r="K200" s="14">
        <f t="shared" si="114"/>
        <v>176.45221502504734</v>
      </c>
      <c r="L200" s="14">
        <f t="shared" si="114"/>
        <v>193.3037806565315</v>
      </c>
      <c r="M200" s="14">
        <f t="shared" si="114"/>
        <v>200.31931035906089</v>
      </c>
      <c r="N200" s="187">
        <f t="shared" si="114"/>
        <v>208.30007165863222</v>
      </c>
      <c r="O200" s="14">
        <f t="shared" si="114"/>
        <v>236.69276971740496</v>
      </c>
      <c r="P200" s="14">
        <f t="shared" si="114"/>
        <v>263.36901058865817</v>
      </c>
      <c r="Q200" s="14">
        <f t="shared" si="114"/>
        <v>281.17759593574988</v>
      </c>
      <c r="R200" s="14">
        <f t="shared" si="114"/>
        <v>288.19185445206546</v>
      </c>
      <c r="S200" s="15">
        <f t="shared" si="114"/>
        <v>302.24910656130402</v>
      </c>
      <c r="T200" s="14">
        <f t="shared" si="114"/>
        <v>321.47227318083861</v>
      </c>
      <c r="U200" s="14">
        <f t="shared" si="114"/>
        <v>332.67458711636277</v>
      </c>
      <c r="V200" s="14">
        <f t="shared" si="114"/>
        <v>340.51829652098979</v>
      </c>
      <c r="W200" s="14">
        <f t="shared" si="114"/>
        <v>357.5960220997074</v>
      </c>
      <c r="X200" s="187">
        <f t="shared" si="114"/>
        <v>372.72860328155133</v>
      </c>
      <c r="Y200" s="158">
        <f t="shared" si="114"/>
        <v>372.49799779939781</v>
      </c>
      <c r="Z200" s="158">
        <f t="shared" si="114"/>
        <v>386.96174529209668</v>
      </c>
      <c r="AA200" s="158">
        <f t="shared" si="114"/>
        <v>393.74265855975335</v>
      </c>
      <c r="AB200" s="158">
        <f t="shared" si="114"/>
        <v>397.19288199080819</v>
      </c>
      <c r="AC200" s="158">
        <f t="shared" si="114"/>
        <v>401.71575537817046</v>
      </c>
      <c r="AD200" s="158">
        <f t="shared" si="114"/>
        <v>399.22710086526962</v>
      </c>
      <c r="AE200" s="158">
        <f t="shared" si="114"/>
        <v>400.36887391723678</v>
      </c>
      <c r="AF200" s="158">
        <f t="shared" si="114"/>
        <v>406.55247636414913</v>
      </c>
      <c r="AG200" s="158">
        <f t="shared" si="114"/>
        <v>421.1790983011141</v>
      </c>
      <c r="AH200" s="187">
        <f t="shared" si="114"/>
        <v>434.17717247374623</v>
      </c>
    </row>
    <row r="201" spans="1:34">
      <c r="A201" t="s">
        <v>395</v>
      </c>
      <c r="C201" s="295">
        <f>SUM('Output - Jobs vs Yr (BAU)'!C53:C54)</f>
        <v>189.97</v>
      </c>
      <c r="D201" s="295">
        <f>SUM('Output - Jobs vs Yr (BAU)'!D53:D54)</f>
        <v>195.47</v>
      </c>
      <c r="E201" s="295">
        <f>SUM('Output - Jobs vs Yr (BAU)'!E53:E54)</f>
        <v>91.609452968123094</v>
      </c>
      <c r="F201" s="295">
        <f>SUM('Output - Jobs vs Yr (BAU)'!F53:F54)</f>
        <v>108.25365078270144</v>
      </c>
      <c r="G201" s="295">
        <f>SUM('Output - Jobs vs Yr (BAU)'!G53:G54)</f>
        <v>131.58812718602601</v>
      </c>
      <c r="H201" s="251">
        <f>SUM('Output - Jobs vs Yr (BAU)'!H53:H54)</f>
        <v>129.35854468312425</v>
      </c>
      <c r="I201" s="118">
        <f>SUM('Output - Jobs vs Yr (BAU)'!I53:I54)</f>
        <v>86.824656506067157</v>
      </c>
      <c r="J201" s="118">
        <f>SUM('Output - Jobs vs Yr (BAU)'!J53:J54)</f>
        <v>93.180998298023923</v>
      </c>
      <c r="K201" s="118">
        <f>SUM('Output - Jobs vs Yr (BAU)'!K53:K54)</f>
        <v>92.869586855288063</v>
      </c>
      <c r="L201" s="118">
        <f>SUM('Output - Jobs vs Yr (BAU)'!L53:L54)</f>
        <v>101.73883192449027</v>
      </c>
      <c r="M201" s="118">
        <f>SUM('Output - Jobs vs Yr (BAU)'!M53:M54)</f>
        <v>105.4312159784531</v>
      </c>
      <c r="N201" s="177">
        <f>SUM('Output - Jobs vs Yr (BAU)'!N53:N54)</f>
        <v>109.63161666243801</v>
      </c>
      <c r="O201" s="118">
        <f>SUM('Output - Jobs vs Yr (BAU)'!O53:O54)</f>
        <v>124.57514195652892</v>
      </c>
      <c r="P201" s="118">
        <f>SUM('Output - Jobs vs Yr (BAU)'!P53:P54)</f>
        <v>138.61526873087271</v>
      </c>
      <c r="Q201" s="118">
        <f>SUM('Output - Jobs vs Yr (BAU)'!Q53:Q54)</f>
        <v>147.9882083872368</v>
      </c>
      <c r="R201" s="118">
        <f>SUM('Output - Jobs vs Yr (BAU)'!R53:R54)</f>
        <v>151.67992339582392</v>
      </c>
      <c r="S201" s="118">
        <f>SUM('Output - Jobs vs Yr (BAU)'!S53:S54)</f>
        <v>159.07847713752844</v>
      </c>
      <c r="T201" s="118">
        <f>SUM('Output - Jobs vs Yr (BAU)'!T53:T54)</f>
        <v>169.19593325307295</v>
      </c>
      <c r="U201" s="118">
        <f>SUM('Output - Jobs vs Yr (BAU)'!U53:U54)</f>
        <v>175.09188795598041</v>
      </c>
      <c r="V201" s="118">
        <f>SUM('Output - Jobs vs Yr (BAU)'!V53:V54)</f>
        <v>179.22015606367884</v>
      </c>
      <c r="W201" s="118">
        <f>SUM('Output - Jobs vs Yr (BAU)'!W53:W54)</f>
        <v>188.20843268405653</v>
      </c>
      <c r="X201" s="184">
        <f>SUM('Output - Jobs vs Yr (BAU)'!X53:X54)</f>
        <v>196.17294909555332</v>
      </c>
      <c r="Y201" s="236">
        <f>SUM('Output - Jobs vs Yr (BAU)'!Y53:Y54)</f>
        <v>196.05157778915677</v>
      </c>
      <c r="Z201" s="236">
        <f>SUM('Output - Jobs vs Yr (BAU)'!Z53:Z54)</f>
        <v>203.66407646952459</v>
      </c>
      <c r="AA201" s="236">
        <f>SUM('Output - Jobs vs Yr (BAU)'!AA53:AA54)</f>
        <v>207.23297818934387</v>
      </c>
      <c r="AB201" s="236">
        <f>SUM('Output - Jobs vs Yr (BAU)'!AB53:AB54)</f>
        <v>209.0488852583201</v>
      </c>
      <c r="AC201" s="236">
        <f>SUM('Output - Jobs vs Yr (BAU)'!AC53:AC54)</f>
        <v>211.42934493587919</v>
      </c>
      <c r="AD201" s="236">
        <f>SUM('Output - Jobs vs Yr (BAU)'!AD53:AD54)</f>
        <v>210.11952677119453</v>
      </c>
      <c r="AE201" s="236">
        <f>SUM('Output - Jobs vs Yr (BAU)'!AE53:AE54)</f>
        <v>210.72045995644041</v>
      </c>
      <c r="AF201" s="236">
        <f>SUM('Output - Jobs vs Yr (BAU)'!AF53:AF54)</f>
        <v>213.97498756007846</v>
      </c>
      <c r="AG201" s="236">
        <f>SUM('Output - Jobs vs Yr (BAU)'!AG53:AG54)</f>
        <v>221.67320963216531</v>
      </c>
      <c r="AH201" s="184">
        <f>SUM('Output - Jobs vs Yr (BAU)'!AH53:AH54)</f>
        <v>228.5143013019717</v>
      </c>
    </row>
    <row r="202" spans="1:34">
      <c r="A202" t="s">
        <v>396</v>
      </c>
      <c r="C202" s="295">
        <f>SUM('Output - Jobs vs Yr (BAU)'!C71:C72)</f>
        <v>170.97300000000001</v>
      </c>
      <c r="D202" s="295">
        <f>SUM('Output - Jobs vs Yr (BAU)'!D71:D72)</f>
        <v>175.92299999999997</v>
      </c>
      <c r="E202" s="295">
        <f>SUM('Output - Jobs vs Yr (BAU)'!E71:E72)</f>
        <v>82.448507671310779</v>
      </c>
      <c r="F202" s="295">
        <f>SUM('Output - Jobs vs Yr (BAU)'!F71:F72)</f>
        <v>97.428285704431289</v>
      </c>
      <c r="G202" s="295">
        <f>SUM('Output - Jobs vs Yr (BAU)'!G71:G72)</f>
        <v>118.4293144674234</v>
      </c>
      <c r="H202" s="251">
        <f>SUM('Output - Jobs vs Yr (BAU)'!H71:H72)</f>
        <v>116.42269021481184</v>
      </c>
      <c r="I202" s="118">
        <f>SUM('Output - Jobs vs Yr (BAU)'!I71:I72)</f>
        <v>78.142190855460456</v>
      </c>
      <c r="J202" s="118">
        <f>SUM('Output - Jobs vs Yr (BAU)'!J71:J72)</f>
        <v>83.862898468221545</v>
      </c>
      <c r="K202" s="118">
        <f>SUM('Output - Jobs vs Yr (BAU)'!K71:K72)</f>
        <v>83.582628169759261</v>
      </c>
      <c r="L202" s="118">
        <f>SUM('Output - Jobs vs Yr (BAU)'!L71:L72)</f>
        <v>91.564948732041245</v>
      </c>
      <c r="M202" s="118">
        <f>SUM('Output - Jobs vs Yr (BAU)'!M71:M72)</f>
        <v>94.888094380607797</v>
      </c>
      <c r="N202" s="177">
        <f>SUM('Output - Jobs vs Yr (BAU)'!N71:N72)</f>
        <v>98.668454996194214</v>
      </c>
      <c r="O202" s="118">
        <f>SUM('Output - Jobs vs Yr (BAU)'!O71:O72)</f>
        <v>112.11762776087603</v>
      </c>
      <c r="P202" s="118">
        <f>SUM('Output - Jobs vs Yr (BAU)'!P71:P72)</f>
        <v>124.75374185778543</v>
      </c>
      <c r="Q202" s="118">
        <f>SUM('Output - Jobs vs Yr (BAU)'!Q71:Q72)</f>
        <v>133.18938754851311</v>
      </c>
      <c r="R202" s="118">
        <f>SUM('Output - Jobs vs Yr (BAU)'!R71:R72)</f>
        <v>136.51193105624154</v>
      </c>
      <c r="S202" s="118">
        <f>SUM('Output - Jobs vs Yr (BAU)'!S71:S72)</f>
        <v>143.17062942377558</v>
      </c>
      <c r="T202" s="118">
        <f>SUM('Output - Jobs vs Yr (BAU)'!T71:T72)</f>
        <v>152.27633992776566</v>
      </c>
      <c r="U202" s="118">
        <f>SUM('Output - Jobs vs Yr (BAU)'!U71:U72)</f>
        <v>157.58269916038239</v>
      </c>
      <c r="V202" s="118">
        <f>SUM('Output - Jobs vs Yr (BAU)'!V71:V72)</f>
        <v>161.29814045731095</v>
      </c>
      <c r="W202" s="118">
        <f>SUM('Output - Jobs vs Yr (BAU)'!W71:W72)</f>
        <v>169.38758941565089</v>
      </c>
      <c r="X202" s="184">
        <f>SUM('Output - Jobs vs Yr (BAU)'!X71:X72)</f>
        <v>176.55565418599801</v>
      </c>
      <c r="Y202" s="236">
        <f>SUM('Output - Jobs vs Yr (BAU)'!Y71:Y72)</f>
        <v>176.44642001024107</v>
      </c>
      <c r="Z202" s="236">
        <f>SUM('Output - Jobs vs Yr (BAU)'!Z71:Z72)</f>
        <v>183.29766882257212</v>
      </c>
      <c r="AA202" s="236">
        <f>SUM('Output - Jobs vs Yr (BAU)'!AA71:AA72)</f>
        <v>186.50968037040948</v>
      </c>
      <c r="AB202" s="236">
        <f>SUM('Output - Jobs vs Yr (BAU)'!AB71:AB72)</f>
        <v>188.14399673248809</v>
      </c>
      <c r="AC202" s="236">
        <f>SUM('Output - Jobs vs Yr (BAU)'!AC71:AC72)</f>
        <v>190.2864104422913</v>
      </c>
      <c r="AD202" s="236">
        <f>SUM('Output - Jobs vs Yr (BAU)'!AD71:AD72)</f>
        <v>189.10757409407509</v>
      </c>
      <c r="AE202" s="236">
        <f>SUM('Output - Jobs vs Yr (BAU)'!AE71:AE72)</f>
        <v>189.64841396079638</v>
      </c>
      <c r="AF202" s="236">
        <f>SUM('Output - Jobs vs Yr (BAU)'!AF71:AF72)</f>
        <v>192.57748880407064</v>
      </c>
      <c r="AG202" s="236">
        <f>SUM('Output - Jobs vs Yr (BAU)'!AG71:AG72)</f>
        <v>199.50588866894878</v>
      </c>
      <c r="AH202" s="184">
        <f>SUM('Output - Jobs vs Yr (BAU)'!AH71:AH72)</f>
        <v>205.66287117177453</v>
      </c>
    </row>
    <row r="203" spans="1:34">
      <c r="A203" s="1" t="s">
        <v>425</v>
      </c>
      <c r="C203" s="296">
        <f>SUM(C191,C194,C197,C200)</f>
        <v>3662.5562799999998</v>
      </c>
      <c r="D203" s="296">
        <f t="shared" ref="D203:AH203" si="115">SUM(D191,D194,D197,D200)</f>
        <v>3347.6502799999998</v>
      </c>
      <c r="E203" s="296">
        <f t="shared" si="115"/>
        <v>3975.2074435130953</v>
      </c>
      <c r="F203" s="296">
        <f t="shared" si="115"/>
        <v>3828.2295729357493</v>
      </c>
      <c r="G203" s="296">
        <f t="shared" si="115"/>
        <v>3351.6416382158322</v>
      </c>
      <c r="H203" s="367">
        <f t="shared" si="115"/>
        <v>3418.8059122451941</v>
      </c>
      <c r="I203" s="14">
        <f t="shared" si="115"/>
        <v>3399.8819099589773</v>
      </c>
      <c r="J203" s="14">
        <f t="shared" si="115"/>
        <v>3496.1297773019837</v>
      </c>
      <c r="K203" s="14">
        <f t="shared" si="115"/>
        <v>3562.1152192490131</v>
      </c>
      <c r="L203" s="14">
        <f t="shared" si="115"/>
        <v>3626.4122701448487</v>
      </c>
      <c r="M203" s="132">
        <f t="shared" si="115"/>
        <v>3668.087335845119</v>
      </c>
      <c r="N203" s="193">
        <f t="shared" si="115"/>
        <v>3681.7636445905496</v>
      </c>
      <c r="O203" s="14">
        <f t="shared" si="115"/>
        <v>3744.6525650380063</v>
      </c>
      <c r="P203" s="14">
        <f t="shared" si="115"/>
        <v>3786.8192941665666</v>
      </c>
      <c r="Q203" s="14">
        <f t="shared" si="115"/>
        <v>3819.390993801002</v>
      </c>
      <c r="R203" s="14">
        <f t="shared" si="115"/>
        <v>3847.7354727220077</v>
      </c>
      <c r="S203" s="14">
        <f t="shared" si="115"/>
        <v>3874.6883926970959</v>
      </c>
      <c r="T203" s="14">
        <f t="shared" si="115"/>
        <v>3925.4586124359039</v>
      </c>
      <c r="U203" s="14">
        <f t="shared" si="115"/>
        <v>3954.2076070275698</v>
      </c>
      <c r="V203" s="14">
        <f t="shared" si="115"/>
        <v>3970.4801669524845</v>
      </c>
      <c r="W203" s="14">
        <f t="shared" si="115"/>
        <v>4012.4141378610921</v>
      </c>
      <c r="X203" s="187">
        <f t="shared" si="115"/>
        <v>4038.3636099536889</v>
      </c>
      <c r="Y203" s="158">
        <f t="shared" si="115"/>
        <v>4061.331871229725</v>
      </c>
      <c r="Z203" s="158">
        <f t="shared" si="115"/>
        <v>4119.8837977432768</v>
      </c>
      <c r="AA203" s="158">
        <f t="shared" si="115"/>
        <v>4151.8860131511119</v>
      </c>
      <c r="AB203" s="158">
        <f t="shared" si="115"/>
        <v>4184.2585304682816</v>
      </c>
      <c r="AC203" s="158">
        <f t="shared" si="115"/>
        <v>4211.0060249243161</v>
      </c>
      <c r="AD203" s="158">
        <f t="shared" si="115"/>
        <v>4248.6518426816065</v>
      </c>
      <c r="AE203" s="158">
        <f t="shared" si="115"/>
        <v>4303.4324109019799</v>
      </c>
      <c r="AF203" s="158">
        <f t="shared" si="115"/>
        <v>4333.2642405187562</v>
      </c>
      <c r="AG203" s="158">
        <f t="shared" si="115"/>
        <v>4382.6426855478185</v>
      </c>
      <c r="AH203" s="187">
        <f t="shared" si="115"/>
        <v>4415.5793195520891</v>
      </c>
    </row>
    <row r="204" spans="1:34">
      <c r="A204" s="1" t="s">
        <v>448</v>
      </c>
      <c r="C204" s="296"/>
      <c r="D204" s="296">
        <f>D194+D197</f>
        <v>2976.2572799999998</v>
      </c>
      <c r="E204" s="296">
        <f t="shared" ref="E204:AH204" si="116">E194+E197</f>
        <v>3801.1494828736613</v>
      </c>
      <c r="F204" s="296">
        <f t="shared" si="116"/>
        <v>3622.5476364486167</v>
      </c>
      <c r="G204" s="296">
        <f t="shared" si="116"/>
        <v>3101.6241965623831</v>
      </c>
      <c r="H204" s="367">
        <f t="shared" si="116"/>
        <v>3173.0246773472581</v>
      </c>
      <c r="I204" s="14">
        <f t="shared" si="116"/>
        <v>3234.9150625974498</v>
      </c>
      <c r="J204" s="14">
        <f t="shared" si="116"/>
        <v>3319.0858805357384</v>
      </c>
      <c r="K204" s="14">
        <f t="shared" si="116"/>
        <v>3385.6630042239658</v>
      </c>
      <c r="L204" s="14">
        <f t="shared" si="116"/>
        <v>3433.108489488317</v>
      </c>
      <c r="M204" s="14">
        <f t="shared" si="116"/>
        <v>3467.7680254860579</v>
      </c>
      <c r="N204" s="187">
        <f t="shared" si="116"/>
        <v>3473.4635729319175</v>
      </c>
      <c r="O204" s="14">
        <f t="shared" si="116"/>
        <v>3507.9597953206012</v>
      </c>
      <c r="P204" s="14">
        <f t="shared" si="116"/>
        <v>3523.4502835779085</v>
      </c>
      <c r="Q204" s="14">
        <f t="shared" si="116"/>
        <v>3538.2133978652519</v>
      </c>
      <c r="R204" s="14">
        <f t="shared" si="116"/>
        <v>3559.5436182699423</v>
      </c>
      <c r="S204" s="14">
        <f t="shared" si="116"/>
        <v>3572.4392861357919</v>
      </c>
      <c r="T204" s="14">
        <f t="shared" si="116"/>
        <v>3603.9863392550651</v>
      </c>
      <c r="U204" s="14">
        <f t="shared" si="116"/>
        <v>3621.5330199112068</v>
      </c>
      <c r="V204" s="14">
        <f t="shared" si="116"/>
        <v>3629.9618704314948</v>
      </c>
      <c r="W204" s="14">
        <f t="shared" si="116"/>
        <v>3654.8181157613844</v>
      </c>
      <c r="X204" s="187">
        <f t="shared" si="116"/>
        <v>3665.6350066721375</v>
      </c>
      <c r="Y204" s="158">
        <f t="shared" si="116"/>
        <v>3688.833873430327</v>
      </c>
      <c r="Z204" s="158">
        <f t="shared" si="116"/>
        <v>3732.9220524511802</v>
      </c>
      <c r="AA204" s="158">
        <f t="shared" si="116"/>
        <v>3758.1433545913587</v>
      </c>
      <c r="AB204" s="158">
        <f t="shared" si="116"/>
        <v>3787.0656484774736</v>
      </c>
      <c r="AC204" s="158">
        <f t="shared" si="116"/>
        <v>3809.2902695461453</v>
      </c>
      <c r="AD204" s="158">
        <f t="shared" si="116"/>
        <v>3849.4247418163368</v>
      </c>
      <c r="AE204" s="158">
        <f t="shared" si="116"/>
        <v>3903.0635369847432</v>
      </c>
      <c r="AF204" s="158">
        <f t="shared" si="116"/>
        <v>3926.7117641546074</v>
      </c>
      <c r="AG204" s="158">
        <f t="shared" si="116"/>
        <v>3961.4635872467043</v>
      </c>
      <c r="AH204" s="187">
        <f t="shared" si="116"/>
        <v>3981.4021470783428</v>
      </c>
    </row>
    <row r="205" spans="1:34">
      <c r="A205" s="1"/>
      <c r="C205" s="296"/>
      <c r="D205" s="296"/>
      <c r="E205" s="296"/>
      <c r="F205" s="296"/>
      <c r="G205" s="296"/>
      <c r="H205" s="367"/>
      <c r="I205" s="14"/>
      <c r="J205" s="14"/>
      <c r="K205" s="14"/>
      <c r="L205" s="14"/>
      <c r="M205" s="14"/>
      <c r="N205" s="187"/>
      <c r="O205" s="14"/>
      <c r="P205" s="14"/>
      <c r="Q205" s="14"/>
      <c r="R205" s="14"/>
      <c r="S205" s="14"/>
      <c r="T205" s="14"/>
      <c r="U205" s="14"/>
      <c r="V205" s="14"/>
      <c r="W205" s="14"/>
      <c r="X205" s="187"/>
    </row>
    <row r="206" spans="1:34">
      <c r="A206" s="1" t="s">
        <v>453</v>
      </c>
      <c r="C206" s="296"/>
      <c r="D206" s="296">
        <f>D194</f>
        <v>367.37013000000002</v>
      </c>
      <c r="E206" s="296">
        <f>D206+E194</f>
        <v>789.76853655037178</v>
      </c>
      <c r="F206" s="296">
        <f>E206+F194</f>
        <v>1236.3609718700623</v>
      </c>
      <c r="G206" s="296">
        <f>F206+G194</f>
        <v>1726.0557947189479</v>
      </c>
      <c r="H206" s="367">
        <f t="shared" ref="H206:X206" si="117">G206+H194</f>
        <v>2231.5958669080587</v>
      </c>
      <c r="I206" s="14">
        <f t="shared" si="117"/>
        <v>2755.0807308471012</v>
      </c>
      <c r="J206" s="14">
        <f t="shared" si="117"/>
        <v>3314.8539017224439</v>
      </c>
      <c r="K206" s="14">
        <f t="shared" si="117"/>
        <v>3907.537939558566</v>
      </c>
      <c r="L206" s="14">
        <f t="shared" si="117"/>
        <v>4559.6421935131493</v>
      </c>
      <c r="M206" s="14">
        <f t="shared" si="117"/>
        <v>5246.4050670362394</v>
      </c>
      <c r="N206" s="187">
        <f t="shared" si="117"/>
        <v>5938.8644044344228</v>
      </c>
      <c r="O206" s="14">
        <f t="shared" si="117"/>
        <v>6651.437857083487</v>
      </c>
      <c r="P206" s="14">
        <f t="shared" si="117"/>
        <v>7379.5027144190917</v>
      </c>
      <c r="Q206" s="14">
        <f t="shared" si="117"/>
        <v>8122.3309984610969</v>
      </c>
      <c r="R206" s="14">
        <f t="shared" si="117"/>
        <v>8886.4895029077925</v>
      </c>
      <c r="S206" s="14">
        <f t="shared" si="117"/>
        <v>9663.5436752203386</v>
      </c>
      <c r="T206" s="14">
        <f t="shared" si="117"/>
        <v>10472.145233899151</v>
      </c>
      <c r="U206" s="14">
        <f t="shared" si="117"/>
        <v>11298.293473234105</v>
      </c>
      <c r="V206" s="14">
        <f t="shared" si="117"/>
        <v>12132.870563089347</v>
      </c>
      <c r="W206" s="14">
        <f t="shared" si="117"/>
        <v>12975.419022900989</v>
      </c>
      <c r="X206" s="187">
        <f t="shared" si="117"/>
        <v>13828.784373623384</v>
      </c>
      <c r="Y206" s="158">
        <f t="shared" ref="Y206:AH206" si="118">X206+Y194</f>
        <v>14701.685206900391</v>
      </c>
      <c r="Z206" s="158">
        <f t="shared" si="118"/>
        <v>15618.674198370314</v>
      </c>
      <c r="AA206" s="158">
        <f t="shared" si="118"/>
        <v>16560.884491980418</v>
      </c>
      <c r="AB206" s="158">
        <f t="shared" si="118"/>
        <v>17532.017079476635</v>
      </c>
      <c r="AC206" s="158">
        <f t="shared" si="118"/>
        <v>18519.983934603981</v>
      </c>
      <c r="AD206" s="158">
        <f t="shared" si="118"/>
        <v>19548.084324744348</v>
      </c>
      <c r="AE206" s="158">
        <f t="shared" si="118"/>
        <v>20629.824155719172</v>
      </c>
      <c r="AF206" s="158">
        <f t="shared" si="118"/>
        <v>21735.21317194897</v>
      </c>
      <c r="AG206" s="158">
        <f t="shared" si="118"/>
        <v>22862.334030392554</v>
      </c>
      <c r="AH206" s="187">
        <f t="shared" si="118"/>
        <v>24009.393740258896</v>
      </c>
    </row>
    <row r="207" spans="1:34">
      <c r="A207" s="1" t="s">
        <v>456</v>
      </c>
      <c r="C207" s="296"/>
      <c r="D207" s="296">
        <f>D200</f>
        <v>371.39299999999997</v>
      </c>
      <c r="E207" s="296">
        <f>D207+E200</f>
        <v>545.45096063943379</v>
      </c>
      <c r="F207" s="296">
        <f>E207+F200</f>
        <v>751.13289712656649</v>
      </c>
      <c r="G207" s="296">
        <f t="shared" ref="G207:X207" si="119">F207+G200</f>
        <v>1001.1503387800159</v>
      </c>
      <c r="H207" s="367">
        <f t="shared" si="119"/>
        <v>1246.931573677952</v>
      </c>
      <c r="I207" s="14">
        <f t="shared" si="119"/>
        <v>1411.8984210394797</v>
      </c>
      <c r="J207" s="14">
        <f t="shared" si="119"/>
        <v>1588.9423178057252</v>
      </c>
      <c r="K207" s="14">
        <f t="shared" si="119"/>
        <v>1765.3945328307725</v>
      </c>
      <c r="L207" s="14">
        <f t="shared" si="119"/>
        <v>1958.6983134873039</v>
      </c>
      <c r="M207" s="14">
        <f t="shared" si="119"/>
        <v>2159.017623846365</v>
      </c>
      <c r="N207" s="187">
        <f t="shared" si="119"/>
        <v>2367.3176955049971</v>
      </c>
      <c r="O207" s="14">
        <f t="shared" si="119"/>
        <v>2604.0104652224022</v>
      </c>
      <c r="P207" s="14">
        <f t="shared" si="119"/>
        <v>2867.3794758110603</v>
      </c>
      <c r="Q207" s="14">
        <f t="shared" si="119"/>
        <v>3148.5570717468099</v>
      </c>
      <c r="R207" s="14">
        <f t="shared" si="119"/>
        <v>3436.7489261988753</v>
      </c>
      <c r="S207" s="14">
        <f t="shared" si="119"/>
        <v>3738.9980327601793</v>
      </c>
      <c r="T207" s="14">
        <f t="shared" si="119"/>
        <v>4060.4703059410181</v>
      </c>
      <c r="U207" s="14">
        <f t="shared" si="119"/>
        <v>4393.1448930573806</v>
      </c>
      <c r="V207" s="14">
        <f t="shared" si="119"/>
        <v>4733.6631895783703</v>
      </c>
      <c r="W207" s="14">
        <f t="shared" si="119"/>
        <v>5091.2592116780779</v>
      </c>
      <c r="X207" s="187">
        <f t="shared" si="119"/>
        <v>5463.9878149596288</v>
      </c>
      <c r="Y207" s="158">
        <f t="shared" ref="Y207:AH207" si="120">X207+Y200</f>
        <v>5836.4858127590269</v>
      </c>
      <c r="Z207" s="158">
        <f t="shared" si="120"/>
        <v>6223.4475580511235</v>
      </c>
      <c r="AA207" s="158">
        <f t="shared" si="120"/>
        <v>6617.1902166108766</v>
      </c>
      <c r="AB207" s="158">
        <f t="shared" si="120"/>
        <v>7014.3830986016847</v>
      </c>
      <c r="AC207" s="158">
        <f t="shared" si="120"/>
        <v>7416.0988539798554</v>
      </c>
      <c r="AD207" s="158">
        <f t="shared" si="120"/>
        <v>7815.3259548451251</v>
      </c>
      <c r="AE207" s="158">
        <f t="shared" si="120"/>
        <v>8215.6948287623618</v>
      </c>
      <c r="AF207" s="158">
        <f t="shared" si="120"/>
        <v>8622.2473051265115</v>
      </c>
      <c r="AG207" s="158">
        <f t="shared" si="120"/>
        <v>9043.4264034276257</v>
      </c>
      <c r="AH207" s="187">
        <f t="shared" si="120"/>
        <v>9477.6035759013721</v>
      </c>
    </row>
    <row r="208" spans="1:34">
      <c r="A208" s="1"/>
      <c r="C208" s="296"/>
      <c r="D208" s="296"/>
      <c r="E208" s="296"/>
      <c r="F208" s="296"/>
      <c r="G208" s="296"/>
      <c r="H208" s="367"/>
      <c r="I208" s="14"/>
      <c r="J208" s="14"/>
      <c r="K208" s="14"/>
      <c r="L208" s="14"/>
      <c r="M208" s="14"/>
      <c r="N208" s="187"/>
      <c r="O208" s="14"/>
      <c r="P208" s="14"/>
      <c r="Q208" s="14"/>
      <c r="R208" s="14"/>
      <c r="S208" s="14"/>
      <c r="T208" s="14"/>
      <c r="U208" s="14"/>
      <c r="V208" s="14"/>
      <c r="W208" s="14"/>
      <c r="X208" s="187"/>
    </row>
    <row r="209" spans="1:34">
      <c r="A209" s="1" t="s">
        <v>412</v>
      </c>
      <c r="C209" s="296"/>
      <c r="D209" s="296"/>
      <c r="E209" s="296"/>
      <c r="F209" s="296"/>
      <c r="G209" s="296"/>
      <c r="H209" s="367"/>
      <c r="I209" s="14"/>
      <c r="J209" s="14"/>
      <c r="K209" s="14"/>
      <c r="L209" s="14"/>
      <c r="M209" s="14"/>
      <c r="N209" s="187"/>
      <c r="O209" s="14"/>
      <c r="P209" s="14"/>
      <c r="Q209" s="14"/>
      <c r="R209" s="14"/>
      <c r="S209" s="14"/>
      <c r="T209" s="14"/>
      <c r="U209" s="14"/>
      <c r="V209" s="14"/>
      <c r="W209" s="14"/>
      <c r="X209" s="187"/>
    </row>
    <row r="210" spans="1:34" s="1" customFormat="1">
      <c r="A210" s="1" t="s">
        <v>409</v>
      </c>
      <c r="B210" s="13"/>
      <c r="C210" s="306">
        <f>SUM(C211:C212)</f>
        <v>0</v>
      </c>
      <c r="D210" s="306">
        <f t="shared" ref="D210:AH210" si="121">SUM(D211:D212)</f>
        <v>0</v>
      </c>
      <c r="E210" s="306">
        <f t="shared" si="121"/>
        <v>0</v>
      </c>
      <c r="F210" s="306">
        <f t="shared" si="121"/>
        <v>0</v>
      </c>
      <c r="G210" s="306">
        <f t="shared" si="121"/>
        <v>0</v>
      </c>
      <c r="H210" s="370">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296">
        <f>C100</f>
        <v>0</v>
      </c>
      <c r="D211" s="296">
        <f t="shared" ref="D211:AH211" si="122">D100</f>
        <v>0</v>
      </c>
      <c r="E211" s="296">
        <f t="shared" si="122"/>
        <v>0</v>
      </c>
      <c r="F211" s="296">
        <f t="shared" si="122"/>
        <v>0</v>
      </c>
      <c r="G211" s="296">
        <f t="shared" si="122"/>
        <v>0</v>
      </c>
      <c r="H211" s="367">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296">
        <f>C127</f>
        <v>0</v>
      </c>
      <c r="D212" s="296">
        <f t="shared" ref="D212:AH212" si="123">D127</f>
        <v>0</v>
      </c>
      <c r="E212" s="296">
        <f t="shared" si="123"/>
        <v>0</v>
      </c>
      <c r="F212" s="296">
        <f t="shared" si="123"/>
        <v>0</v>
      </c>
      <c r="G212" s="296">
        <f t="shared" si="123"/>
        <v>0</v>
      </c>
      <c r="H212" s="367">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06">
        <f>SUM(C214:C215)</f>
        <v>327.92586000000006</v>
      </c>
      <c r="D213" s="306">
        <f t="shared" ref="D213:AH213" si="124">SUM(D214:D215)</f>
        <v>378.89909470880389</v>
      </c>
      <c r="E213" s="306">
        <f t="shared" si="124"/>
        <v>518.98055363382343</v>
      </c>
      <c r="F213" s="306">
        <f t="shared" si="124"/>
        <v>579.02708000869302</v>
      </c>
      <c r="G213" s="306">
        <f t="shared" si="124"/>
        <v>618.80728491026207</v>
      </c>
      <c r="H213" s="370">
        <f t="shared" si="124"/>
        <v>505.53980218911073</v>
      </c>
      <c r="I213" s="15">
        <f t="shared" si="124"/>
        <v>551.65740381556702</v>
      </c>
      <c r="J213" s="15">
        <f t="shared" si="124"/>
        <v>610.81457487719456</v>
      </c>
      <c r="K213" s="15">
        <f t="shared" si="124"/>
        <v>681.34767643709779</v>
      </c>
      <c r="L213" s="15">
        <f t="shared" si="124"/>
        <v>756.79740204848031</v>
      </c>
      <c r="M213" s="15">
        <f t="shared" si="124"/>
        <v>837.88500028956821</v>
      </c>
      <c r="N213" s="190">
        <f t="shared" si="124"/>
        <v>924.95498004619776</v>
      </c>
      <c r="O213" s="15">
        <f t="shared" si="124"/>
        <v>955.4160264949835</v>
      </c>
      <c r="P213" s="15">
        <f t="shared" si="124"/>
        <v>981.1605041217897</v>
      </c>
      <c r="Q213" s="15">
        <f t="shared" si="124"/>
        <v>1004.0055516542313</v>
      </c>
      <c r="R213" s="15">
        <f t="shared" si="124"/>
        <v>1025.6017364774616</v>
      </c>
      <c r="S213" s="15">
        <f t="shared" si="124"/>
        <v>1053.8095433040071</v>
      </c>
      <c r="T213" s="15">
        <f t="shared" si="124"/>
        <v>1089.5092401939746</v>
      </c>
      <c r="U213" s="15">
        <f t="shared" si="124"/>
        <v>1119.3862499519537</v>
      </c>
      <c r="V213" s="15">
        <f t="shared" si="124"/>
        <v>1142.6561363947221</v>
      </c>
      <c r="W213" s="15">
        <f t="shared" si="124"/>
        <v>1170.2617249955554</v>
      </c>
      <c r="X213" s="190">
        <f t="shared" si="124"/>
        <v>1170.7782165801532</v>
      </c>
      <c r="Y213" s="130">
        <f t="shared" si="124"/>
        <v>1234.6895802572176</v>
      </c>
      <c r="Z213" s="130">
        <f t="shared" si="124"/>
        <v>1289.4324693280175</v>
      </c>
      <c r="AA213" s="130">
        <f t="shared" si="124"/>
        <v>1335.7865732137736</v>
      </c>
      <c r="AB213" s="130">
        <f t="shared" si="124"/>
        <v>1382.4220951096322</v>
      </c>
      <c r="AC213" s="130">
        <f t="shared" si="124"/>
        <v>1417.474068735057</v>
      </c>
      <c r="AD213" s="130">
        <f t="shared" si="124"/>
        <v>1454.4128080996325</v>
      </c>
      <c r="AE213" s="130">
        <f t="shared" si="124"/>
        <v>1495.9835120211326</v>
      </c>
      <c r="AF213" s="130">
        <f t="shared" si="124"/>
        <v>1534.5431347648828</v>
      </c>
      <c r="AG213" s="130">
        <f t="shared" si="124"/>
        <v>1581.6570489576698</v>
      </c>
      <c r="AH213" s="190">
        <f t="shared" si="124"/>
        <v>1539.7885966383246</v>
      </c>
    </row>
    <row r="214" spans="1:34">
      <c r="A214" t="s">
        <v>398</v>
      </c>
      <c r="C214" s="296">
        <f>C115</f>
        <v>172.59270000000001</v>
      </c>
      <c r="D214" s="296">
        <f t="shared" ref="D214:AH214" si="125">D115</f>
        <v>199.42071826779153</v>
      </c>
      <c r="E214" s="296">
        <f t="shared" si="125"/>
        <v>273.14782280450623</v>
      </c>
      <c r="F214" s="296">
        <f t="shared" si="125"/>
        <v>304.75125853841348</v>
      </c>
      <c r="G214" s="296">
        <f t="shared" si="125"/>
        <v>325.68819351233952</v>
      </c>
      <c r="H214" s="367">
        <f t="shared" si="125"/>
        <v>266.0737222047951</v>
      </c>
      <c r="I214" s="14">
        <f t="shared" si="125"/>
        <v>290.34614757189343</v>
      </c>
      <c r="J214" s="14">
        <f t="shared" si="125"/>
        <v>321.48151063753983</v>
      </c>
      <c r="K214" s="14">
        <f t="shared" si="125"/>
        <v>358.60420440187727</v>
      </c>
      <c r="L214" s="14">
        <f t="shared" si="125"/>
        <v>398.31459536441025</v>
      </c>
      <c r="M214" s="14">
        <f t="shared" si="125"/>
        <v>440.99228724087391</v>
      </c>
      <c r="N214" s="182">
        <f t="shared" si="125"/>
        <v>486.81860036830631</v>
      </c>
      <c r="O214" s="14">
        <f t="shared" si="125"/>
        <v>502.85073632935729</v>
      </c>
      <c r="P214" s="14">
        <f t="shared" si="125"/>
        <v>516.40046667933495</v>
      </c>
      <c r="Q214" s="14">
        <f t="shared" si="125"/>
        <v>528.4241805951574</v>
      </c>
      <c r="R214" s="14">
        <f t="shared" si="125"/>
        <v>539.7905978799904</v>
      </c>
      <c r="S214" s="14">
        <f t="shared" si="125"/>
        <v>554.63681651012985</v>
      </c>
      <c r="T214" s="14">
        <f t="shared" si="125"/>
        <v>573.42613641509843</v>
      </c>
      <c r="U214" s="14">
        <f t="shared" si="125"/>
        <v>589.15088305481515</v>
      </c>
      <c r="V214" s="14">
        <f t="shared" si="125"/>
        <v>601.39819583107146</v>
      </c>
      <c r="W214" s="14">
        <f t="shared" si="125"/>
        <v>615.92745894742802</v>
      </c>
      <c r="X214" s="187">
        <f t="shared" si="125"/>
        <v>616.19930162307458</v>
      </c>
      <c r="Y214" s="158">
        <f t="shared" si="125"/>
        <v>649.83686721613026</v>
      </c>
      <c r="Z214" s="158">
        <f t="shared" si="125"/>
        <v>678.64892207329331</v>
      </c>
      <c r="AA214" s="158">
        <f t="shared" si="125"/>
        <v>703.04582553518571</v>
      </c>
      <c r="AB214" s="158">
        <f t="shared" si="125"/>
        <v>727.59084379604417</v>
      </c>
      <c r="AC214" s="158">
        <f t="shared" si="125"/>
        <v>746.03925783528075</v>
      </c>
      <c r="AD214" s="158">
        <f t="shared" si="125"/>
        <v>765.48070704763848</v>
      </c>
      <c r="AE214" s="158">
        <f t="shared" si="125"/>
        <v>787.36003359609435</v>
      </c>
      <c r="AF214" s="158">
        <f t="shared" si="125"/>
        <v>807.65457950660243</v>
      </c>
      <c r="AG214" s="158">
        <f t="shared" si="125"/>
        <v>832.45138586704923</v>
      </c>
      <c r="AH214" s="187">
        <f t="shared" si="125"/>
        <v>810.41536685505321</v>
      </c>
    </row>
    <row r="215" spans="1:34">
      <c r="A215" t="s">
        <v>399</v>
      </c>
      <c r="C215" s="296">
        <f>C142</f>
        <v>155.33316000000002</v>
      </c>
      <c r="D215" s="296">
        <f t="shared" ref="D215:AH215" si="126">D142</f>
        <v>179.47837644101239</v>
      </c>
      <c r="E215" s="296">
        <f t="shared" si="126"/>
        <v>245.83273082931723</v>
      </c>
      <c r="F215" s="296">
        <f t="shared" si="126"/>
        <v>274.2758214702796</v>
      </c>
      <c r="G215" s="296">
        <f t="shared" si="126"/>
        <v>293.11909139792249</v>
      </c>
      <c r="H215" s="367">
        <f t="shared" si="126"/>
        <v>239.46607998431563</v>
      </c>
      <c r="I215" s="14">
        <f t="shared" si="126"/>
        <v>261.3112562436736</v>
      </c>
      <c r="J215" s="14">
        <f t="shared" si="126"/>
        <v>289.33306423965473</v>
      </c>
      <c r="K215" s="14">
        <f t="shared" si="126"/>
        <v>322.74347203522058</v>
      </c>
      <c r="L215" s="14">
        <f t="shared" si="126"/>
        <v>358.48280668407006</v>
      </c>
      <c r="M215" s="14">
        <f t="shared" si="126"/>
        <v>396.8927130486943</v>
      </c>
      <c r="N215" s="182">
        <f t="shared" si="126"/>
        <v>438.13637967789145</v>
      </c>
      <c r="O215" s="14">
        <f t="shared" si="126"/>
        <v>452.56529016562621</v>
      </c>
      <c r="P215" s="14">
        <f t="shared" si="126"/>
        <v>464.76003744245475</v>
      </c>
      <c r="Q215" s="14">
        <f t="shared" si="126"/>
        <v>475.581371059074</v>
      </c>
      <c r="R215" s="14">
        <f t="shared" si="126"/>
        <v>485.81113859747114</v>
      </c>
      <c r="S215" s="14">
        <f t="shared" si="126"/>
        <v>499.17272679387725</v>
      </c>
      <c r="T215" s="14">
        <f t="shared" si="126"/>
        <v>516.08310377887631</v>
      </c>
      <c r="U215" s="14">
        <f t="shared" si="126"/>
        <v>530.23536689713842</v>
      </c>
      <c r="V215" s="14">
        <f t="shared" si="126"/>
        <v>541.25794056365066</v>
      </c>
      <c r="W215" s="14">
        <f t="shared" si="126"/>
        <v>554.33426604812735</v>
      </c>
      <c r="X215" s="187">
        <f t="shared" si="126"/>
        <v>554.57891495707861</v>
      </c>
      <c r="Y215" s="158">
        <f t="shared" si="126"/>
        <v>584.85271304108733</v>
      </c>
      <c r="Z215" s="158">
        <f t="shared" si="126"/>
        <v>610.78354725472423</v>
      </c>
      <c r="AA215" s="158">
        <f t="shared" si="126"/>
        <v>632.74074767858792</v>
      </c>
      <c r="AB215" s="158">
        <f t="shared" si="126"/>
        <v>654.83125131358793</v>
      </c>
      <c r="AC215" s="158">
        <f t="shared" si="126"/>
        <v>671.43481089977627</v>
      </c>
      <c r="AD215" s="158">
        <f t="shared" si="126"/>
        <v>688.93210105199387</v>
      </c>
      <c r="AE215" s="158">
        <f t="shared" si="126"/>
        <v>708.62347842503823</v>
      </c>
      <c r="AF215" s="158">
        <f t="shared" si="126"/>
        <v>726.88855525828035</v>
      </c>
      <c r="AG215" s="158">
        <f t="shared" si="126"/>
        <v>749.20566309062042</v>
      </c>
      <c r="AH215" s="187">
        <f t="shared" si="126"/>
        <v>729.37322978327143</v>
      </c>
    </row>
    <row r="216" spans="1:34">
      <c r="A216" t="s">
        <v>400</v>
      </c>
      <c r="C216" s="296">
        <f>SUM(C217:C218)</f>
        <v>2973.6871499999997</v>
      </c>
      <c r="D216" s="296">
        <f t="shared" ref="D216:AH216" si="127">SUM(D217:D218)</f>
        <v>2721.3962614992975</v>
      </c>
      <c r="E216" s="296">
        <f t="shared" si="127"/>
        <v>3137.6774459868057</v>
      </c>
      <c r="F216" s="296">
        <f t="shared" si="127"/>
        <v>3024.127278089456</v>
      </c>
      <c r="G216" s="296">
        <f t="shared" si="127"/>
        <v>2635.2742474165757</v>
      </c>
      <c r="H216" s="367">
        <f t="shared" si="127"/>
        <v>2667.4846051581476</v>
      </c>
      <c r="I216" s="14">
        <f t="shared" si="127"/>
        <v>2621.8840880330499</v>
      </c>
      <c r="J216" s="14">
        <f t="shared" si="127"/>
        <v>2686.4980222092927</v>
      </c>
      <c r="K216" s="14">
        <f t="shared" si="127"/>
        <v>2722.6300194130699</v>
      </c>
      <c r="L216" s="14">
        <f t="shared" si="127"/>
        <v>2756.6596001921107</v>
      </c>
      <c r="M216" s="14">
        <f t="shared" si="127"/>
        <v>2776.2822112111426</v>
      </c>
      <c r="N216" s="190">
        <f t="shared" si="127"/>
        <v>2781.0042355337341</v>
      </c>
      <c r="O216" s="14">
        <f t="shared" si="127"/>
        <v>2809.7061394569091</v>
      </c>
      <c r="P216" s="14">
        <f t="shared" si="127"/>
        <v>2822.0624434415267</v>
      </c>
      <c r="Q216" s="14">
        <f t="shared" si="127"/>
        <v>2824.1725999494674</v>
      </c>
      <c r="R216" s="14">
        <f t="shared" si="127"/>
        <v>2818.3487350220844</v>
      </c>
      <c r="S216" s="15">
        <f t="shared" si="127"/>
        <v>2815.0189267576297</v>
      </c>
      <c r="T216" s="14">
        <f t="shared" si="127"/>
        <v>2826.1611731962503</v>
      </c>
      <c r="U216" s="14">
        <f t="shared" si="127"/>
        <v>2821.5459772794338</v>
      </c>
      <c r="V216" s="14">
        <f t="shared" si="127"/>
        <v>2808.9114218240857</v>
      </c>
      <c r="W216" s="14">
        <f t="shared" si="127"/>
        <v>2817.2022837492727</v>
      </c>
      <c r="X216" s="187">
        <f t="shared" si="127"/>
        <v>2812.2696559497426</v>
      </c>
      <c r="Y216" s="158">
        <f t="shared" si="127"/>
        <v>2804.6872456269516</v>
      </c>
      <c r="Z216" s="158">
        <f t="shared" si="127"/>
        <v>2820.0520601066091</v>
      </c>
      <c r="AA216" s="158">
        <f t="shared" si="127"/>
        <v>2818.5402528338127</v>
      </c>
      <c r="AB216" s="158">
        <f t="shared" si="127"/>
        <v>2815.6457021152492</v>
      </c>
      <c r="AC216" s="158">
        <f t="shared" si="127"/>
        <v>2812.181066458953</v>
      </c>
      <c r="AD216" s="158">
        <f t="shared" si="127"/>
        <v>2812.5504616856388</v>
      </c>
      <c r="AE216" s="158">
        <f t="shared" si="127"/>
        <v>2823.004351976917</v>
      </c>
      <c r="AF216" s="158">
        <f t="shared" si="127"/>
        <v>2820.6841072807074</v>
      </c>
      <c r="AG216" s="158">
        <f t="shared" si="127"/>
        <v>2832.8958449476568</v>
      </c>
      <c r="AH216" s="187">
        <f t="shared" si="127"/>
        <v>2834.3424372120007</v>
      </c>
    </row>
    <row r="217" spans="1:34">
      <c r="A217" t="s">
        <v>401</v>
      </c>
      <c r="C217" s="296">
        <f>C114</f>
        <v>1565.0984999999998</v>
      </c>
      <c r="D217" s="296">
        <f t="shared" ref="D217:AH217" si="128">D114</f>
        <v>1432.3138218417355</v>
      </c>
      <c r="E217" s="296">
        <f t="shared" si="128"/>
        <v>1651.4091820983188</v>
      </c>
      <c r="F217" s="296">
        <f t="shared" si="128"/>
        <v>1591.6459358365557</v>
      </c>
      <c r="G217" s="296">
        <f t="shared" si="128"/>
        <v>1386.986446008724</v>
      </c>
      <c r="H217" s="367">
        <f t="shared" si="128"/>
        <v>1403.9392658727093</v>
      </c>
      <c r="I217" s="14">
        <f t="shared" si="128"/>
        <v>1379.9389937016051</v>
      </c>
      <c r="J217" s="14">
        <f t="shared" si="128"/>
        <v>1413.9463274785751</v>
      </c>
      <c r="K217" s="14">
        <f t="shared" si="128"/>
        <v>1432.9631681121421</v>
      </c>
      <c r="L217" s="14">
        <f t="shared" si="128"/>
        <v>1450.8734737853213</v>
      </c>
      <c r="M217" s="14">
        <f t="shared" si="128"/>
        <v>1461.2011637953381</v>
      </c>
      <c r="N217" s="187">
        <f t="shared" si="128"/>
        <v>1463.6864397545969</v>
      </c>
      <c r="O217" s="14">
        <f t="shared" si="128"/>
        <v>1478.7927049773207</v>
      </c>
      <c r="P217" s="14">
        <f t="shared" si="128"/>
        <v>1485.2960228639615</v>
      </c>
      <c r="Q217" s="14">
        <f t="shared" si="128"/>
        <v>1486.4066315523512</v>
      </c>
      <c r="R217" s="14">
        <f t="shared" si="128"/>
        <v>1483.3414394853075</v>
      </c>
      <c r="S217" s="14">
        <f t="shared" si="128"/>
        <v>1481.5889088198053</v>
      </c>
      <c r="T217" s="14">
        <f t="shared" si="128"/>
        <v>1487.4532490506579</v>
      </c>
      <c r="U217" s="14">
        <f t="shared" si="128"/>
        <v>1485.0241985681232</v>
      </c>
      <c r="V217" s="14">
        <f t="shared" si="128"/>
        <v>1478.3744325389923</v>
      </c>
      <c r="W217" s="14">
        <f t="shared" si="128"/>
        <v>1482.7380440785646</v>
      </c>
      <c r="X217" s="187">
        <f t="shared" si="128"/>
        <v>1480.1419241840752</v>
      </c>
      <c r="Y217" s="158">
        <f t="shared" si="128"/>
        <v>1476.1511819089219</v>
      </c>
      <c r="Z217" s="158">
        <f t="shared" si="128"/>
        <v>1484.2379263718997</v>
      </c>
      <c r="AA217" s="158">
        <f t="shared" si="128"/>
        <v>1483.4422383335857</v>
      </c>
      <c r="AB217" s="158">
        <f t="shared" si="128"/>
        <v>1481.918790586973</v>
      </c>
      <c r="AC217" s="158">
        <f t="shared" si="128"/>
        <v>1480.0952981362911</v>
      </c>
      <c r="AD217" s="158">
        <f t="shared" si="128"/>
        <v>1480.289716676652</v>
      </c>
      <c r="AE217" s="158">
        <f t="shared" si="128"/>
        <v>1485.7917641983772</v>
      </c>
      <c r="AF217" s="158">
        <f t="shared" si="128"/>
        <v>1484.5705827793197</v>
      </c>
      <c r="AG217" s="158">
        <f t="shared" si="128"/>
        <v>1490.9978131303458</v>
      </c>
      <c r="AH217" s="187">
        <f t="shared" si="128"/>
        <v>1491.7591774800005</v>
      </c>
    </row>
    <row r="218" spans="1:34">
      <c r="A218" t="s">
        <v>402</v>
      </c>
      <c r="C218" s="296">
        <f>C141</f>
        <v>1408.5886499999999</v>
      </c>
      <c r="D218" s="296">
        <f t="shared" ref="D218:AH218" si="129">D141</f>
        <v>1289.082439657562</v>
      </c>
      <c r="E218" s="296">
        <f t="shared" si="129"/>
        <v>1486.2682638884869</v>
      </c>
      <c r="F218" s="296">
        <f t="shared" si="129"/>
        <v>1432.4813422529003</v>
      </c>
      <c r="G218" s="296">
        <f t="shared" si="129"/>
        <v>1248.2878014078517</v>
      </c>
      <c r="H218" s="367">
        <f t="shared" si="129"/>
        <v>1263.5453392854383</v>
      </c>
      <c r="I218" s="14">
        <f t="shared" si="129"/>
        <v>1241.9450943314446</v>
      </c>
      <c r="J218" s="14">
        <f t="shared" si="129"/>
        <v>1272.5516947307176</v>
      </c>
      <c r="K218" s="14">
        <f t="shared" si="129"/>
        <v>1289.6668513009279</v>
      </c>
      <c r="L218" s="14">
        <f t="shared" si="129"/>
        <v>1305.7861264067892</v>
      </c>
      <c r="M218" s="14">
        <f t="shared" si="129"/>
        <v>1315.0810474158043</v>
      </c>
      <c r="N218" s="187">
        <f t="shared" si="129"/>
        <v>1317.3177957791372</v>
      </c>
      <c r="O218" s="14">
        <f t="shared" si="129"/>
        <v>1330.9134344795887</v>
      </c>
      <c r="P218" s="14">
        <f t="shared" si="129"/>
        <v>1336.7664205775654</v>
      </c>
      <c r="Q218" s="14">
        <f t="shared" si="129"/>
        <v>1337.765968397116</v>
      </c>
      <c r="R218" s="14">
        <f t="shared" si="129"/>
        <v>1335.0072955367768</v>
      </c>
      <c r="S218" s="14">
        <f t="shared" si="129"/>
        <v>1333.4300179378247</v>
      </c>
      <c r="T218" s="14">
        <f t="shared" si="129"/>
        <v>1338.7079241455922</v>
      </c>
      <c r="U218" s="14">
        <f t="shared" si="129"/>
        <v>1336.5217787113108</v>
      </c>
      <c r="V218" s="14">
        <f t="shared" si="129"/>
        <v>1330.5369892850931</v>
      </c>
      <c r="W218" s="14">
        <f t="shared" si="129"/>
        <v>1334.4642396707081</v>
      </c>
      <c r="X218" s="187">
        <f t="shared" si="129"/>
        <v>1332.1277317656677</v>
      </c>
      <c r="Y218" s="158">
        <f t="shared" si="129"/>
        <v>1328.5360637180297</v>
      </c>
      <c r="Z218" s="158">
        <f t="shared" si="129"/>
        <v>1335.8141337347097</v>
      </c>
      <c r="AA218" s="158">
        <f t="shared" si="129"/>
        <v>1335.0980145002272</v>
      </c>
      <c r="AB218" s="158">
        <f t="shared" si="129"/>
        <v>1333.7269115282759</v>
      </c>
      <c r="AC218" s="158">
        <f t="shared" si="129"/>
        <v>1332.085768322662</v>
      </c>
      <c r="AD218" s="158">
        <f t="shared" si="129"/>
        <v>1332.2607450089868</v>
      </c>
      <c r="AE218" s="158">
        <f t="shared" si="129"/>
        <v>1337.2125877785395</v>
      </c>
      <c r="AF218" s="158">
        <f t="shared" si="129"/>
        <v>1336.1135245013877</v>
      </c>
      <c r="AG218" s="158">
        <f t="shared" si="129"/>
        <v>1341.8980318173112</v>
      </c>
      <c r="AH218" s="187">
        <f t="shared" si="129"/>
        <v>1342.5832597320004</v>
      </c>
    </row>
    <row r="219" spans="1:34" s="1" customFormat="1">
      <c r="A219" s="1" t="s">
        <v>394</v>
      </c>
      <c r="B219" s="13"/>
      <c r="C219" s="306">
        <f>SUM(C220:C221)</f>
        <v>361.15199999999999</v>
      </c>
      <c r="D219" s="306">
        <f t="shared" ref="D219:AH219" si="130">SUM(D220:D221)</f>
        <v>288.05783367083524</v>
      </c>
      <c r="E219" s="306">
        <f t="shared" si="130"/>
        <v>302.86639911577333</v>
      </c>
      <c r="F219" s="306">
        <f t="shared" si="130"/>
        <v>250.80599496776887</v>
      </c>
      <c r="G219" s="306">
        <f t="shared" si="130"/>
        <v>168.21100498652103</v>
      </c>
      <c r="H219" s="370">
        <f t="shared" si="130"/>
        <v>245.56596489793617</v>
      </c>
      <c r="I219" s="15">
        <f t="shared" si="130"/>
        <v>215.84895812020122</v>
      </c>
      <c r="J219" s="15">
        <f t="shared" si="130"/>
        <v>202.53234411538671</v>
      </c>
      <c r="K219" s="15">
        <f t="shared" si="130"/>
        <v>177.04898053946397</v>
      </c>
      <c r="L219" s="15">
        <f t="shared" si="130"/>
        <v>148.44123193407336</v>
      </c>
      <c r="M219" s="15">
        <f t="shared" si="130"/>
        <v>114.15964060616977</v>
      </c>
      <c r="N219" s="190">
        <f t="shared" si="130"/>
        <v>73.90438873251486</v>
      </c>
      <c r="O219" s="15">
        <f t="shared" si="130"/>
        <v>84.326533702780381</v>
      </c>
      <c r="P219" s="15">
        <f t="shared" si="130"/>
        <v>94.498579134809034</v>
      </c>
      <c r="Q219" s="15">
        <f t="shared" si="130"/>
        <v>104.45000531335327</v>
      </c>
      <c r="R219" s="15">
        <f t="shared" si="130"/>
        <v>113.68272043066546</v>
      </c>
      <c r="S219" s="15">
        <f t="shared" si="130"/>
        <v>120.75842403886614</v>
      </c>
      <c r="T219" s="15">
        <f t="shared" si="130"/>
        <v>127.93487190381688</v>
      </c>
      <c r="U219" s="15">
        <f t="shared" si="130"/>
        <v>134.6490803939289</v>
      </c>
      <c r="V219" s="15">
        <f t="shared" si="130"/>
        <v>142.6874118300596</v>
      </c>
      <c r="W219" s="15">
        <f t="shared" si="130"/>
        <v>153.96684352085663</v>
      </c>
      <c r="X219" s="190">
        <f t="shared" si="130"/>
        <v>174.38589681366119</v>
      </c>
      <c r="Y219" s="130">
        <f t="shared" si="130"/>
        <v>159.66539700377191</v>
      </c>
      <c r="Z219" s="130">
        <f t="shared" si="130"/>
        <v>154.9642659484465</v>
      </c>
      <c r="AA219" s="130">
        <f t="shared" si="130"/>
        <v>149.8345776495853</v>
      </c>
      <c r="AB219" s="130">
        <f t="shared" si="130"/>
        <v>144.34513383277374</v>
      </c>
      <c r="AC219" s="130">
        <f t="shared" si="130"/>
        <v>143.91794231140682</v>
      </c>
      <c r="AD219" s="130">
        <f t="shared" si="130"/>
        <v>143.84572623062513</v>
      </c>
      <c r="AE219" s="130">
        <f t="shared" si="130"/>
        <v>144.79441434175834</v>
      </c>
      <c r="AF219" s="130">
        <f t="shared" si="130"/>
        <v>143.6175259290807</v>
      </c>
      <c r="AG219" s="130">
        <f t="shared" si="130"/>
        <v>143.14986782733422</v>
      </c>
      <c r="AH219" s="190">
        <f t="shared" si="130"/>
        <v>178.86961157956046</v>
      </c>
    </row>
    <row r="220" spans="1:34">
      <c r="A220" t="s">
        <v>403</v>
      </c>
      <c r="C220" s="296">
        <f>SUM(C116:C117)</f>
        <v>190.07999999999998</v>
      </c>
      <c r="D220" s="296">
        <f t="shared" ref="D220:AH220" si="131">SUM(D116:D117)</f>
        <v>151.60938614254485</v>
      </c>
      <c r="E220" s="296">
        <f t="shared" si="131"/>
        <v>159.40336795567015</v>
      </c>
      <c r="F220" s="296">
        <f t="shared" si="131"/>
        <v>132.00315524619415</v>
      </c>
      <c r="G220" s="296">
        <f t="shared" si="131"/>
        <v>88.532107887642653</v>
      </c>
      <c r="H220" s="367">
        <f t="shared" si="131"/>
        <v>129.2452446831243</v>
      </c>
      <c r="I220" s="14">
        <f t="shared" si="131"/>
        <v>113.60471480010591</v>
      </c>
      <c r="J220" s="14">
        <f t="shared" si="131"/>
        <v>106.59597058704563</v>
      </c>
      <c r="K220" s="14">
        <f t="shared" si="131"/>
        <v>93.183673968138933</v>
      </c>
      <c r="L220" s="14">
        <f t="shared" si="131"/>
        <v>78.126964175828078</v>
      </c>
      <c r="M220" s="14">
        <f t="shared" si="131"/>
        <v>60.0840213716683</v>
      </c>
      <c r="N220" s="187">
        <f t="shared" si="131"/>
        <v>38.897046701323603</v>
      </c>
      <c r="O220" s="14">
        <f t="shared" si="131"/>
        <v>44.382386159358099</v>
      </c>
      <c r="P220" s="14">
        <f t="shared" si="131"/>
        <v>49.736094281478437</v>
      </c>
      <c r="Q220" s="14">
        <f t="shared" si="131"/>
        <v>54.97368700702804</v>
      </c>
      <c r="R220" s="14">
        <f t="shared" si="131"/>
        <v>59.833010752981821</v>
      </c>
      <c r="S220" s="14">
        <f t="shared" si="131"/>
        <v>63.557065283613753</v>
      </c>
      <c r="T220" s="14">
        <f t="shared" si="131"/>
        <v>67.334143107272041</v>
      </c>
      <c r="U220" s="14">
        <f t="shared" si="131"/>
        <v>70.867937049436264</v>
      </c>
      <c r="V220" s="14">
        <f t="shared" si="131"/>
        <v>75.098637805294516</v>
      </c>
      <c r="W220" s="14">
        <f t="shared" si="131"/>
        <v>81.03518080045086</v>
      </c>
      <c r="X220" s="187">
        <f t="shared" si="131"/>
        <v>91.782050954558528</v>
      </c>
      <c r="Y220" s="158">
        <f t="shared" si="131"/>
        <v>84.034419475669424</v>
      </c>
      <c r="Z220" s="158">
        <f t="shared" si="131"/>
        <v>81.560139972866565</v>
      </c>
      <c r="AA220" s="158">
        <f t="shared" si="131"/>
        <v>78.860304026097523</v>
      </c>
      <c r="AB220" s="158">
        <f t="shared" si="131"/>
        <v>75.971123069880917</v>
      </c>
      <c r="AC220" s="158">
        <f t="shared" si="131"/>
        <v>75.746285427056208</v>
      </c>
      <c r="AD220" s="158">
        <f t="shared" si="131"/>
        <v>75.708276963486909</v>
      </c>
      <c r="AE220" s="158">
        <f t="shared" si="131"/>
        <v>76.207586495662284</v>
      </c>
      <c r="AF220" s="158">
        <f t="shared" si="131"/>
        <v>75.588171541621421</v>
      </c>
      <c r="AG220" s="158">
        <f t="shared" si="131"/>
        <v>75.342035698596959</v>
      </c>
      <c r="AH220" s="187">
        <f t="shared" si="131"/>
        <v>94.141900831347613</v>
      </c>
    </row>
    <row r="221" spans="1:34">
      <c r="A221" t="s">
        <v>404</v>
      </c>
      <c r="C221" s="296">
        <f>SUM(C143:C144)</f>
        <v>171.072</v>
      </c>
      <c r="D221" s="296">
        <f t="shared" ref="D221:AH221" si="132">SUM(D143:D144)</f>
        <v>136.44844752829039</v>
      </c>
      <c r="E221" s="296">
        <f t="shared" si="132"/>
        <v>143.46303116010316</v>
      </c>
      <c r="F221" s="296">
        <f t="shared" si="132"/>
        <v>118.80283972157473</v>
      </c>
      <c r="G221" s="296">
        <f t="shared" si="132"/>
        <v>79.67889709887838</v>
      </c>
      <c r="H221" s="367">
        <f t="shared" si="132"/>
        <v>116.32072021481187</v>
      </c>
      <c r="I221" s="14">
        <f t="shared" si="132"/>
        <v>102.24424332009531</v>
      </c>
      <c r="J221" s="14">
        <f t="shared" si="132"/>
        <v>95.936373528341065</v>
      </c>
      <c r="K221" s="14">
        <f t="shared" si="132"/>
        <v>83.865306571325036</v>
      </c>
      <c r="L221" s="14">
        <f t="shared" si="132"/>
        <v>70.314267758245279</v>
      </c>
      <c r="M221" s="14">
        <f t="shared" si="132"/>
        <v>54.075619234501474</v>
      </c>
      <c r="N221" s="187">
        <f t="shared" si="132"/>
        <v>35.00734203119125</v>
      </c>
      <c r="O221" s="14">
        <f t="shared" si="132"/>
        <v>39.944147543422289</v>
      </c>
      <c r="P221" s="14">
        <f t="shared" si="132"/>
        <v>44.762484853330591</v>
      </c>
      <c r="Q221" s="14">
        <f t="shared" si="132"/>
        <v>49.47631830632524</v>
      </c>
      <c r="R221" s="14">
        <f t="shared" si="132"/>
        <v>53.849709677683641</v>
      </c>
      <c r="S221" s="14">
        <f t="shared" si="132"/>
        <v>57.201358755252379</v>
      </c>
      <c r="T221" s="14">
        <f t="shared" si="132"/>
        <v>60.600728796544843</v>
      </c>
      <c r="U221" s="14">
        <f t="shared" si="132"/>
        <v>63.781143344492634</v>
      </c>
      <c r="V221" s="14">
        <f t="shared" si="132"/>
        <v>67.588774024765073</v>
      </c>
      <c r="W221" s="14">
        <f t="shared" si="132"/>
        <v>72.931662720405768</v>
      </c>
      <c r="X221" s="187">
        <f t="shared" si="132"/>
        <v>82.603845859102677</v>
      </c>
      <c r="Y221" s="158">
        <f t="shared" si="132"/>
        <v>75.630977528102491</v>
      </c>
      <c r="Z221" s="158">
        <f t="shared" si="132"/>
        <v>73.404125975579916</v>
      </c>
      <c r="AA221" s="158">
        <f t="shared" si="132"/>
        <v>70.974273623487775</v>
      </c>
      <c r="AB221" s="158">
        <f t="shared" si="132"/>
        <v>68.374010762892823</v>
      </c>
      <c r="AC221" s="158">
        <f t="shared" si="132"/>
        <v>68.171656884350597</v>
      </c>
      <c r="AD221" s="158">
        <f t="shared" si="132"/>
        <v>68.137449267138223</v>
      </c>
      <c r="AE221" s="158">
        <f t="shared" si="132"/>
        <v>68.586827846096057</v>
      </c>
      <c r="AF221" s="158">
        <f t="shared" si="132"/>
        <v>68.029354387459279</v>
      </c>
      <c r="AG221" s="158">
        <f t="shared" si="132"/>
        <v>67.807832128737275</v>
      </c>
      <c r="AH221" s="187">
        <f t="shared" si="132"/>
        <v>84.727710748212843</v>
      </c>
    </row>
    <row r="222" spans="1:34">
      <c r="A222" s="1" t="s">
        <v>426</v>
      </c>
      <c r="C222" s="296">
        <f>SUM(C210,C213,C216,C219)</f>
        <v>3662.7650100000001</v>
      </c>
      <c r="D222" s="296">
        <f t="shared" ref="D222:AH222" si="133">SUM(D210,D213,D216,D219)</f>
        <v>3388.3531898789365</v>
      </c>
      <c r="E222" s="296">
        <f t="shared" si="133"/>
        <v>3959.5243987364024</v>
      </c>
      <c r="F222" s="296">
        <f t="shared" si="133"/>
        <v>3853.9603530659178</v>
      </c>
      <c r="G222" s="296">
        <f t="shared" si="133"/>
        <v>3422.2925373133589</v>
      </c>
      <c r="H222" s="367">
        <f t="shared" si="133"/>
        <v>3418.5903722451944</v>
      </c>
      <c r="I222" s="14">
        <f t="shared" si="133"/>
        <v>3389.3904499688178</v>
      </c>
      <c r="J222" s="14">
        <f t="shared" si="133"/>
        <v>3499.844941201874</v>
      </c>
      <c r="K222" s="14">
        <f t="shared" si="133"/>
        <v>3581.026676389632</v>
      </c>
      <c r="L222" s="14">
        <f t="shared" si="133"/>
        <v>3661.8982341746641</v>
      </c>
      <c r="M222" s="14">
        <f t="shared" si="133"/>
        <v>3728.3268521068808</v>
      </c>
      <c r="N222" s="187">
        <f t="shared" si="133"/>
        <v>3779.8636043124466</v>
      </c>
      <c r="O222" s="14">
        <f t="shared" si="133"/>
        <v>3849.448699654673</v>
      </c>
      <c r="P222" s="14">
        <f t="shared" si="133"/>
        <v>3897.7215266981257</v>
      </c>
      <c r="Q222" s="14">
        <f t="shared" si="133"/>
        <v>3932.6281569170524</v>
      </c>
      <c r="R222" s="14">
        <f t="shared" si="133"/>
        <v>3957.6331919302115</v>
      </c>
      <c r="S222" s="14">
        <f t="shared" si="133"/>
        <v>3989.5868941005028</v>
      </c>
      <c r="T222" s="14">
        <f t="shared" si="133"/>
        <v>4043.605285294042</v>
      </c>
      <c r="U222" s="14">
        <f t="shared" si="133"/>
        <v>4075.5813076253162</v>
      </c>
      <c r="V222" s="14">
        <f t="shared" si="133"/>
        <v>4094.2549700488676</v>
      </c>
      <c r="W222" s="14">
        <f t="shared" si="133"/>
        <v>4141.4308522656847</v>
      </c>
      <c r="X222" s="187">
        <f t="shared" si="133"/>
        <v>4157.4337693435573</v>
      </c>
      <c r="Y222" s="158">
        <f t="shared" si="133"/>
        <v>4199.0422228879415</v>
      </c>
      <c r="Z222" s="158">
        <f t="shared" si="133"/>
        <v>4264.448795383073</v>
      </c>
      <c r="AA222" s="158">
        <f t="shared" si="133"/>
        <v>4304.1614036971714</v>
      </c>
      <c r="AB222" s="158">
        <f t="shared" si="133"/>
        <v>4342.4129310576554</v>
      </c>
      <c r="AC222" s="158">
        <f t="shared" si="133"/>
        <v>4373.5730775054162</v>
      </c>
      <c r="AD222" s="158">
        <f t="shared" si="133"/>
        <v>4410.8089960158959</v>
      </c>
      <c r="AE222" s="158">
        <f t="shared" si="133"/>
        <v>4463.7822783398078</v>
      </c>
      <c r="AF222" s="158">
        <f t="shared" si="133"/>
        <v>4498.8447679746705</v>
      </c>
      <c r="AG222" s="158">
        <f t="shared" si="133"/>
        <v>4557.7027617326603</v>
      </c>
      <c r="AH222" s="187">
        <f t="shared" si="133"/>
        <v>4553.0006454298855</v>
      </c>
    </row>
    <row r="223" spans="1:34" s="1" customFormat="1">
      <c r="A223" s="1" t="s">
        <v>444</v>
      </c>
      <c r="B223" s="13"/>
      <c r="C223" s="293" t="s">
        <v>0</v>
      </c>
      <c r="D223" s="306">
        <f>D210+D213</f>
        <v>378.89909470880389</v>
      </c>
      <c r="E223" s="306">
        <f t="shared" ref="E223:AH223" si="134">E210+E213</f>
        <v>518.98055363382343</v>
      </c>
      <c r="F223" s="306">
        <f t="shared" si="134"/>
        <v>579.02708000869302</v>
      </c>
      <c r="G223" s="306">
        <f t="shared" si="134"/>
        <v>618.80728491026207</v>
      </c>
      <c r="H223" s="370">
        <f>H210+H213</f>
        <v>505.53980218911073</v>
      </c>
      <c r="I223" s="15">
        <f t="shared" si="134"/>
        <v>551.65740381556702</v>
      </c>
      <c r="J223" s="15">
        <f t="shared" si="134"/>
        <v>610.81457487719456</v>
      </c>
      <c r="K223" s="15">
        <f t="shared" si="134"/>
        <v>681.34767643709779</v>
      </c>
      <c r="L223" s="15">
        <f t="shared" si="134"/>
        <v>756.79740204848031</v>
      </c>
      <c r="M223" s="15">
        <f t="shared" si="134"/>
        <v>837.88500028956821</v>
      </c>
      <c r="N223" s="190">
        <f t="shared" si="134"/>
        <v>924.95498004619776</v>
      </c>
      <c r="O223" s="15">
        <f t="shared" si="134"/>
        <v>955.4160264949835</v>
      </c>
      <c r="P223" s="15">
        <f t="shared" si="134"/>
        <v>981.1605041217897</v>
      </c>
      <c r="Q223" s="15">
        <f t="shared" si="134"/>
        <v>1004.0055516542313</v>
      </c>
      <c r="R223" s="15">
        <f t="shared" si="134"/>
        <v>1025.6017364774616</v>
      </c>
      <c r="S223" s="15">
        <f t="shared" si="134"/>
        <v>1053.8095433040071</v>
      </c>
      <c r="T223" s="15">
        <f t="shared" si="134"/>
        <v>1089.5092401939746</v>
      </c>
      <c r="U223" s="15">
        <f t="shared" si="134"/>
        <v>1119.3862499519537</v>
      </c>
      <c r="V223" s="15">
        <f t="shared" si="134"/>
        <v>1142.6561363947221</v>
      </c>
      <c r="W223" s="15">
        <f t="shared" si="134"/>
        <v>1170.2617249955554</v>
      </c>
      <c r="X223" s="190">
        <f t="shared" si="134"/>
        <v>1170.7782165801532</v>
      </c>
      <c r="Y223" s="130">
        <f t="shared" si="134"/>
        <v>1234.6895802572176</v>
      </c>
      <c r="Z223" s="130">
        <f t="shared" si="134"/>
        <v>1289.4324693280175</v>
      </c>
      <c r="AA223" s="130">
        <f t="shared" si="134"/>
        <v>1335.7865732137736</v>
      </c>
      <c r="AB223" s="130">
        <f t="shared" si="134"/>
        <v>1382.4220951096322</v>
      </c>
      <c r="AC223" s="130">
        <f t="shared" si="134"/>
        <v>1417.474068735057</v>
      </c>
      <c r="AD223" s="130">
        <f t="shared" si="134"/>
        <v>1454.4128080996325</v>
      </c>
      <c r="AE223" s="130">
        <f t="shared" si="134"/>
        <v>1495.9835120211326</v>
      </c>
      <c r="AF223" s="130">
        <f t="shared" si="134"/>
        <v>1534.5431347648828</v>
      </c>
      <c r="AG223" s="130">
        <f t="shared" si="134"/>
        <v>1581.6570489576698</v>
      </c>
      <c r="AH223" s="190">
        <f t="shared" si="134"/>
        <v>1539.7885966383246</v>
      </c>
    </row>
    <row r="224" spans="1:34">
      <c r="A224" t="s">
        <v>447</v>
      </c>
      <c r="D224" s="296">
        <f>D210+D213+D216</f>
        <v>3100.2953562081011</v>
      </c>
      <c r="E224" s="296">
        <f t="shared" ref="E224:AH224" si="135">E210+E213+E216</f>
        <v>3656.6579996206292</v>
      </c>
      <c r="F224" s="296">
        <f t="shared" si="135"/>
        <v>3603.1543580981488</v>
      </c>
      <c r="G224" s="296">
        <f t="shared" si="135"/>
        <v>3254.081532326838</v>
      </c>
      <c r="H224" s="367">
        <f t="shared" si="135"/>
        <v>3173.0244073472581</v>
      </c>
      <c r="I224" s="14">
        <f t="shared" si="135"/>
        <v>3173.5414918486167</v>
      </c>
      <c r="J224" s="14">
        <f t="shared" si="135"/>
        <v>3297.3125970864871</v>
      </c>
      <c r="K224" s="14">
        <f t="shared" si="135"/>
        <v>3403.9776958501679</v>
      </c>
      <c r="L224" s="14">
        <f t="shared" si="135"/>
        <v>3513.457002240591</v>
      </c>
      <c r="M224" s="14">
        <f t="shared" si="135"/>
        <v>3614.1672115007109</v>
      </c>
      <c r="N224" s="187">
        <f t="shared" si="135"/>
        <v>3705.9592155799319</v>
      </c>
      <c r="O224" s="14">
        <f t="shared" si="135"/>
        <v>3765.1221659518924</v>
      </c>
      <c r="P224" s="14">
        <f t="shared" si="135"/>
        <v>3803.2229475633167</v>
      </c>
      <c r="Q224" s="14">
        <f t="shared" si="135"/>
        <v>3828.178151603699</v>
      </c>
      <c r="R224" s="14">
        <f t="shared" si="135"/>
        <v>3843.950471499546</v>
      </c>
      <c r="S224" s="14">
        <f t="shared" si="135"/>
        <v>3868.8284700616368</v>
      </c>
      <c r="T224" s="14">
        <f t="shared" si="135"/>
        <v>3915.6704133902249</v>
      </c>
      <c r="U224" s="14">
        <f t="shared" si="135"/>
        <v>3940.9322272313875</v>
      </c>
      <c r="V224" s="14">
        <f t="shared" si="135"/>
        <v>3951.5675582188078</v>
      </c>
      <c r="W224" s="14">
        <f t="shared" si="135"/>
        <v>3987.4640087448279</v>
      </c>
      <c r="X224" s="187">
        <f t="shared" si="135"/>
        <v>3983.0478725298958</v>
      </c>
      <c r="Y224" s="158">
        <f t="shared" si="135"/>
        <v>4039.3768258841692</v>
      </c>
      <c r="Z224" s="158">
        <f t="shared" si="135"/>
        <v>4109.4845294346269</v>
      </c>
      <c r="AA224" s="158">
        <f t="shared" si="135"/>
        <v>4154.3268260475861</v>
      </c>
      <c r="AB224" s="158">
        <f t="shared" si="135"/>
        <v>4198.0677972248814</v>
      </c>
      <c r="AC224" s="158">
        <f t="shared" si="135"/>
        <v>4229.6551351940097</v>
      </c>
      <c r="AD224" s="158">
        <f t="shared" si="135"/>
        <v>4266.9632697852712</v>
      </c>
      <c r="AE224" s="158">
        <f t="shared" si="135"/>
        <v>4318.9878639980498</v>
      </c>
      <c r="AF224" s="158">
        <f t="shared" si="135"/>
        <v>4355.2272420455902</v>
      </c>
      <c r="AG224" s="158">
        <f t="shared" si="135"/>
        <v>4414.5528939053265</v>
      </c>
      <c r="AH224" s="187">
        <f t="shared" si="135"/>
        <v>4374.1310338503254</v>
      </c>
    </row>
    <row r="225" spans="1:34">
      <c r="D225" s="296"/>
      <c r="E225" s="296"/>
      <c r="F225" s="296"/>
      <c r="G225" s="296"/>
      <c r="H225" s="367"/>
      <c r="I225" s="14"/>
      <c r="J225" s="14"/>
      <c r="K225" s="14"/>
      <c r="L225" s="14"/>
      <c r="M225" s="14"/>
      <c r="N225" s="187"/>
      <c r="O225" s="14"/>
      <c r="P225" s="14"/>
      <c r="Q225" s="14"/>
      <c r="R225" s="14"/>
      <c r="S225" s="14"/>
      <c r="T225" s="14"/>
      <c r="U225" s="14"/>
      <c r="V225" s="14"/>
      <c r="W225" s="14"/>
      <c r="X225" s="187"/>
    </row>
    <row r="226" spans="1:34">
      <c r="A226" s="1" t="s">
        <v>454</v>
      </c>
      <c r="D226" s="296">
        <f>D210+D213</f>
        <v>378.89909470880389</v>
      </c>
      <c r="E226" s="296">
        <f>D226+E210+E213</f>
        <v>897.87964834262732</v>
      </c>
      <c r="F226" s="296">
        <f>E226+F210+F213</f>
        <v>1476.9067283513205</v>
      </c>
      <c r="G226" s="296">
        <f>F226+G210+G213</f>
        <v>2095.7140132615823</v>
      </c>
      <c r="H226" s="367">
        <f t="shared" ref="H226:X226" si="136">G226+H210+H213</f>
        <v>2601.2538154506929</v>
      </c>
      <c r="I226" s="14">
        <f t="shared" si="136"/>
        <v>3152.9112192662596</v>
      </c>
      <c r="J226" s="14">
        <f t="shared" si="136"/>
        <v>3763.7257941434541</v>
      </c>
      <c r="K226" s="14">
        <f t="shared" si="136"/>
        <v>4445.0734705805517</v>
      </c>
      <c r="L226" s="14">
        <f t="shared" si="136"/>
        <v>5201.8708726290315</v>
      </c>
      <c r="M226" s="14">
        <f t="shared" si="136"/>
        <v>6039.7558729185994</v>
      </c>
      <c r="N226" s="187">
        <f t="shared" si="136"/>
        <v>6964.7108529647976</v>
      </c>
      <c r="O226" s="14">
        <f t="shared" si="136"/>
        <v>7920.1268794597809</v>
      </c>
      <c r="P226" s="14">
        <f t="shared" si="136"/>
        <v>8901.2873835815699</v>
      </c>
      <c r="Q226" s="14">
        <f t="shared" si="136"/>
        <v>9905.2929352358005</v>
      </c>
      <c r="R226" s="14">
        <f t="shared" si="136"/>
        <v>10930.894671713262</v>
      </c>
      <c r="S226" s="14">
        <f t="shared" si="136"/>
        <v>11984.704215017269</v>
      </c>
      <c r="T226" s="14">
        <f t="shared" si="136"/>
        <v>13074.213455211244</v>
      </c>
      <c r="U226" s="14">
        <f t="shared" si="136"/>
        <v>14193.599705163197</v>
      </c>
      <c r="V226" s="14">
        <f t="shared" si="136"/>
        <v>15336.255841557919</v>
      </c>
      <c r="W226" s="14">
        <f t="shared" si="136"/>
        <v>16506.517566553473</v>
      </c>
      <c r="X226" s="187">
        <f t="shared" si="136"/>
        <v>17677.295783133628</v>
      </c>
      <c r="Y226" s="158">
        <f t="shared" ref="Y226:AH226" si="137">X226+Y210+Y213</f>
        <v>18911.985363390846</v>
      </c>
      <c r="Z226" s="158">
        <f t="shared" si="137"/>
        <v>20201.417832718864</v>
      </c>
      <c r="AA226" s="158">
        <f t="shared" si="137"/>
        <v>21537.204405932636</v>
      </c>
      <c r="AB226" s="158">
        <f t="shared" si="137"/>
        <v>22919.626501042269</v>
      </c>
      <c r="AC226" s="158">
        <f t="shared" si="137"/>
        <v>24337.100569777325</v>
      </c>
      <c r="AD226" s="158">
        <f t="shared" si="137"/>
        <v>25791.51337787696</v>
      </c>
      <c r="AE226" s="158">
        <f t="shared" si="137"/>
        <v>27287.496889898091</v>
      </c>
      <c r="AF226" s="158">
        <f t="shared" si="137"/>
        <v>28822.040024662972</v>
      </c>
      <c r="AG226" s="158">
        <f t="shared" si="137"/>
        <v>30403.697073620642</v>
      </c>
      <c r="AH226" s="187">
        <f t="shared" si="137"/>
        <v>31943.485670258968</v>
      </c>
    </row>
    <row r="227" spans="1:34">
      <c r="A227" s="1" t="s">
        <v>455</v>
      </c>
      <c r="D227" s="296">
        <f>D219</f>
        <v>288.05783367083524</v>
      </c>
      <c r="E227" s="296">
        <f>D227+E219</f>
        <v>590.92423278660863</v>
      </c>
      <c r="F227" s="296">
        <f>E227+F219</f>
        <v>841.73022775437744</v>
      </c>
      <c r="G227" s="296">
        <f t="shared" ref="G227:X227" si="138">F227+G219</f>
        <v>1009.9412327408985</v>
      </c>
      <c r="H227" s="367">
        <f t="shared" si="138"/>
        <v>1255.5071976388347</v>
      </c>
      <c r="I227" s="14">
        <f t="shared" si="138"/>
        <v>1471.3561557590358</v>
      </c>
      <c r="J227" s="14">
        <f t="shared" si="138"/>
        <v>1673.8884998744225</v>
      </c>
      <c r="K227" s="14">
        <f t="shared" si="138"/>
        <v>1850.9374804138865</v>
      </c>
      <c r="L227" s="14">
        <f t="shared" si="138"/>
        <v>1999.3787123479599</v>
      </c>
      <c r="M227" s="14">
        <f t="shared" si="138"/>
        <v>2113.5383529541296</v>
      </c>
      <c r="N227" s="187">
        <f t="shared" si="138"/>
        <v>2187.4427416866442</v>
      </c>
      <c r="O227" s="14">
        <f t="shared" si="138"/>
        <v>2271.7692753894248</v>
      </c>
      <c r="P227" s="14">
        <f t="shared" si="138"/>
        <v>2366.2678545242338</v>
      </c>
      <c r="Q227" s="14">
        <f t="shared" si="138"/>
        <v>2470.7178598375872</v>
      </c>
      <c r="R227" s="14">
        <f t="shared" si="138"/>
        <v>2584.4005802682527</v>
      </c>
      <c r="S227" s="14">
        <f t="shared" si="138"/>
        <v>2705.1590043071187</v>
      </c>
      <c r="T227" s="14">
        <f t="shared" si="138"/>
        <v>2833.0938762109354</v>
      </c>
      <c r="U227" s="14">
        <f t="shared" si="138"/>
        <v>2967.742956604864</v>
      </c>
      <c r="V227" s="14">
        <f t="shared" si="138"/>
        <v>3110.4303684349238</v>
      </c>
      <c r="W227" s="14">
        <f t="shared" si="138"/>
        <v>3264.3972119557802</v>
      </c>
      <c r="X227" s="187">
        <f t="shared" si="138"/>
        <v>3438.7831087694412</v>
      </c>
      <c r="Y227" s="158">
        <f t="shared" ref="Y227:AH227" si="139">X227+Y219</f>
        <v>3598.4485057732131</v>
      </c>
      <c r="Z227" s="158">
        <f t="shared" si="139"/>
        <v>3753.4127717216597</v>
      </c>
      <c r="AA227" s="158">
        <f t="shared" si="139"/>
        <v>3903.247349371245</v>
      </c>
      <c r="AB227" s="158">
        <f t="shared" si="139"/>
        <v>4047.5924832040187</v>
      </c>
      <c r="AC227" s="158">
        <f t="shared" si="139"/>
        <v>4191.5104255154256</v>
      </c>
      <c r="AD227" s="158">
        <f t="shared" si="139"/>
        <v>4335.3561517460512</v>
      </c>
      <c r="AE227" s="158">
        <f t="shared" si="139"/>
        <v>4480.1505660878092</v>
      </c>
      <c r="AF227" s="158">
        <f t="shared" si="139"/>
        <v>4623.7680920168896</v>
      </c>
      <c r="AG227" s="158">
        <f t="shared" si="139"/>
        <v>4766.9179598442242</v>
      </c>
      <c r="AH227" s="187">
        <f t="shared" si="139"/>
        <v>4945.7875714237844</v>
      </c>
    </row>
    <row r="228" spans="1:34">
      <c r="A228" s="1" t="s">
        <v>457</v>
      </c>
      <c r="D228" s="296">
        <f t="shared" ref="D228:AH228" si="140">D227-D207</f>
        <v>-83.335166329164736</v>
      </c>
      <c r="E228" s="296">
        <f t="shared" si="140"/>
        <v>45.473272147174839</v>
      </c>
      <c r="F228" s="296">
        <f t="shared" si="140"/>
        <v>90.597330627810948</v>
      </c>
      <c r="G228" s="296">
        <f t="shared" si="140"/>
        <v>8.7908939608826131</v>
      </c>
      <c r="H228" s="367">
        <f>H227-H207</f>
        <v>8.5756239608826945</v>
      </c>
      <c r="I228" s="14">
        <f t="shared" si="140"/>
        <v>59.457734719556129</v>
      </c>
      <c r="J228" s="14">
        <f t="shared" si="140"/>
        <v>84.946182068697226</v>
      </c>
      <c r="K228" s="14">
        <f t="shared" si="140"/>
        <v>85.542947583114028</v>
      </c>
      <c r="L228" s="14">
        <f t="shared" si="140"/>
        <v>40.680398860655941</v>
      </c>
      <c r="M228" s="14">
        <f t="shared" si="140"/>
        <v>-45.47927089223549</v>
      </c>
      <c r="N228" s="187">
        <f t="shared" si="140"/>
        <v>-179.87495381835288</v>
      </c>
      <c r="O228" s="14">
        <f t="shared" si="140"/>
        <v>-332.2411898329774</v>
      </c>
      <c r="P228" s="14">
        <f t="shared" si="140"/>
        <v>-501.11162128682645</v>
      </c>
      <c r="Q228" s="14">
        <f t="shared" si="140"/>
        <v>-677.83921190922274</v>
      </c>
      <c r="R228" s="14">
        <f t="shared" si="140"/>
        <v>-852.3483459306226</v>
      </c>
      <c r="S228" s="14">
        <f t="shared" si="140"/>
        <v>-1033.8390284530606</v>
      </c>
      <c r="T228" s="14">
        <f t="shared" si="140"/>
        <v>-1227.3764297300827</v>
      </c>
      <c r="U228" s="14">
        <f t="shared" si="140"/>
        <v>-1425.4019364525166</v>
      </c>
      <c r="V228" s="14">
        <f t="shared" si="140"/>
        <v>-1623.2328211434465</v>
      </c>
      <c r="W228" s="14">
        <f t="shared" si="140"/>
        <v>-1826.8619997222977</v>
      </c>
      <c r="X228" s="187">
        <f t="shared" si="140"/>
        <v>-2025.2047061901876</v>
      </c>
      <c r="Y228" s="158">
        <f t="shared" si="140"/>
        <v>-2238.0373069858138</v>
      </c>
      <c r="Z228" s="158">
        <f t="shared" si="140"/>
        <v>-2470.0347863294637</v>
      </c>
      <c r="AA228" s="158">
        <f t="shared" si="140"/>
        <v>-2713.9428672396316</v>
      </c>
      <c r="AB228" s="158">
        <f t="shared" si="140"/>
        <v>-2966.790615397666</v>
      </c>
      <c r="AC228" s="158">
        <f t="shared" si="140"/>
        <v>-3224.5884284644299</v>
      </c>
      <c r="AD228" s="158">
        <f t="shared" si="140"/>
        <v>-3479.9698030990739</v>
      </c>
      <c r="AE228" s="158">
        <f t="shared" si="140"/>
        <v>-3735.5442626745526</v>
      </c>
      <c r="AF228" s="158">
        <f t="shared" si="140"/>
        <v>-3998.4792131096219</v>
      </c>
      <c r="AG228" s="158">
        <f t="shared" si="140"/>
        <v>-4276.5084435834015</v>
      </c>
      <c r="AH228" s="187">
        <f t="shared" si="140"/>
        <v>-4531.8160044775877</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296">
        <f t="shared" ref="C231:AH231" si="141">C210-C191</f>
        <v>0</v>
      </c>
      <c r="D231" s="296">
        <f t="shared" si="141"/>
        <v>0</v>
      </c>
      <c r="E231" s="296">
        <f t="shared" si="141"/>
        <v>0</v>
      </c>
      <c r="F231" s="296">
        <f t="shared" si="141"/>
        <v>0</v>
      </c>
      <c r="G231" s="296">
        <f t="shared" si="141"/>
        <v>0</v>
      </c>
      <c r="H231" s="367">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296">
        <f t="shared" ref="C232:AH232" si="143">C211-C192</f>
        <v>0</v>
      </c>
      <c r="D232" s="296">
        <f t="shared" si="143"/>
        <v>0</v>
      </c>
      <c r="E232" s="296">
        <f t="shared" si="143"/>
        <v>0</v>
      </c>
      <c r="F232" s="296">
        <f t="shared" si="143"/>
        <v>0</v>
      </c>
      <c r="G232" s="296">
        <f t="shared" si="143"/>
        <v>0</v>
      </c>
      <c r="H232" s="367">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296">
        <f t="shared" ref="C233:AH233" si="144">C212-C193</f>
        <v>0</v>
      </c>
      <c r="D233" s="296">
        <f t="shared" si="144"/>
        <v>0</v>
      </c>
      <c r="E233" s="296">
        <f t="shared" si="144"/>
        <v>0</v>
      </c>
      <c r="F233" s="296">
        <f t="shared" si="144"/>
        <v>0</v>
      </c>
      <c r="G233" s="296">
        <f t="shared" si="144"/>
        <v>0</v>
      </c>
      <c r="H233" s="367">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296">
        <f t="shared" ref="C234:AH234" si="145">C213-C194</f>
        <v>-2.7000000000043656E-4</v>
      </c>
      <c r="D234" s="296">
        <f t="shared" si="145"/>
        <v>11.528964708803869</v>
      </c>
      <c r="E234" s="296">
        <f t="shared" si="145"/>
        <v>96.582147083451673</v>
      </c>
      <c r="F234" s="296">
        <f t="shared" si="145"/>
        <v>132.43464468900254</v>
      </c>
      <c r="G234" s="296">
        <f t="shared" si="145"/>
        <v>129.11246206137639</v>
      </c>
      <c r="H234" s="367">
        <f>H213-H194</f>
        <v>-2.7000000000043656E-4</v>
      </c>
      <c r="I234" s="14">
        <f t="shared" si="145"/>
        <v>28.172539876524525</v>
      </c>
      <c r="J234" s="14">
        <f t="shared" si="145"/>
        <v>51.041404001852129</v>
      </c>
      <c r="K234" s="14">
        <f t="shared" si="145"/>
        <v>88.663638600975673</v>
      </c>
      <c r="L234" s="14">
        <f t="shared" si="145"/>
        <v>104.69314809389743</v>
      </c>
      <c r="M234" s="14">
        <f t="shared" si="145"/>
        <v>151.12212676647778</v>
      </c>
      <c r="N234" s="187">
        <f t="shared" si="145"/>
        <v>232.49564264801427</v>
      </c>
      <c r="O234" s="14">
        <f t="shared" si="145"/>
        <v>242.84257384591888</v>
      </c>
      <c r="P234" s="14">
        <f t="shared" si="145"/>
        <v>253.09564678618472</v>
      </c>
      <c r="Q234" s="14">
        <f t="shared" si="145"/>
        <v>261.17726761222582</v>
      </c>
      <c r="R234" s="14">
        <f t="shared" si="145"/>
        <v>261.44323203076544</v>
      </c>
      <c r="S234" s="14">
        <f t="shared" si="145"/>
        <v>276.7553709914614</v>
      </c>
      <c r="T234" s="14">
        <f t="shared" si="145"/>
        <v>280.90768151516181</v>
      </c>
      <c r="U234" s="14">
        <f t="shared" si="145"/>
        <v>293.23801061699942</v>
      </c>
      <c r="V234" s="14">
        <f t="shared" si="145"/>
        <v>308.07904653947992</v>
      </c>
      <c r="W234" s="14">
        <f t="shared" si="145"/>
        <v>327.71326518391356</v>
      </c>
      <c r="X234" s="187">
        <f t="shared" si="145"/>
        <v>317.41286585775822</v>
      </c>
      <c r="Y234" s="158">
        <f t="shared" si="145"/>
        <v>361.78874698021036</v>
      </c>
      <c r="Z234" s="158">
        <f t="shared" si="145"/>
        <v>372.44347785809339</v>
      </c>
      <c r="AA234" s="158">
        <f t="shared" si="145"/>
        <v>393.57627960367108</v>
      </c>
      <c r="AB234" s="158">
        <f t="shared" si="145"/>
        <v>411.28950761341434</v>
      </c>
      <c r="AC234" s="158">
        <f t="shared" si="145"/>
        <v>429.50721360771013</v>
      </c>
      <c r="AD234" s="158">
        <f t="shared" si="145"/>
        <v>426.31241795926485</v>
      </c>
      <c r="AE234" s="158">
        <f t="shared" si="145"/>
        <v>414.24368104630798</v>
      </c>
      <c r="AF234" s="158">
        <f t="shared" si="145"/>
        <v>429.15411853508704</v>
      </c>
      <c r="AG234" s="158">
        <f t="shared" si="145"/>
        <v>454.53619051408623</v>
      </c>
      <c r="AH234" s="187">
        <f t="shared" si="145"/>
        <v>392.72888677198262</v>
      </c>
    </row>
    <row r="235" spans="1:34">
      <c r="A235" t="s">
        <v>418</v>
      </c>
      <c r="C235" s="296">
        <f t="shared" ref="C235:AH235" si="146">C214-C195</f>
        <v>0</v>
      </c>
      <c r="D235" s="296">
        <f t="shared" si="146"/>
        <v>6.0680182677915298</v>
      </c>
      <c r="E235" s="296">
        <f t="shared" si="146"/>
        <v>50.832871988521106</v>
      </c>
      <c r="F235" s="296">
        <f t="shared" si="146"/>
        <v>69.702608370155332</v>
      </c>
      <c r="G235" s="296">
        <f t="shared" si="146"/>
        <v>67.954076223452319</v>
      </c>
      <c r="H235" s="367">
        <f t="shared" si="146"/>
        <v>0</v>
      </c>
      <c r="I235" s="14">
        <f t="shared" si="146"/>
        <v>14.827798130292138</v>
      </c>
      <c r="J235" s="14">
        <f t="shared" si="146"/>
        <v>26.864052282096452</v>
      </c>
      <c r="K235" s="14">
        <f t="shared" si="146"/>
        <v>46.66523711970774</v>
      </c>
      <c r="L235" s="14">
        <f t="shared" si="146"/>
        <v>55.101830125156084</v>
      </c>
      <c r="M235" s="14">
        <f t="shared" si="146"/>
        <v>79.538143281352632</v>
      </c>
      <c r="N235" s="187">
        <f t="shared" si="146"/>
        <v>122.36631752715709</v>
      </c>
      <c r="O235" s="14">
        <f t="shared" si="146"/>
        <v>127.81207704037587</v>
      </c>
      <c r="P235" s="14">
        <f t="shared" si="146"/>
        <v>133.20843650270075</v>
      </c>
      <c r="Q235" s="14">
        <f t="shared" si="146"/>
        <v>137.46192583620712</v>
      </c>
      <c r="R235" s="14">
        <f t="shared" si="146"/>
        <v>137.60191132909767</v>
      </c>
      <c r="S235" s="14">
        <f t="shared" si="146"/>
        <v>145.66093634563214</v>
      </c>
      <c r="T235" s="14">
        <f t="shared" si="146"/>
        <v>147.84636868940743</v>
      </c>
      <c r="U235" s="14">
        <f t="shared" si="146"/>
        <v>154.33602024694449</v>
      </c>
      <c r="V235" s="14">
        <f t="shared" si="146"/>
        <v>162.14709590725977</v>
      </c>
      <c r="W235" s="14">
        <f t="shared" si="146"/>
        <v>172.48090115182708</v>
      </c>
      <c r="X235" s="187">
        <f t="shared" si="146"/>
        <v>167.05964334812984</v>
      </c>
      <c r="Y235" s="158">
        <f t="shared" si="146"/>
        <v>190.4153760177054</v>
      </c>
      <c r="Z235" s="158">
        <f t="shared" si="146"/>
        <v>196.02313708912277</v>
      </c>
      <c r="AA235" s="158">
        <f t="shared" si="146"/>
        <v>207.14567100355282</v>
      </c>
      <c r="AB235" s="158">
        <f t="shared" si="146"/>
        <v>216.46842932435055</v>
      </c>
      <c r="AC235" s="158">
        <f t="shared" si="146"/>
        <v>226.0567025050982</v>
      </c>
      <c r="AD235" s="158">
        <f t="shared" si="146"/>
        <v>224.3752385527082</v>
      </c>
      <c r="AE235" s="158">
        <f t="shared" si="146"/>
        <v>218.02328045144986</v>
      </c>
      <c r="AF235" s="158">
        <f t="shared" si="146"/>
        <v>225.87088675407836</v>
      </c>
      <c r="AG235" s="158">
        <f t="shared" si="146"/>
        <v>239.22988142305792</v>
      </c>
      <c r="AH235" s="187">
        <f t="shared" si="146"/>
        <v>206.6997300832943</v>
      </c>
    </row>
    <row r="236" spans="1:34">
      <c r="A236" t="s">
        <v>419</v>
      </c>
      <c r="C236" s="296">
        <f t="shared" ref="C236:AH236" si="147">C215-C196</f>
        <v>-2.7000000000043656E-4</v>
      </c>
      <c r="D236" s="296">
        <f t="shared" si="147"/>
        <v>5.4609464410123962</v>
      </c>
      <c r="E236" s="296">
        <f t="shared" si="147"/>
        <v>45.749275094930624</v>
      </c>
      <c r="F236" s="296">
        <f t="shared" si="147"/>
        <v>62.732036318847236</v>
      </c>
      <c r="G236" s="296">
        <f t="shared" si="147"/>
        <v>61.158385837924016</v>
      </c>
      <c r="H236" s="367">
        <f>H215-H196</f>
        <v>-2.7000000000043656E-4</v>
      </c>
      <c r="I236" s="14">
        <f t="shared" si="147"/>
        <v>13.344741746232444</v>
      </c>
      <c r="J236" s="14">
        <f t="shared" si="147"/>
        <v>24.177351719755677</v>
      </c>
      <c r="K236" s="14">
        <f t="shared" si="147"/>
        <v>41.99840148126799</v>
      </c>
      <c r="L236" s="14">
        <f t="shared" si="147"/>
        <v>49.591317968741293</v>
      </c>
      <c r="M236" s="14">
        <f t="shared" si="147"/>
        <v>71.583983485125145</v>
      </c>
      <c r="N236" s="187">
        <f t="shared" si="147"/>
        <v>110.12932512085717</v>
      </c>
      <c r="O236" s="14">
        <f t="shared" si="147"/>
        <v>115.03049680554295</v>
      </c>
      <c r="P236" s="14">
        <f t="shared" si="147"/>
        <v>119.88721028348397</v>
      </c>
      <c r="Q236" s="14">
        <f t="shared" si="147"/>
        <v>123.71534177601876</v>
      </c>
      <c r="R236" s="14">
        <f t="shared" si="147"/>
        <v>123.84132070166771</v>
      </c>
      <c r="S236" s="14">
        <f t="shared" si="147"/>
        <v>131.09443464582927</v>
      </c>
      <c r="T236" s="14">
        <f t="shared" si="147"/>
        <v>133.0613128257545</v>
      </c>
      <c r="U236" s="14">
        <f t="shared" si="147"/>
        <v>138.90199037005488</v>
      </c>
      <c r="V236" s="14">
        <f t="shared" si="147"/>
        <v>145.93195063222015</v>
      </c>
      <c r="W236" s="14">
        <f t="shared" si="147"/>
        <v>155.23236403208648</v>
      </c>
      <c r="X236" s="187">
        <f t="shared" si="147"/>
        <v>150.35322250962838</v>
      </c>
      <c r="Y236" s="158">
        <f t="shared" si="147"/>
        <v>171.37337096250496</v>
      </c>
      <c r="Z236" s="158">
        <f t="shared" si="147"/>
        <v>176.42034076897062</v>
      </c>
      <c r="AA236" s="158">
        <f t="shared" si="147"/>
        <v>186.43060860011826</v>
      </c>
      <c r="AB236" s="158">
        <f t="shared" si="147"/>
        <v>194.82107828906362</v>
      </c>
      <c r="AC236" s="158">
        <f t="shared" si="147"/>
        <v>203.45051110261193</v>
      </c>
      <c r="AD236" s="158">
        <f t="shared" si="147"/>
        <v>201.93717940655654</v>
      </c>
      <c r="AE236" s="158">
        <f t="shared" si="147"/>
        <v>196.22040059485812</v>
      </c>
      <c r="AF236" s="158">
        <f t="shared" si="147"/>
        <v>203.28323178100868</v>
      </c>
      <c r="AG236" s="158">
        <f t="shared" si="147"/>
        <v>215.3063090910282</v>
      </c>
      <c r="AH236" s="187">
        <f t="shared" si="147"/>
        <v>186.02915668868843</v>
      </c>
    </row>
    <row r="237" spans="1:34">
      <c r="A237" t="s">
        <v>420</v>
      </c>
      <c r="C237" s="296">
        <f t="shared" ref="C237:AH237" si="148">C216-C197</f>
        <v>0</v>
      </c>
      <c r="D237" s="296">
        <f t="shared" si="148"/>
        <v>112.50911149929789</v>
      </c>
      <c r="E237" s="296">
        <f t="shared" si="148"/>
        <v>-241.0736303364838</v>
      </c>
      <c r="F237" s="296">
        <f t="shared" si="148"/>
        <v>-151.82792303947008</v>
      </c>
      <c r="G237" s="296">
        <f t="shared" si="148"/>
        <v>23.344873703078065</v>
      </c>
      <c r="H237" s="367">
        <f t="shared" si="148"/>
        <v>0</v>
      </c>
      <c r="I237" s="14">
        <f t="shared" si="148"/>
        <v>-89.546110625357414</v>
      </c>
      <c r="J237" s="14">
        <f t="shared" si="148"/>
        <v>-72.814687451103509</v>
      </c>
      <c r="K237" s="14">
        <f t="shared" si="148"/>
        <v>-70.348946974773753</v>
      </c>
      <c r="L237" s="14">
        <f t="shared" si="148"/>
        <v>-24.344635341623416</v>
      </c>
      <c r="M237" s="14">
        <f t="shared" si="148"/>
        <v>-4.7229407518248081</v>
      </c>
      <c r="N237" s="187">
        <f t="shared" si="148"/>
        <v>0</v>
      </c>
      <c r="O237" s="14">
        <f t="shared" si="148"/>
        <v>14.319796785372546</v>
      </c>
      <c r="P237" s="14">
        <f t="shared" si="148"/>
        <v>26.677017199222973</v>
      </c>
      <c r="Q237" s="14">
        <f t="shared" si="148"/>
        <v>28.787486126221211</v>
      </c>
      <c r="R237" s="14">
        <f t="shared" si="148"/>
        <v>22.963621198838155</v>
      </c>
      <c r="S237" s="14">
        <f t="shared" si="148"/>
        <v>19.633812934383513</v>
      </c>
      <c r="T237" s="14">
        <f t="shared" si="148"/>
        <v>30.77639261999775</v>
      </c>
      <c r="U237" s="14">
        <f t="shared" si="148"/>
        <v>26.161196703181304</v>
      </c>
      <c r="V237" s="14">
        <f t="shared" si="148"/>
        <v>13.52664124783314</v>
      </c>
      <c r="W237" s="14">
        <f t="shared" si="148"/>
        <v>4.9326277995301098</v>
      </c>
      <c r="X237" s="187">
        <f t="shared" si="148"/>
        <v>0</v>
      </c>
      <c r="Y237" s="158">
        <f t="shared" si="148"/>
        <v>-11.245794526368172</v>
      </c>
      <c r="Z237" s="158">
        <f t="shared" si="148"/>
        <v>4.1189991253531844</v>
      </c>
      <c r="AA237" s="158">
        <f t="shared" si="148"/>
        <v>2.6071918525567526</v>
      </c>
      <c r="AB237" s="158">
        <f t="shared" si="148"/>
        <v>-0.28735886600679805</v>
      </c>
      <c r="AC237" s="158">
        <f t="shared" si="148"/>
        <v>-9.1423479598456652</v>
      </c>
      <c r="AD237" s="158">
        <f t="shared" si="148"/>
        <v>-8.7738899903301899</v>
      </c>
      <c r="AE237" s="158">
        <f t="shared" si="148"/>
        <v>1.6806459669983269</v>
      </c>
      <c r="AF237" s="158">
        <f t="shared" si="148"/>
        <v>-0.6386406441042709</v>
      </c>
      <c r="AG237" s="158">
        <f t="shared" si="148"/>
        <v>-1.446883855463966</v>
      </c>
      <c r="AH237" s="187">
        <f t="shared" si="148"/>
        <v>0</v>
      </c>
    </row>
    <row r="238" spans="1:34">
      <c r="A238" t="s">
        <v>421</v>
      </c>
      <c r="C238" s="296">
        <f t="shared" ref="C238:AH238" si="149">C217-C198</f>
        <v>0</v>
      </c>
      <c r="D238" s="296">
        <f t="shared" si="149"/>
        <v>59.215321841735658</v>
      </c>
      <c r="E238" s="296">
        <f t="shared" si="149"/>
        <v>-126.8808580718337</v>
      </c>
      <c r="F238" s="296">
        <f t="shared" si="149"/>
        <v>-79.909433178668451</v>
      </c>
      <c r="G238" s="296">
        <f t="shared" si="149"/>
        <v>12.286775633198886</v>
      </c>
      <c r="H238" s="367">
        <f t="shared" si="149"/>
        <v>0</v>
      </c>
      <c r="I238" s="14">
        <f t="shared" si="149"/>
        <v>-47.129531908082981</v>
      </c>
      <c r="J238" s="14">
        <f t="shared" si="149"/>
        <v>-38.32351971110711</v>
      </c>
      <c r="K238" s="14">
        <f t="shared" si="149"/>
        <v>-37.025761565670336</v>
      </c>
      <c r="L238" s="14">
        <f t="shared" si="149"/>
        <v>-12.812965969275638</v>
      </c>
      <c r="M238" s="14">
        <f t="shared" si="149"/>
        <v>-2.4857582904342053</v>
      </c>
      <c r="N238" s="187">
        <f t="shared" si="149"/>
        <v>0</v>
      </c>
      <c r="O238" s="14">
        <f t="shared" si="149"/>
        <v>7.5367351501961366</v>
      </c>
      <c r="P238" s="14">
        <f t="shared" si="149"/>
        <v>14.040535368012343</v>
      </c>
      <c r="Q238" s="14">
        <f t="shared" si="149"/>
        <v>15.151308487484812</v>
      </c>
      <c r="R238" s="14">
        <f t="shared" si="149"/>
        <v>12.086116420441158</v>
      </c>
      <c r="S238" s="14">
        <f t="shared" si="149"/>
        <v>10.333585754938895</v>
      </c>
      <c r="T238" s="14">
        <f t="shared" si="149"/>
        <v>16.198101378945921</v>
      </c>
      <c r="U238" s="14">
        <f t="shared" si="149"/>
        <v>13.769050896411272</v>
      </c>
      <c r="V238" s="14">
        <f t="shared" si="149"/>
        <v>7.1192848672803848</v>
      </c>
      <c r="W238" s="14">
        <f t="shared" si="149"/>
        <v>2.5961198944894477</v>
      </c>
      <c r="X238" s="187">
        <f t="shared" si="149"/>
        <v>0</v>
      </c>
      <c r="Y238" s="158">
        <f t="shared" si="149"/>
        <v>-5.9188392244041097</v>
      </c>
      <c r="Z238" s="158">
        <f t="shared" si="149"/>
        <v>2.1678942765017837</v>
      </c>
      <c r="AA238" s="158">
        <f t="shared" si="149"/>
        <v>1.3722062381878004</v>
      </c>
      <c r="AB238" s="158">
        <f t="shared" si="149"/>
        <v>-0.15124150842484596</v>
      </c>
      <c r="AC238" s="158">
        <f t="shared" si="149"/>
        <v>-4.8117620841292137</v>
      </c>
      <c r="AD238" s="158">
        <f t="shared" si="149"/>
        <v>-4.6178368370158296</v>
      </c>
      <c r="AE238" s="158">
        <f t="shared" si="149"/>
        <v>0.88455050894640408</v>
      </c>
      <c r="AF238" s="158">
        <f t="shared" si="149"/>
        <v>-0.33612665479154202</v>
      </c>
      <c r="AG238" s="158">
        <f t="shared" si="149"/>
        <v>-0.76151781866497004</v>
      </c>
      <c r="AH238" s="187">
        <f t="shared" si="149"/>
        <v>0</v>
      </c>
    </row>
    <row r="239" spans="1:34">
      <c r="A239" t="s">
        <v>422</v>
      </c>
      <c r="C239" s="296">
        <f t="shared" ref="C239:AH239" si="150">C218-C199</f>
        <v>0</v>
      </c>
      <c r="D239" s="296">
        <f t="shared" si="150"/>
        <v>53.293789657562002</v>
      </c>
      <c r="E239" s="296">
        <f t="shared" si="150"/>
        <v>-114.19277226465033</v>
      </c>
      <c r="F239" s="296">
        <f t="shared" si="150"/>
        <v>-71.918489860801628</v>
      </c>
      <c r="G239" s="296">
        <f t="shared" si="150"/>
        <v>11.058098069879179</v>
      </c>
      <c r="H239" s="367">
        <f t="shared" si="150"/>
        <v>0</v>
      </c>
      <c r="I239" s="14">
        <f t="shared" si="150"/>
        <v>-42.41657871727466</v>
      </c>
      <c r="J239" s="14">
        <f t="shared" si="150"/>
        <v>-34.491167739996399</v>
      </c>
      <c r="K239" s="14">
        <f t="shared" si="150"/>
        <v>-33.323185409103417</v>
      </c>
      <c r="L239" s="14">
        <f t="shared" si="150"/>
        <v>-11.531669372348006</v>
      </c>
      <c r="M239" s="14">
        <f t="shared" si="150"/>
        <v>-2.2371824613908302</v>
      </c>
      <c r="N239" s="187">
        <f t="shared" si="150"/>
        <v>0</v>
      </c>
      <c r="O239" s="14">
        <f t="shared" si="150"/>
        <v>6.7830616351766366</v>
      </c>
      <c r="P239" s="14">
        <f t="shared" si="150"/>
        <v>12.636481831211086</v>
      </c>
      <c r="Q239" s="14">
        <f t="shared" si="150"/>
        <v>13.636177638736172</v>
      </c>
      <c r="R239" s="14">
        <f t="shared" si="150"/>
        <v>10.877504778396997</v>
      </c>
      <c r="S239" s="14">
        <f t="shared" si="150"/>
        <v>9.3002271794448461</v>
      </c>
      <c r="T239" s="14">
        <f t="shared" si="150"/>
        <v>14.578291241051375</v>
      </c>
      <c r="U239" s="14">
        <f t="shared" si="150"/>
        <v>12.392145806770031</v>
      </c>
      <c r="V239" s="14">
        <f t="shared" si="150"/>
        <v>6.4073563805523008</v>
      </c>
      <c r="W239" s="14">
        <f t="shared" si="150"/>
        <v>2.3365079050404347</v>
      </c>
      <c r="X239" s="187">
        <f t="shared" si="150"/>
        <v>0</v>
      </c>
      <c r="Y239" s="158">
        <f t="shared" si="150"/>
        <v>-5.3269553019638352</v>
      </c>
      <c r="Z239" s="158">
        <f t="shared" si="150"/>
        <v>1.951104848851628</v>
      </c>
      <c r="AA239" s="158">
        <f t="shared" si="150"/>
        <v>1.2349856143691795</v>
      </c>
      <c r="AB239" s="158">
        <f t="shared" si="150"/>
        <v>-0.13611735758217947</v>
      </c>
      <c r="AC239" s="158">
        <f t="shared" si="150"/>
        <v>-4.3305858757162241</v>
      </c>
      <c r="AD239" s="158">
        <f t="shared" si="150"/>
        <v>-4.1560531533143603</v>
      </c>
      <c r="AE239" s="158">
        <f t="shared" si="150"/>
        <v>0.79609545805169546</v>
      </c>
      <c r="AF239" s="158">
        <f t="shared" si="150"/>
        <v>-0.30251398931250151</v>
      </c>
      <c r="AG239" s="158">
        <f t="shared" si="150"/>
        <v>-0.68536603679854124</v>
      </c>
      <c r="AH239" s="187">
        <f t="shared" si="150"/>
        <v>0</v>
      </c>
    </row>
    <row r="240" spans="1:34">
      <c r="A240" t="s">
        <v>394</v>
      </c>
      <c r="C240" s="296">
        <f>C219-C200</f>
        <v>0.20900000000000318</v>
      </c>
      <c r="D240" s="296">
        <f t="shared" ref="D240:AH240" si="151">D219-D200+D249+D252</f>
        <v>-83.335166329164736</v>
      </c>
      <c r="E240" s="296">
        <f t="shared" si="151"/>
        <v>128.80843847633946</v>
      </c>
      <c r="F240" s="296">
        <f t="shared" si="151"/>
        <v>45.124058480636137</v>
      </c>
      <c r="G240" s="296">
        <f t="shared" si="151"/>
        <v>-81.806436666928363</v>
      </c>
      <c r="H240" s="367">
        <f t="shared" si="151"/>
        <v>-0.21526999999991858</v>
      </c>
      <c r="I240" s="14">
        <f t="shared" si="151"/>
        <v>50.882110758673605</v>
      </c>
      <c r="J240" s="14">
        <f t="shared" si="151"/>
        <v>25.488447349141239</v>
      </c>
      <c r="K240" s="14">
        <f t="shared" si="151"/>
        <v>0.5967655144166315</v>
      </c>
      <c r="L240" s="14">
        <f t="shared" si="151"/>
        <v>-44.862548722458143</v>
      </c>
      <c r="M240" s="14">
        <f t="shared" si="151"/>
        <v>-86.159669752891119</v>
      </c>
      <c r="N240" s="187">
        <f t="shared" si="151"/>
        <v>-134.39568292611736</v>
      </c>
      <c r="O240" s="14">
        <f t="shared" si="151"/>
        <v>-152.36623601462458</v>
      </c>
      <c r="P240" s="14">
        <f t="shared" si="151"/>
        <v>-168.87043145384914</v>
      </c>
      <c r="Q240" s="14">
        <f t="shared" si="151"/>
        <v>-176.7275906223966</v>
      </c>
      <c r="R240" s="14">
        <f t="shared" si="151"/>
        <v>-174.5091340214</v>
      </c>
      <c r="S240" s="14">
        <f t="shared" si="151"/>
        <v>-181.49068252243788</v>
      </c>
      <c r="T240" s="14">
        <f t="shared" si="151"/>
        <v>-193.53740127702173</v>
      </c>
      <c r="U240" s="14">
        <f t="shared" si="151"/>
        <v>-198.02550672243387</v>
      </c>
      <c r="V240" s="14">
        <f t="shared" si="151"/>
        <v>-197.83088469093019</v>
      </c>
      <c r="W240" s="14">
        <f t="shared" si="151"/>
        <v>-203.62917857885077</v>
      </c>
      <c r="X240" s="187">
        <f t="shared" si="151"/>
        <v>-198.34270646789014</v>
      </c>
      <c r="Y240" s="158">
        <f t="shared" si="151"/>
        <v>-212.83260079562589</v>
      </c>
      <c r="Z240" s="158">
        <f t="shared" si="151"/>
        <v>-231.99747934365018</v>
      </c>
      <c r="AA240" s="158">
        <f t="shared" si="151"/>
        <v>-243.90808091016805</v>
      </c>
      <c r="AB240" s="158">
        <f t="shared" si="151"/>
        <v>-252.84774815803445</v>
      </c>
      <c r="AC240" s="158">
        <f t="shared" si="151"/>
        <v>-257.79781306676364</v>
      </c>
      <c r="AD240" s="158">
        <f t="shared" si="151"/>
        <v>-255.38137463464449</v>
      </c>
      <c r="AE240" s="158">
        <f t="shared" si="151"/>
        <v>-255.57445957547844</v>
      </c>
      <c r="AF240" s="158">
        <f t="shared" si="151"/>
        <v>-262.93495043506846</v>
      </c>
      <c r="AG240" s="158">
        <f t="shared" si="151"/>
        <v>-278.02923047377988</v>
      </c>
      <c r="AH240" s="187">
        <f t="shared" si="151"/>
        <v>-255.30756089418577</v>
      </c>
    </row>
    <row r="241" spans="1:34">
      <c r="A241" t="s">
        <v>423</v>
      </c>
      <c r="C241" s="296">
        <f>C220-C201</f>
        <v>0.10999999999998522</v>
      </c>
      <c r="D241" s="296">
        <f t="shared" ref="D241:AH241" si="152">D220-D201+D250+D253</f>
        <v>-43.860613857455149</v>
      </c>
      <c r="E241" s="296">
        <f t="shared" si="152"/>
        <v>67.793914987547055</v>
      </c>
      <c r="F241" s="296">
        <f t="shared" si="152"/>
        <v>23.749504463492713</v>
      </c>
      <c r="G241" s="296">
        <f t="shared" si="152"/>
        <v>-43.056019298383362</v>
      </c>
      <c r="H241" s="367">
        <f t="shared" si="152"/>
        <v>-0.11329999999995266</v>
      </c>
      <c r="I241" s="14">
        <f t="shared" si="152"/>
        <v>26.780058294038753</v>
      </c>
      <c r="J241" s="14">
        <f t="shared" si="152"/>
        <v>13.414972289021705</v>
      </c>
      <c r="K241" s="14">
        <f t="shared" si="152"/>
        <v>0.31408711285087065</v>
      </c>
      <c r="L241" s="14">
        <f t="shared" si="152"/>
        <v>-23.611867748662192</v>
      </c>
      <c r="M241" s="14">
        <f t="shared" si="152"/>
        <v>-45.347194606784797</v>
      </c>
      <c r="N241" s="187">
        <f t="shared" si="152"/>
        <v>-70.734569961114403</v>
      </c>
      <c r="O241" s="14">
        <f t="shared" si="152"/>
        <v>-80.192755797170832</v>
      </c>
      <c r="P241" s="14">
        <f t="shared" si="152"/>
        <v>-88.87917444939427</v>
      </c>
      <c r="Q241" s="14">
        <f t="shared" si="152"/>
        <v>-93.014521380208748</v>
      </c>
      <c r="R241" s="14">
        <f t="shared" si="152"/>
        <v>-91.846912642842099</v>
      </c>
      <c r="S241" s="14">
        <f t="shared" si="152"/>
        <v>-95.521411853914685</v>
      </c>
      <c r="T241" s="14">
        <f t="shared" si="152"/>
        <v>-101.86179014580091</v>
      </c>
      <c r="U241" s="14">
        <f t="shared" si="152"/>
        <v>-104.22395090654415</v>
      </c>
      <c r="V241" s="14">
        <f t="shared" si="152"/>
        <v>-104.12151825838433</v>
      </c>
      <c r="W241" s="14">
        <f t="shared" si="152"/>
        <v>-107.17325188360567</v>
      </c>
      <c r="X241" s="187">
        <f t="shared" si="152"/>
        <v>-104.39089814099479</v>
      </c>
      <c r="Y241" s="158">
        <f t="shared" si="152"/>
        <v>-112.01715831348734</v>
      </c>
      <c r="Z241" s="158">
        <f t="shared" si="152"/>
        <v>-122.10393649665802</v>
      </c>
      <c r="AA241" s="158">
        <f t="shared" si="152"/>
        <v>-128.37267416324636</v>
      </c>
      <c r="AB241" s="158">
        <f t="shared" si="152"/>
        <v>-133.07776218843918</v>
      </c>
      <c r="AC241" s="158">
        <f t="shared" si="152"/>
        <v>-135.68305950882296</v>
      </c>
      <c r="AD241" s="158">
        <f t="shared" si="152"/>
        <v>-134.41124980770763</v>
      </c>
      <c r="AE241" s="158">
        <f t="shared" si="152"/>
        <v>-134.51287346077811</v>
      </c>
      <c r="AF241" s="158">
        <f t="shared" si="152"/>
        <v>-138.38681601845704</v>
      </c>
      <c r="AG241" s="158">
        <f t="shared" si="152"/>
        <v>-146.33117393356835</v>
      </c>
      <c r="AH241" s="187">
        <f t="shared" si="152"/>
        <v>-134.37240047062409</v>
      </c>
    </row>
    <row r="242" spans="1:34">
      <c r="A242" t="s">
        <v>424</v>
      </c>
      <c r="C242" s="296">
        <f>C221-C202</f>
        <v>9.8999999999989541E-2</v>
      </c>
      <c r="D242" s="296">
        <f t="shared" ref="D242:AH242" si="153">D221-D202+D251+D254</f>
        <v>-39.474552471709586</v>
      </c>
      <c r="E242" s="296">
        <f t="shared" si="153"/>
        <v>61.014523488792378</v>
      </c>
      <c r="F242" s="296">
        <f t="shared" si="153"/>
        <v>21.374554017143439</v>
      </c>
      <c r="G242" s="296">
        <f t="shared" si="153"/>
        <v>-38.750417368545016</v>
      </c>
      <c r="H242" s="367">
        <f t="shared" si="153"/>
        <v>-0.10196999999996592</v>
      </c>
      <c r="I242" s="14">
        <f t="shared" si="153"/>
        <v>24.102052464634852</v>
      </c>
      <c r="J242" s="14">
        <f t="shared" si="153"/>
        <v>12.07347506011952</v>
      </c>
      <c r="K242" s="14">
        <f t="shared" si="153"/>
        <v>0.28267840156577506</v>
      </c>
      <c r="L242" s="14">
        <f t="shared" si="153"/>
        <v>-21.250680973795966</v>
      </c>
      <c r="M242" s="14">
        <f t="shared" si="153"/>
        <v>-40.812475146106323</v>
      </c>
      <c r="N242" s="187">
        <f t="shared" si="153"/>
        <v>-63.661112965002964</v>
      </c>
      <c r="O242" s="14">
        <f t="shared" si="153"/>
        <v>-72.173480217453744</v>
      </c>
      <c r="P242" s="14">
        <f t="shared" si="153"/>
        <v>-79.991257004454837</v>
      </c>
      <c r="Q242" s="14">
        <f t="shared" si="153"/>
        <v>-83.713069242187871</v>
      </c>
      <c r="R242" s="14">
        <f t="shared" si="153"/>
        <v>-82.662221378557888</v>
      </c>
      <c r="S242" s="14">
        <f t="shared" si="153"/>
        <v>-85.969270668523194</v>
      </c>
      <c r="T242" s="14">
        <f t="shared" si="153"/>
        <v>-91.675611131220819</v>
      </c>
      <c r="U242" s="14">
        <f t="shared" si="153"/>
        <v>-93.801555815889756</v>
      </c>
      <c r="V242" s="14">
        <f t="shared" si="153"/>
        <v>-93.709366432545878</v>
      </c>
      <c r="W242" s="14">
        <f t="shared" si="153"/>
        <v>-96.455926695245125</v>
      </c>
      <c r="X242" s="187">
        <f t="shared" si="153"/>
        <v>-93.951808326895332</v>
      </c>
      <c r="Y242" s="158">
        <f t="shared" si="153"/>
        <v>-100.81544248213858</v>
      </c>
      <c r="Z242" s="158">
        <f t="shared" si="153"/>
        <v>-109.8935428469922</v>
      </c>
      <c r="AA242" s="158">
        <f t="shared" si="153"/>
        <v>-115.53540674692171</v>
      </c>
      <c r="AB242" s="158">
        <f t="shared" si="153"/>
        <v>-119.76998596959527</v>
      </c>
      <c r="AC242" s="158">
        <f t="shared" si="153"/>
        <v>-122.1147535579407</v>
      </c>
      <c r="AD242" s="158">
        <f t="shared" si="153"/>
        <v>-120.97012482693687</v>
      </c>
      <c r="AE242" s="158">
        <f t="shared" si="153"/>
        <v>-121.06158611470032</v>
      </c>
      <c r="AF242" s="158">
        <f t="shared" si="153"/>
        <v>-124.54813441661136</v>
      </c>
      <c r="AG242" s="158">
        <f t="shared" si="153"/>
        <v>-131.6980565402115</v>
      </c>
      <c r="AH242" s="187">
        <f t="shared" si="153"/>
        <v>-120.93516042356168</v>
      </c>
    </row>
    <row r="243" spans="1:34" s="1" customFormat="1">
      <c r="A243" s="1" t="s">
        <v>405</v>
      </c>
      <c r="B243" s="13"/>
      <c r="C243" s="306">
        <f>C222-C203</f>
        <v>0.20873000000028696</v>
      </c>
      <c r="D243" s="306">
        <f t="shared" ref="D243:AH243" si="154">D222-D203+D249+D252</f>
        <v>40.70290987893668</v>
      </c>
      <c r="E243" s="306">
        <f t="shared" si="154"/>
        <v>-15.683044776692896</v>
      </c>
      <c r="F243" s="306">
        <f t="shared" si="154"/>
        <v>25.730780130168569</v>
      </c>
      <c r="G243" s="306">
        <f t="shared" si="154"/>
        <v>70.65089909752669</v>
      </c>
      <c r="H243" s="370">
        <f t="shared" si="154"/>
        <v>-0.21553999999969164</v>
      </c>
      <c r="I243" s="15">
        <f t="shared" si="154"/>
        <v>-10.491459990159456</v>
      </c>
      <c r="J243" s="15">
        <f t="shared" si="154"/>
        <v>3.7151638998902854</v>
      </c>
      <c r="K243" s="15">
        <f t="shared" si="154"/>
        <v>18.91145714061895</v>
      </c>
      <c r="L243" s="15">
        <f t="shared" si="154"/>
        <v>35.485964029815477</v>
      </c>
      <c r="M243" s="15">
        <f t="shared" si="154"/>
        <v>60.239516261761764</v>
      </c>
      <c r="N243" s="190">
        <f t="shared" si="154"/>
        <v>98.099959721896994</v>
      </c>
      <c r="O243" s="15">
        <f t="shared" si="154"/>
        <v>104.79613461666668</v>
      </c>
      <c r="P243" s="15">
        <f t="shared" si="154"/>
        <v>110.90223253155909</v>
      </c>
      <c r="Q243" s="15">
        <f t="shared" si="154"/>
        <v>113.2371631160504</v>
      </c>
      <c r="R243" s="15">
        <f t="shared" si="154"/>
        <v>109.89771920820385</v>
      </c>
      <c r="S243" s="15">
        <f t="shared" si="154"/>
        <v>114.89850140340695</v>
      </c>
      <c r="T243" s="15">
        <f t="shared" si="154"/>
        <v>118.14667285813812</v>
      </c>
      <c r="U243" s="15">
        <f t="shared" si="154"/>
        <v>121.37370059774639</v>
      </c>
      <c r="V243" s="15">
        <f t="shared" si="154"/>
        <v>123.77480309638304</v>
      </c>
      <c r="W243" s="15">
        <f t="shared" si="154"/>
        <v>129.01671440459268</v>
      </c>
      <c r="X243" s="190">
        <f t="shared" si="154"/>
        <v>119.07015938986842</v>
      </c>
      <c r="Y243" s="130">
        <f t="shared" si="154"/>
        <v>137.7103516582165</v>
      </c>
      <c r="Z243" s="130">
        <f t="shared" si="154"/>
        <v>144.56499763979627</v>
      </c>
      <c r="AA243" s="130">
        <f t="shared" si="154"/>
        <v>152.2753905460595</v>
      </c>
      <c r="AB243" s="130">
        <f t="shared" si="154"/>
        <v>158.15440058937384</v>
      </c>
      <c r="AC243" s="130">
        <f t="shared" si="154"/>
        <v>162.56705258110014</v>
      </c>
      <c r="AD243" s="130">
        <f t="shared" si="154"/>
        <v>162.15715333428943</v>
      </c>
      <c r="AE243" s="130">
        <f t="shared" si="154"/>
        <v>160.34986743782792</v>
      </c>
      <c r="AF243" s="130">
        <f t="shared" si="154"/>
        <v>165.58052745591431</v>
      </c>
      <c r="AG243" s="130">
        <f t="shared" si="154"/>
        <v>175.06007618484182</v>
      </c>
      <c r="AH243" s="190">
        <f t="shared" si="154"/>
        <v>137.42132587779633</v>
      </c>
    </row>
    <row r="244" spans="1:34">
      <c r="A244" t="s">
        <v>445</v>
      </c>
      <c r="C244" s="296"/>
      <c r="D244" s="296">
        <f>D231+D234</f>
        <v>11.528964708803869</v>
      </c>
      <c r="E244" s="296">
        <f t="shared" ref="E244:N244" si="155">E231+E234</f>
        <v>96.582147083451673</v>
      </c>
      <c r="F244" s="296">
        <f t="shared" si="155"/>
        <v>132.43464468900254</v>
      </c>
      <c r="G244" s="296">
        <f t="shared" si="155"/>
        <v>129.11246206137639</v>
      </c>
      <c r="H244" s="367">
        <f t="shared" si="155"/>
        <v>-2.7000000000043656E-4</v>
      </c>
      <c r="I244" s="14">
        <f t="shared" si="155"/>
        <v>28.172539876524525</v>
      </c>
      <c r="J244" s="14">
        <f t="shared" si="155"/>
        <v>51.041404001852129</v>
      </c>
      <c r="K244" s="14">
        <f t="shared" si="155"/>
        <v>88.663638600975673</v>
      </c>
      <c r="L244" s="14">
        <f t="shared" si="155"/>
        <v>104.69314809389743</v>
      </c>
      <c r="M244" s="14">
        <f t="shared" si="155"/>
        <v>151.12212676647778</v>
      </c>
      <c r="N244" s="187">
        <f t="shared" si="155"/>
        <v>232.49564264801427</v>
      </c>
      <c r="O244" s="14">
        <f>O231+O234</f>
        <v>242.84257384591888</v>
      </c>
      <c r="P244" s="14">
        <f t="shared" ref="P244:AH244" si="156">P231+P234</f>
        <v>253.09564678618472</v>
      </c>
      <c r="Q244" s="14">
        <f t="shared" si="156"/>
        <v>261.17726761222582</v>
      </c>
      <c r="R244" s="14">
        <f t="shared" si="156"/>
        <v>261.44323203076544</v>
      </c>
      <c r="S244" s="14">
        <f t="shared" si="156"/>
        <v>276.7553709914614</v>
      </c>
      <c r="T244" s="14">
        <f t="shared" si="156"/>
        <v>280.90768151516181</v>
      </c>
      <c r="U244" s="14">
        <f t="shared" si="156"/>
        <v>293.23801061699942</v>
      </c>
      <c r="V244" s="14">
        <f t="shared" si="156"/>
        <v>308.07904653947992</v>
      </c>
      <c r="W244" s="14">
        <f t="shared" si="156"/>
        <v>327.71326518391356</v>
      </c>
      <c r="X244" s="187">
        <f t="shared" si="156"/>
        <v>317.41286585775822</v>
      </c>
      <c r="Y244" s="158">
        <f t="shared" si="156"/>
        <v>361.78874698021036</v>
      </c>
      <c r="Z244" s="158">
        <f t="shared" si="156"/>
        <v>372.44347785809339</v>
      </c>
      <c r="AA244" s="158">
        <f t="shared" si="156"/>
        <v>393.57627960367108</v>
      </c>
      <c r="AB244" s="158">
        <f t="shared" si="156"/>
        <v>411.28950761341434</v>
      </c>
      <c r="AC244" s="158">
        <f t="shared" si="156"/>
        <v>429.50721360771013</v>
      </c>
      <c r="AD244" s="158">
        <f t="shared" si="156"/>
        <v>426.31241795926485</v>
      </c>
      <c r="AE244" s="158">
        <f t="shared" si="156"/>
        <v>414.24368104630798</v>
      </c>
      <c r="AF244" s="158">
        <f t="shared" si="156"/>
        <v>429.15411853508704</v>
      </c>
      <c r="AG244" s="158">
        <f t="shared" si="156"/>
        <v>454.53619051408623</v>
      </c>
      <c r="AH244" s="187">
        <f t="shared" si="156"/>
        <v>392.72888677198262</v>
      </c>
    </row>
    <row r="245" spans="1:34">
      <c r="A245" t="s">
        <v>446</v>
      </c>
      <c r="D245" s="296">
        <f>D231+D234+D237</f>
        <v>124.03807620810176</v>
      </c>
      <c r="E245" s="296">
        <f t="shared" ref="E245:N245" si="157">E231+E234+E237</f>
        <v>-144.49148325303213</v>
      </c>
      <c r="F245" s="296">
        <f t="shared" si="157"/>
        <v>-19.39327835046754</v>
      </c>
      <c r="G245" s="296">
        <f t="shared" si="157"/>
        <v>152.45733576445446</v>
      </c>
      <c r="H245" s="367">
        <f t="shared" si="157"/>
        <v>-2.7000000000043656E-4</v>
      </c>
      <c r="I245" s="14">
        <f t="shared" si="157"/>
        <v>-61.37357074883289</v>
      </c>
      <c r="J245" s="14">
        <f t="shared" si="157"/>
        <v>-21.77328344925138</v>
      </c>
      <c r="K245" s="14">
        <f t="shared" si="157"/>
        <v>18.31469162620192</v>
      </c>
      <c r="L245" s="14">
        <f t="shared" si="157"/>
        <v>80.348512752274019</v>
      </c>
      <c r="M245" s="14">
        <f t="shared" si="157"/>
        <v>146.39918601465297</v>
      </c>
      <c r="N245" s="187">
        <f t="shared" si="157"/>
        <v>232.49564264801427</v>
      </c>
      <c r="O245" s="14">
        <f>O231+O234+O237</f>
        <v>257.16237063129142</v>
      </c>
      <c r="P245" s="14">
        <f t="shared" ref="P245:AH245" si="158">P231+P234+P237</f>
        <v>279.77266398540769</v>
      </c>
      <c r="Q245" s="14">
        <f t="shared" si="158"/>
        <v>289.96475373844703</v>
      </c>
      <c r="R245" s="14">
        <f t="shared" si="158"/>
        <v>284.4068532296036</v>
      </c>
      <c r="S245" s="14">
        <f t="shared" si="158"/>
        <v>296.38918392584492</v>
      </c>
      <c r="T245" s="14">
        <f t="shared" si="158"/>
        <v>311.68407413515956</v>
      </c>
      <c r="U245" s="14">
        <f t="shared" si="158"/>
        <v>319.39920732018072</v>
      </c>
      <c r="V245" s="14">
        <f t="shared" si="158"/>
        <v>321.60568778731306</v>
      </c>
      <c r="W245" s="14">
        <f t="shared" si="158"/>
        <v>332.64589298344367</v>
      </c>
      <c r="X245" s="187">
        <f t="shared" si="158"/>
        <v>317.41286585775822</v>
      </c>
      <c r="Y245" s="158">
        <f t="shared" si="158"/>
        <v>350.54295245384219</v>
      </c>
      <c r="Z245" s="158">
        <f t="shared" si="158"/>
        <v>376.56247698344657</v>
      </c>
      <c r="AA245" s="158">
        <f t="shared" si="158"/>
        <v>396.18347145622784</v>
      </c>
      <c r="AB245" s="158">
        <f t="shared" si="158"/>
        <v>411.00214874740755</v>
      </c>
      <c r="AC245" s="158">
        <f t="shared" si="158"/>
        <v>420.36486564786446</v>
      </c>
      <c r="AD245" s="158">
        <f t="shared" si="158"/>
        <v>417.53852796893466</v>
      </c>
      <c r="AE245" s="158">
        <f t="shared" si="158"/>
        <v>415.92432701330631</v>
      </c>
      <c r="AF245" s="158">
        <f t="shared" si="158"/>
        <v>428.51547789098277</v>
      </c>
      <c r="AG245" s="158">
        <f t="shared" si="158"/>
        <v>453.08930665862226</v>
      </c>
      <c r="AH245" s="187">
        <f t="shared" si="158"/>
        <v>392.72888677198262</v>
      </c>
    </row>
    <row r="246" spans="1:34" s="1" customFormat="1">
      <c r="A246" s="1" t="s">
        <v>449</v>
      </c>
      <c r="B246" s="13"/>
      <c r="C246" s="293"/>
      <c r="D246" s="306">
        <f>D243</f>
        <v>40.70290987893668</v>
      </c>
      <c r="E246" s="306">
        <f>D246+E243</f>
        <v>25.019865102243784</v>
      </c>
      <c r="F246" s="306">
        <f>E246+F243</f>
        <v>50.750645232412353</v>
      </c>
      <c r="G246" s="306">
        <f>F246+G243</f>
        <v>121.40154432993904</v>
      </c>
      <c r="H246" s="370"/>
      <c r="I246" s="15">
        <f t="shared" ref="I246:X246" si="159">H246+I243</f>
        <v>-10.491459990159456</v>
      </c>
      <c r="J246" s="15">
        <f t="shared" si="159"/>
        <v>-6.7762960902691702</v>
      </c>
      <c r="K246" s="15">
        <f t="shared" si="159"/>
        <v>12.13516105034978</v>
      </c>
      <c r="L246" s="15">
        <f t="shared" si="159"/>
        <v>47.621125080165257</v>
      </c>
      <c r="M246" s="15">
        <f t="shared" si="159"/>
        <v>107.86064134192702</v>
      </c>
      <c r="N246" s="190">
        <f t="shared" si="159"/>
        <v>205.96060106382402</v>
      </c>
      <c r="O246" s="15">
        <f t="shared" si="159"/>
        <v>310.75673568049069</v>
      </c>
      <c r="P246" s="15">
        <f t="shared" si="159"/>
        <v>421.65896821204979</v>
      </c>
      <c r="Q246" s="15">
        <f t="shared" si="159"/>
        <v>534.89613132810018</v>
      </c>
      <c r="R246" s="15">
        <f t="shared" si="159"/>
        <v>644.79385053630403</v>
      </c>
      <c r="S246" s="15">
        <f t="shared" si="159"/>
        <v>759.69235193971099</v>
      </c>
      <c r="T246" s="15">
        <f t="shared" si="159"/>
        <v>877.83902479784911</v>
      </c>
      <c r="U246" s="15">
        <f t="shared" si="159"/>
        <v>999.2127253955955</v>
      </c>
      <c r="V246" s="15">
        <f t="shared" si="159"/>
        <v>1122.9875284919785</v>
      </c>
      <c r="W246" s="15">
        <f t="shared" si="159"/>
        <v>1252.0042428965712</v>
      </c>
      <c r="X246" s="190">
        <f t="shared" si="159"/>
        <v>1371.0744022864396</v>
      </c>
      <c r="Y246" s="130">
        <f t="shared" ref="Y246:AH246" si="160">X246+Y243</f>
        <v>1508.7847539446561</v>
      </c>
      <c r="Z246" s="130">
        <f t="shared" si="160"/>
        <v>1653.3497515844524</v>
      </c>
      <c r="AA246" s="130">
        <f t="shared" si="160"/>
        <v>1805.6251421305119</v>
      </c>
      <c r="AB246" s="130">
        <f t="shared" si="160"/>
        <v>1963.7795427198857</v>
      </c>
      <c r="AC246" s="130">
        <f t="shared" si="160"/>
        <v>2126.3465953009859</v>
      </c>
      <c r="AD246" s="130">
        <f t="shared" si="160"/>
        <v>2288.5037486352753</v>
      </c>
      <c r="AE246" s="130">
        <f t="shared" si="160"/>
        <v>2448.8536160731032</v>
      </c>
      <c r="AF246" s="130">
        <f t="shared" si="160"/>
        <v>2614.4341435290175</v>
      </c>
      <c r="AG246" s="130">
        <f t="shared" si="160"/>
        <v>2789.4942197138594</v>
      </c>
      <c r="AH246" s="190">
        <f t="shared" si="160"/>
        <v>2926.9155455916557</v>
      </c>
    </row>
    <row r="247" spans="1:34">
      <c r="A247" t="s">
        <v>458</v>
      </c>
      <c r="D247" s="308" t="b">
        <f t="shared" ref="D247:AH247" si="161">IF(D185-D246&lt;1,TRUE,FALSE)</f>
        <v>1</v>
      </c>
      <c r="E247" s="308" t="b">
        <f t="shared" si="161"/>
        <v>1</v>
      </c>
      <c r="F247" s="308" t="b">
        <f t="shared" si="161"/>
        <v>1</v>
      </c>
      <c r="G247" s="308" t="b">
        <f t="shared" si="161"/>
        <v>1</v>
      </c>
      <c r="H247" s="373"/>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55" t="b">
        <f t="shared" si="161"/>
        <v>1</v>
      </c>
      <c r="Z247" s="255" t="b">
        <f t="shared" si="161"/>
        <v>1</v>
      </c>
      <c r="AA247" s="255" t="b">
        <f t="shared" si="161"/>
        <v>1</v>
      </c>
      <c r="AB247" s="255" t="b">
        <f t="shared" si="161"/>
        <v>1</v>
      </c>
      <c r="AC247" s="255" t="b">
        <f t="shared" si="161"/>
        <v>1</v>
      </c>
      <c r="AD247" s="255" t="b">
        <f t="shared" si="161"/>
        <v>1</v>
      </c>
      <c r="AE247" s="255" t="b">
        <f t="shared" si="161"/>
        <v>1</v>
      </c>
      <c r="AF247" s="255" t="b">
        <f t="shared" si="161"/>
        <v>1</v>
      </c>
      <c r="AG247" s="255" t="b">
        <f t="shared" si="161"/>
        <v>1</v>
      </c>
      <c r="AH247" s="194" t="b">
        <f t="shared" si="161"/>
        <v>1</v>
      </c>
    </row>
    <row r="248" spans="1:34">
      <c r="A248" t="s">
        <v>439</v>
      </c>
    </row>
    <row r="249" spans="1:34" s="1" customFormat="1">
      <c r="A249" s="1" t="s">
        <v>440</v>
      </c>
      <c r="B249" s="13"/>
      <c r="C249" s="293"/>
      <c r="D249" s="306">
        <f>D$29*(EIA_electricity_aeo2014!F$60) * Inputs!$M$60</f>
        <v>0</v>
      </c>
      <c r="E249" s="306">
        <f>E$29*(EIA_electricity_aeo2014!G$60) * Inputs!$M$60</f>
        <v>0</v>
      </c>
      <c r="F249" s="306">
        <f>F$29*(EIA_electricity_aeo2014!H$60) * Inputs!$M$60</f>
        <v>0</v>
      </c>
      <c r="G249" s="306">
        <f>G$29*(EIA_electricity_aeo2014!I$60) * Inputs!$M$60</f>
        <v>0</v>
      </c>
      <c r="H249" s="370">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296">
        <f>D$29*(EIA_electricity_aeo2014!F$60) * Inputs!$C$60</f>
        <v>0</v>
      </c>
      <c r="E250" s="296">
        <f>E$29*(EIA_electricity_aeo2014!G$60) * Inputs!$C$60</f>
        <v>0</v>
      </c>
      <c r="F250" s="296">
        <f>F$29*(EIA_electricity_aeo2014!H$60) * Inputs!$C$60</f>
        <v>0</v>
      </c>
      <c r="G250" s="296">
        <f>G$29*(EIA_electricity_aeo2014!I$60) * Inputs!$C$60</f>
        <v>0</v>
      </c>
      <c r="H250" s="367">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296">
        <f>D250*Inputs!$H$60</f>
        <v>0</v>
      </c>
      <c r="E251" s="296">
        <f>E250*Inputs!$H$60</f>
        <v>0</v>
      </c>
      <c r="F251" s="296">
        <f>F250*Inputs!$H$60</f>
        <v>0</v>
      </c>
      <c r="G251" s="296">
        <f>G250*Inputs!$H$60</f>
        <v>0</v>
      </c>
      <c r="H251" s="367">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293"/>
      <c r="D252" s="306">
        <f>D$29*(1-EIA_electricity_aeo2014!F$60) * Inputs!$M$61</f>
        <v>0</v>
      </c>
      <c r="E252" s="306">
        <f>E$29*(1-EIA_electricity_aeo2014!G$60) * Inputs!$M$61</f>
        <v>0</v>
      </c>
      <c r="F252" s="306">
        <f>F$29*(1-EIA_electricity_aeo2014!H$60) * Inputs!$M$61</f>
        <v>0</v>
      </c>
      <c r="G252" s="306">
        <f>G$29*(1-EIA_electricity_aeo2014!I$60) * Inputs!$M$61</f>
        <v>0</v>
      </c>
      <c r="H252" s="370">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296">
        <f>D$29*(1-EIA_electricity_aeo2014!F$60) * Inputs!$C$61</f>
        <v>0</v>
      </c>
      <c r="E253" s="296">
        <f>E$29*(1-EIA_electricity_aeo2014!G$60) * Inputs!$C$61</f>
        <v>0</v>
      </c>
      <c r="F253" s="296">
        <f>F$29*(1-EIA_electricity_aeo2014!H$60) * Inputs!$C$61</f>
        <v>0</v>
      </c>
      <c r="G253" s="296">
        <f>G$29*(1-EIA_electricity_aeo2014!I$60) * Inputs!$C$61</f>
        <v>0</v>
      </c>
      <c r="H253" s="367">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296">
        <f>D253*Inputs!$H$61</f>
        <v>0</v>
      </c>
      <c r="E254" s="296">
        <f>E253*Inputs!$H$61</f>
        <v>0</v>
      </c>
      <c r="F254" s="296">
        <f>F253*Inputs!$H$61</f>
        <v>0</v>
      </c>
      <c r="G254" s="296">
        <f>G253*Inputs!$H$61</f>
        <v>0</v>
      </c>
      <c r="H254" s="367">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70" activePane="bottomRight" state="frozen"/>
      <selection pane="topRight" activeCell="C1" sqref="C1"/>
      <selection pane="bottomLeft" activeCell="A3" sqref="A3"/>
      <selection pane="bottomRight" activeCell="E13" sqref="E13"/>
    </sheetView>
  </sheetViews>
  <sheetFormatPr baseColWidth="10" defaultColWidth="8.83203125" defaultRowHeight="14" x14ac:dyDescent="0"/>
  <cols>
    <col min="1" max="1" width="25.6640625" bestFit="1" customWidth="1"/>
    <col min="2" max="2" width="5.6640625" style="2" bestFit="1" customWidth="1"/>
    <col min="3" max="3" width="13.33203125" style="292" bestFit="1" customWidth="1"/>
    <col min="4" max="4" width="12.33203125" style="292" customWidth="1"/>
    <col min="5" max="5" width="14.1640625" style="292" customWidth="1"/>
    <col min="6" max="6" width="11.33203125" style="292" bestFit="1" customWidth="1"/>
    <col min="7" max="7" width="14.33203125" style="292"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292" t="s">
        <v>0</v>
      </c>
      <c r="D1" s="292" t="s">
        <v>0</v>
      </c>
      <c r="E1" s="358" t="s">
        <v>0</v>
      </c>
    </row>
    <row r="2" spans="1:34" s="1" customFormat="1">
      <c r="B2" s="2" t="s">
        <v>127</v>
      </c>
      <c r="C2" s="293">
        <v>2009</v>
      </c>
      <c r="D2" s="293">
        <v>2010</v>
      </c>
      <c r="E2" s="293">
        <v>2011</v>
      </c>
      <c r="F2" s="293">
        <v>2012</v>
      </c>
      <c r="G2" s="293">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293"/>
      <c r="D3" s="293"/>
      <c r="E3" s="293"/>
      <c r="F3" s="293"/>
      <c r="G3" s="293"/>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294">
        <f>EIA_electricity_aeo2014!E58 * 1000</f>
        <v>13101</v>
      </c>
      <c r="D4" s="294">
        <f>EIA_electricity_aeo2014!F58 * 1000</f>
        <v>12024</v>
      </c>
      <c r="E4" s="294">
        <f>EIA_electricity_aeo2014!G58 * 1000</f>
        <v>13903.274253498137</v>
      </c>
      <c r="F4" s="294">
        <f>EIA_electricity_aeo2014!H58 * 1000</f>
        <v>13438.911276718041</v>
      </c>
      <c r="G4" s="294">
        <f>EIA_electricity_aeo2014!I58 * 1000</f>
        <v>11744.883278045552</v>
      </c>
      <c r="H4" s="21">
        <f>EIA_electricity_aeo2014!J58 * 1000</f>
        <v>11958.757155446177</v>
      </c>
      <c r="I4" s="21">
        <f>EIA_electricity_aeo2014!K58 * 1000</f>
        <v>11782.847604645973</v>
      </c>
      <c r="J4" s="21">
        <f>EIA_electricity_aeo2014!L58 * 1000</f>
        <v>12102.595081972249</v>
      </c>
      <c r="K4" s="21">
        <f>EIA_electricity_aeo2014!M58 * 1000</f>
        <v>12295.278833481403</v>
      </c>
      <c r="L4" s="21">
        <f>EIA_electricity_aeo2014!N58 * 1000</f>
        <v>12479.387003411352</v>
      </c>
      <c r="M4" s="21">
        <f>EIA_electricity_aeo2014!O58 * 1000</f>
        <v>12599.017382082711</v>
      </c>
      <c r="N4" s="353">
        <f>EIA_electricity_aeo2014!P58 * 1000</f>
        <v>12651.449208457914</v>
      </c>
      <c r="O4" s="21">
        <f>EIA_electricity_aeo2014!Q58 * 1000</f>
        <v>12886.720797832817</v>
      </c>
      <c r="P4" s="21">
        <f>EIA_electricity_aeo2014!R58 * 1000</f>
        <v>13050.290250110103</v>
      </c>
      <c r="Q4" s="21">
        <f>EIA_electricity_aeo2014!S58 * 1000</f>
        <v>13168.807322734081</v>
      </c>
      <c r="R4" s="21">
        <f>EIA_electricity_aeo2014!T58 * 1000</f>
        <v>13252.008754666987</v>
      </c>
      <c r="S4" s="21">
        <f>EIA_electricity_aeo2014!U58 * 1000</f>
        <v>13348.445879787785</v>
      </c>
      <c r="T4" s="21">
        <f>EIA_electricity_aeo2014!V58 * 1000</f>
        <v>13515.741022699947</v>
      </c>
      <c r="U4" s="21">
        <f>EIA_electricity_aeo2014!W58 * 1000</f>
        <v>13609.911459837846</v>
      </c>
      <c r="V4" s="21">
        <f>EIA_electricity_aeo2014!X58 * 1000</f>
        <v>13666.700440710694</v>
      </c>
      <c r="W4" s="21">
        <f>EIA_electricity_aeo2014!Y58 * 1000</f>
        <v>13827.189627008502</v>
      </c>
      <c r="X4" s="353">
        <f>EIA_electricity_aeo2014!Z58 * 1000</f>
        <v>13925.04073497243</v>
      </c>
      <c r="Y4" s="21">
        <f>EIA_electricity_aeo2014!AA58 * 1000</f>
        <v>13981.29871026814</v>
      </c>
      <c r="Z4" s="21">
        <f>EIA_electricity_aeo2014!AB58 * 1000</f>
        <v>14153.491109881094</v>
      </c>
      <c r="AA4" s="21">
        <f>EIA_electricity_aeo2014!AC58 * 1000</f>
        <v>14242.759878857158</v>
      </c>
      <c r="AB4" s="21">
        <f>EIA_electricity_aeo2014!AD58 * 1000</f>
        <v>14326.224007670422</v>
      </c>
      <c r="AC4" s="21">
        <f>EIA_electricity_aeo2014!AE58 * 1000</f>
        <v>14407.926182531322</v>
      </c>
      <c r="AD4" s="21">
        <f>EIA_electricity_aeo2014!AF58 * 1000</f>
        <v>14510.551230752915</v>
      </c>
      <c r="AE4" s="21">
        <f>EIA_electricity_aeo2014!AG58 * 1000</f>
        <v>14667.015528298496</v>
      </c>
      <c r="AF4" s="21">
        <f>EIA_electricity_aeo2014!AH58 * 1000</f>
        <v>14758.859400381898</v>
      </c>
      <c r="AG4" s="21">
        <f>EIA_electricity_aeo2014!AI58 * 1000</f>
        <v>14928.594470431211</v>
      </c>
      <c r="AH4" s="21">
        <f>EIA_electricity_aeo2014!AJ58 * 1000</f>
        <v>15043.633506789303</v>
      </c>
    </row>
    <row r="5" spans="1:34">
      <c r="A5" s="9" t="s">
        <v>61</v>
      </c>
      <c r="B5" s="34">
        <v>0</v>
      </c>
      <c r="C5" s="295">
        <v>0</v>
      </c>
      <c r="D5" s="295"/>
      <c r="E5" s="295"/>
      <c r="F5" s="295"/>
      <c r="G5" s="295"/>
      <c r="H5" s="3"/>
      <c r="I5" s="3"/>
      <c r="J5" s="3"/>
      <c r="K5" s="3"/>
      <c r="L5" s="3"/>
      <c r="M5" s="3"/>
      <c r="N5" s="353"/>
      <c r="O5" s="3"/>
      <c r="P5" s="3"/>
      <c r="Q5" s="3"/>
      <c r="R5" s="3"/>
      <c r="S5" s="3"/>
      <c r="T5" s="3"/>
      <c r="U5" s="3"/>
      <c r="V5" s="3"/>
      <c r="W5" s="3"/>
      <c r="X5" s="184"/>
    </row>
    <row r="6" spans="1:34">
      <c r="A6" s="9" t="s">
        <v>60</v>
      </c>
      <c r="B6" s="34">
        <v>0</v>
      </c>
      <c r="C6" s="295">
        <v>0</v>
      </c>
      <c r="D6" s="295"/>
      <c r="E6" s="359" t="s">
        <v>0</v>
      </c>
      <c r="F6" s="295"/>
      <c r="G6" s="295"/>
      <c r="H6" s="3"/>
      <c r="I6" s="3"/>
      <c r="J6" s="3"/>
      <c r="K6" s="3"/>
      <c r="L6" s="3"/>
      <c r="M6" s="3"/>
      <c r="N6" s="353"/>
      <c r="O6" s="3"/>
      <c r="P6" s="3"/>
      <c r="Q6" s="3"/>
      <c r="R6" s="3"/>
      <c r="S6" s="3"/>
      <c r="T6" s="3"/>
      <c r="U6" s="3"/>
      <c r="V6" s="3"/>
      <c r="W6" s="3"/>
      <c r="X6" s="184"/>
    </row>
    <row r="7" spans="1:34">
      <c r="A7" s="9" t="s">
        <v>49</v>
      </c>
      <c r="B7" s="34">
        <v>0</v>
      </c>
      <c r="C7" s="295">
        <f>EIA_RE_aeo2014!E73*1000-C15</f>
        <v>10433.99</v>
      </c>
      <c r="D7" s="295">
        <f>EIA_RE_aeo2014!F73*1000-D15</f>
        <v>9153.99</v>
      </c>
      <c r="E7" s="295">
        <f>EIA_RE_aeo2014!G73*1000-E15</f>
        <v>11855.266934467683</v>
      </c>
      <c r="F7" s="295">
        <f>EIA_RE_aeo2014!H73*1000-F15</f>
        <v>11143.702460101495</v>
      </c>
      <c r="G7" s="295">
        <f>EIA_RE_aeo2014!I73*1000-G15</f>
        <v>9164.6644691701676</v>
      </c>
      <c r="H7" s="174">
        <f>EIA_RE_aeo2014!J73*1000-H15</f>
        <v>9359.5951058180617</v>
      </c>
      <c r="I7" s="174">
        <f>EIA_RE_aeo2014!K73*1000-I15</f>
        <v>9513.790170731254</v>
      </c>
      <c r="J7" s="174">
        <f>EIA_RE_aeo2014!L73*1000-J15</f>
        <v>9681.7989812645483</v>
      </c>
      <c r="K7" s="174">
        <f>EIA_RE_aeo2014!M73*1000-K15</f>
        <v>9799.9261978520826</v>
      </c>
      <c r="L7" s="174">
        <f>EIA_RE_aeo2014!N73*1000-L15</f>
        <v>9757.90959836398</v>
      </c>
      <c r="M7" s="174">
        <f>EIA_RE_aeo2014!O73*1000-M15</f>
        <v>9757.9128139051481</v>
      </c>
      <c r="N7" s="184">
        <f>EIA_RE_aeo2014!P73*1000-N15</f>
        <v>9757.90959836398</v>
      </c>
      <c r="O7" s="174">
        <f>EIA_RE_aeo2014!Q73*1000-O15</f>
        <v>9808.37313218083</v>
      </c>
      <c r="P7" s="174">
        <f>EIA_RE_aeo2014!R73*1000-P15</f>
        <v>9808.3699166396618</v>
      </c>
      <c r="Q7" s="174">
        <f>EIA_RE_aeo2014!S73*1000-Q15</f>
        <v>9808.3688204324426</v>
      </c>
      <c r="R7" s="174">
        <f>EIA_RE_aeo2014!T73*1000-R15</f>
        <v>9808.3688204324426</v>
      </c>
      <c r="S7" s="83">
        <f>EIA_RE_aeo2014!U73*1000-S15</f>
        <v>9808.3688204324426</v>
      </c>
      <c r="T7" s="83">
        <f>EIA_RE_aeo2014!V73*1000-T15</f>
        <v>9808.3676511447466</v>
      </c>
      <c r="U7" s="83">
        <f>EIA_RE_aeo2014!W73*1000-U15</f>
        <v>9808.3676511447466</v>
      </c>
      <c r="V7" s="83">
        <f>EIA_RE_aeo2014!X73*1000-V15</f>
        <v>9808.3676511447466</v>
      </c>
      <c r="W7" s="83">
        <f>EIA_RE_aeo2014!Y73*1000-W15</f>
        <v>9867.612827893834</v>
      </c>
      <c r="X7" s="184">
        <f>EIA_RE_aeo2014!Z73*1000-X15</f>
        <v>9867.612827893834</v>
      </c>
      <c r="Y7" s="174">
        <f>EIA_RE_aeo2014!AA73*1000-Y15</f>
        <v>9880.4668075555073</v>
      </c>
      <c r="Z7" s="174">
        <f>EIA_RE_aeo2014!AB73*1000-Z15</f>
        <v>9880.4668806359859</v>
      </c>
      <c r="AA7" s="174">
        <f>EIA_RE_aeo2014!AC73*1000-AA15</f>
        <v>9880.4668806359859</v>
      </c>
      <c r="AB7" s="174">
        <f>EIA_RE_aeo2014!AD73*1000-AB15</f>
        <v>9880.4668806359859</v>
      </c>
      <c r="AC7" s="174">
        <f>EIA_RE_aeo2014!AE73*1000-AC15</f>
        <v>9899.3804014694688</v>
      </c>
      <c r="AD7" s="174">
        <f>EIA_RE_aeo2014!AF73*1000-AD15</f>
        <v>9899.3836900911192</v>
      </c>
      <c r="AE7" s="174">
        <f>EIA_RE_aeo2014!AG73*1000-AE15</f>
        <v>9899.3814245962058</v>
      </c>
      <c r="AF7" s="174">
        <f>EIA_RE_aeo2014!AH73*1000-AF15</f>
        <v>9899.3780628940749</v>
      </c>
      <c r="AG7" s="174">
        <f>EIA_RE_aeo2014!AI73*1000-AG15</f>
        <v>9945.0622063267383</v>
      </c>
      <c r="AH7" s="174">
        <f>EIA_RE_aeo2014!AJ73*1000-AH15</f>
        <v>9945.0611832000031</v>
      </c>
    </row>
    <row r="8" spans="1:34">
      <c r="A8" s="9" t="s">
        <v>59</v>
      </c>
      <c r="B8" s="34">
        <v>0</v>
      </c>
      <c r="C8" s="295">
        <f>EIA_electricity_aeo2014!E52*1000</f>
        <v>0</v>
      </c>
      <c r="D8" s="295">
        <f>EIA_electricity_aeo2014!F52*1000</f>
        <v>0</v>
      </c>
      <c r="E8" s="295">
        <f>EIA_electricity_aeo2014!G52*1000</f>
        <v>0</v>
      </c>
      <c r="F8" s="295">
        <f>EIA_electricity_aeo2014!H52*1000</f>
        <v>0</v>
      </c>
      <c r="G8" s="295">
        <f>EIA_electricity_aeo2014!I52*1000</f>
        <v>0</v>
      </c>
      <c r="H8" s="3">
        <f>EIA_electricity_aeo2014!J52*1000</f>
        <v>0</v>
      </c>
      <c r="I8" s="3">
        <f>EIA_electricity_aeo2014!K52*1000</f>
        <v>0</v>
      </c>
      <c r="J8" s="3">
        <f>EIA_electricity_aeo2014!L52*1000</f>
        <v>0</v>
      </c>
      <c r="K8" s="3">
        <f>EIA_electricity_aeo2014!M52*1000</f>
        <v>0</v>
      </c>
      <c r="L8" s="3">
        <f>EIA_electricity_aeo2014!N52*1000</f>
        <v>0</v>
      </c>
      <c r="M8" s="3">
        <f>EIA_electricity_aeo2014!O52*1000</f>
        <v>0</v>
      </c>
      <c r="N8" s="353">
        <f>EIA_electricity_aeo2014!P52*1000</f>
        <v>0</v>
      </c>
      <c r="O8" s="3">
        <f>EIA_electricity_aeo2014!Q52*1000</f>
        <v>0</v>
      </c>
      <c r="P8" s="3">
        <f>EIA_electricity_aeo2014!R52*1000</f>
        <v>0</v>
      </c>
      <c r="Q8" s="3">
        <f>EIA_electricity_aeo2014!S52*1000</f>
        <v>0</v>
      </c>
      <c r="R8" s="3">
        <f>EIA_electricity_aeo2014!T52*1000</f>
        <v>0</v>
      </c>
      <c r="S8" s="3">
        <f>EIA_electricity_aeo2014!U52*1000</f>
        <v>0</v>
      </c>
      <c r="T8" s="3">
        <f>EIA_electricity_aeo2014!V52*1000</f>
        <v>0</v>
      </c>
      <c r="U8" s="3">
        <f>EIA_electricity_aeo2014!W52*1000</f>
        <v>0</v>
      </c>
      <c r="V8" s="3">
        <f>EIA_electricity_aeo2014!X52*1000</f>
        <v>0</v>
      </c>
      <c r="W8" s="3">
        <f>EIA_electricity_aeo2014!Y52*1000</f>
        <v>0</v>
      </c>
      <c r="X8" s="184">
        <f>EIA_electricity_aeo2014!Z52*1000</f>
        <v>0</v>
      </c>
      <c r="Y8" s="174">
        <f>EIA_electricity_aeo2014!AA52*1000</f>
        <v>0</v>
      </c>
      <c r="Z8" s="174">
        <f>EIA_electricity_aeo2014!AB52*1000</f>
        <v>0</v>
      </c>
      <c r="AA8" s="174">
        <f>EIA_electricity_aeo2014!AC52*1000</f>
        <v>0</v>
      </c>
      <c r="AB8" s="174">
        <f>EIA_electricity_aeo2014!AD52*1000</f>
        <v>0</v>
      </c>
      <c r="AC8" s="174">
        <f>EIA_electricity_aeo2014!AE52*1000</f>
        <v>0</v>
      </c>
      <c r="AD8" s="174">
        <f>EIA_electricity_aeo2014!AF52*1000</f>
        <v>0</v>
      </c>
      <c r="AE8" s="174">
        <f>EIA_electricity_aeo2014!AG52*1000</f>
        <v>0</v>
      </c>
      <c r="AF8" s="174">
        <f>EIA_electricity_aeo2014!AH52*1000</f>
        <v>0</v>
      </c>
      <c r="AG8" s="174">
        <f>EIA_electricity_aeo2014!AI52*1000</f>
        <v>0</v>
      </c>
      <c r="AH8" s="174">
        <f>EIA_electricity_aeo2014!AJ52*1000</f>
        <v>0</v>
      </c>
    </row>
    <row r="9" spans="1:34">
      <c r="A9" s="9"/>
      <c r="B9" s="34"/>
      <c r="C9" s="295"/>
      <c r="D9" s="295"/>
      <c r="E9" s="295"/>
      <c r="F9" s="295"/>
      <c r="G9" s="295"/>
      <c r="H9" s="118"/>
      <c r="I9" s="118"/>
      <c r="J9" s="118"/>
      <c r="K9" s="118"/>
      <c r="L9" s="118"/>
      <c r="M9" s="118"/>
      <c r="N9" s="353"/>
      <c r="O9" s="118"/>
      <c r="P9" s="118"/>
      <c r="Q9" s="118"/>
      <c r="R9" s="118"/>
      <c r="S9" s="118"/>
      <c r="T9" s="118"/>
      <c r="U9" s="118"/>
      <c r="V9" s="118"/>
      <c r="W9" s="118"/>
      <c r="X9" s="184"/>
    </row>
    <row r="10" spans="1:34" s="20" customFormat="1">
      <c r="A10" s="9" t="s">
        <v>125</v>
      </c>
      <c r="B10" s="35">
        <v>1</v>
      </c>
      <c r="C10" s="295">
        <f>EIA_RE_aeo2014!E76*1000</f>
        <v>478</v>
      </c>
      <c r="D10" s="295">
        <f>EIA_RE_aeo2014!F76*1000</f>
        <v>478</v>
      </c>
      <c r="E10" s="295">
        <f>EIA_RE_aeo2014!G76*1000</f>
        <v>481.58804352697291</v>
      </c>
      <c r="F10" s="295">
        <f>EIA_RE_aeo2014!H76*1000</f>
        <v>466.19398939493965</v>
      </c>
      <c r="G10" s="295">
        <f>EIA_RE_aeo2014!I76*1000</f>
        <v>458.19024967543845</v>
      </c>
      <c r="H10" s="83">
        <f>EIA_RE_aeo2014!J76*1000</f>
        <v>489.64170031485315</v>
      </c>
      <c r="I10" s="174">
        <f>EIA_RE_aeo2014!K76*1000</f>
        <v>485.39338803973493</v>
      </c>
      <c r="J10" s="174">
        <f>EIA_RE_aeo2014!L76*1000</f>
        <v>525.80901976986956</v>
      </c>
      <c r="K10" s="174">
        <f>EIA_RE_aeo2014!M76*1000</f>
        <v>575.53788231331555</v>
      </c>
      <c r="L10" s="174">
        <f>EIA_RE_aeo2014!N76*1000</f>
        <v>703.24644956637076</v>
      </c>
      <c r="M10" s="174">
        <f>EIA_RE_aeo2014!O76*1000</f>
        <v>784.62550663259231</v>
      </c>
      <c r="N10" s="184">
        <f>EIA_RE_aeo2014!P76*1000</f>
        <v>798.51003164123733</v>
      </c>
      <c r="O10" s="174">
        <f>EIA_RE_aeo2014!Q76*1000</f>
        <v>837.77757079865398</v>
      </c>
      <c r="P10" s="174">
        <f>EIA_RE_aeo2014!R76*1000</f>
        <v>857.42234062020896</v>
      </c>
      <c r="Q10" s="174">
        <f>EIA_RE_aeo2014!S76*1000</f>
        <v>871.52280316910105</v>
      </c>
      <c r="R10" s="174">
        <f>EIA_RE_aeo2014!T76*1000</f>
        <v>900.6836150040109</v>
      </c>
      <c r="S10" s="83">
        <f>EIA_RE_aeo2014!U76*1000</f>
        <v>911.82787783667777</v>
      </c>
      <c r="T10" s="83">
        <f>EIA_RE_aeo2014!V76*1000</f>
        <v>964.1123094030994</v>
      </c>
      <c r="U10" s="83">
        <f>EIA_RE_aeo2014!W76*1000</f>
        <v>983.90017482067424</v>
      </c>
      <c r="V10" s="83">
        <f>EIA_RE_aeo2014!X76*1000</f>
        <v>991.99080721476105</v>
      </c>
      <c r="W10" s="83">
        <f>EIA_RE_aeo2014!Y76*1000</f>
        <v>1008.8766421792035</v>
      </c>
      <c r="X10" s="184">
        <f>EIA_RE_aeo2014!Z76*1000</f>
        <v>1023.1605037348805</v>
      </c>
      <c r="Y10" s="174">
        <f>EIA_RE_aeo2014!AA76*1000</f>
        <v>1040.941518125587</v>
      </c>
      <c r="Z10" s="174">
        <f>EIA_RE_aeo2014!AB76*1000</f>
        <v>1101.8569805708066</v>
      </c>
      <c r="AA10" s="174">
        <f>EIA_RE_aeo2014!AC76*1000</f>
        <v>1121.8687332839629</v>
      </c>
      <c r="AB10" s="174">
        <f>EIA_RE_aeo2014!AD76*1000</f>
        <v>1147.3502874232756</v>
      </c>
      <c r="AC10" s="174">
        <f>EIA_RE_aeo2014!AE76*1000</f>
        <v>1174.6342174871336</v>
      </c>
      <c r="AD10" s="174">
        <f>EIA_RE_aeo2014!AF76*1000</f>
        <v>1199.6467360617144</v>
      </c>
      <c r="AE10" s="174">
        <f>EIA_RE_aeo2014!AG76*1000</f>
        <v>1251.0200886912032</v>
      </c>
      <c r="AF10" s="174">
        <f>EIA_RE_aeo2014!AH76*1000</f>
        <v>1277.6761729616717</v>
      </c>
      <c r="AG10" s="174">
        <f>EIA_RE_aeo2014!AI76*1000</f>
        <v>1311.3505970462327</v>
      </c>
      <c r="AH10" s="174">
        <f>EIA_RE_aeo2014!AJ76*1000</f>
        <v>1346.8288760795874</v>
      </c>
    </row>
    <row r="11" spans="1:34" s="20" customFormat="1">
      <c r="A11" s="9" t="s">
        <v>50</v>
      </c>
      <c r="B11" s="35">
        <v>1</v>
      </c>
      <c r="C11" s="295">
        <f>EIA_RE_aeo2014!E74*1000</f>
        <v>76</v>
      </c>
      <c r="D11" s="295">
        <f>EIA_RE_aeo2014!F74*1000</f>
        <v>72</v>
      </c>
      <c r="E11" s="295">
        <f>EIA_RE_aeo2014!G74*1000</f>
        <v>46.077932200948077</v>
      </c>
      <c r="F11" s="295">
        <f>EIA_RE_aeo2014!H74*1000</f>
        <v>47.917276475090333</v>
      </c>
      <c r="G11" s="295">
        <f>EIA_RE_aeo2014!I74*1000</f>
        <v>56.917683216542152</v>
      </c>
      <c r="H11" s="83">
        <f>EIA_RE_aeo2014!J74*1000</f>
        <v>62.087820576450682</v>
      </c>
      <c r="I11" s="83">
        <f>EIA_RE_aeo2014!K74*1000</f>
        <v>62.087820576450682</v>
      </c>
      <c r="J11" s="83">
        <f>EIA_RE_aeo2014!L74*1000</f>
        <v>80.944070634851556</v>
      </c>
      <c r="K11" s="83">
        <f>EIA_RE_aeo2014!M74*1000</f>
        <v>108.36777409017537</v>
      </c>
      <c r="L11" s="83">
        <f>EIA_RE_aeo2014!N74*1000</f>
        <v>126.31576537853955</v>
      </c>
      <c r="M11" s="83">
        <f>EIA_RE_aeo2014!O74*1000</f>
        <v>130.84088243164535</v>
      </c>
      <c r="N11" s="353">
        <f>EIA_RE_aeo2014!P74*1000</f>
        <v>131.12624018884273</v>
      </c>
      <c r="O11" s="83">
        <f>EIA_RE_aeo2014!Q74*1000</f>
        <v>140.54564012340938</v>
      </c>
      <c r="P11" s="83">
        <f>EIA_RE_aeo2014!R74*1000</f>
        <v>156.50367313918329</v>
      </c>
      <c r="Q11" s="83">
        <f>EIA_RE_aeo2014!S74*1000</f>
        <v>175.82954552091164</v>
      </c>
      <c r="R11" s="83">
        <f>EIA_RE_aeo2014!T74*1000</f>
        <v>196.19000189417133</v>
      </c>
      <c r="S11" s="83">
        <f>EIA_RE_aeo2014!U74*1000</f>
        <v>213.46144462836699</v>
      </c>
      <c r="T11" s="83">
        <f>EIA_RE_aeo2014!V74*1000</f>
        <v>234.91522610324628</v>
      </c>
      <c r="U11" s="83">
        <f>EIA_RE_aeo2014!W74*1000</f>
        <v>254.29172761518726</v>
      </c>
      <c r="V11" s="83">
        <f>EIA_RE_aeo2014!X74*1000</f>
        <v>264.79676513556115</v>
      </c>
      <c r="W11" s="83">
        <f>EIA_RE_aeo2014!Y74*1000</f>
        <v>267.2902085311926</v>
      </c>
      <c r="X11" s="184">
        <f>EIA_RE_aeo2014!Z74*1000</f>
        <v>277.2745465526263</v>
      </c>
      <c r="Y11" s="174">
        <f>EIA_RE_aeo2014!AA74*1000</f>
        <v>302.44943940077957</v>
      </c>
      <c r="Z11" s="174">
        <f>EIA_RE_aeo2014!AB74*1000</f>
        <v>343.21763272767907</v>
      </c>
      <c r="AA11" s="174">
        <f>EIA_RE_aeo2014!AC74*1000</f>
        <v>378.44211315632441</v>
      </c>
      <c r="AB11" s="174">
        <f>EIA_RE_aeo2014!AD74*1000</f>
        <v>413.72870682622732</v>
      </c>
      <c r="AC11" s="174">
        <f>EIA_RE_aeo2014!AE74*1000</f>
        <v>423.40365770821552</v>
      </c>
      <c r="AD11" s="174">
        <f>EIA_RE_aeo2014!AF74*1000</f>
        <v>431.69596406679625</v>
      </c>
      <c r="AE11" s="174">
        <f>EIA_RE_aeo2014!AG74*1000</f>
        <v>438.03715061457541</v>
      </c>
      <c r="AF11" s="174">
        <f>EIA_RE_aeo2014!AH74*1000</f>
        <v>448.03528371806516</v>
      </c>
      <c r="AG11" s="174">
        <f>EIA_RE_aeo2014!AI74*1000</f>
        <v>459.30735138209315</v>
      </c>
      <c r="AH11" s="174">
        <f>EIA_RE_aeo2014!AJ74*1000</f>
        <v>460.67957295461383</v>
      </c>
    </row>
    <row r="12" spans="1:34" s="20" customFormat="1">
      <c r="A12" s="9" t="s">
        <v>51</v>
      </c>
      <c r="B12" s="35">
        <v>1</v>
      </c>
      <c r="C12" s="295">
        <f>EIA_RE_aeo2014!E75*1000</f>
        <v>0</v>
      </c>
      <c r="D12" s="295">
        <f>EIA_RE_aeo2014!F75*1000</f>
        <v>0</v>
      </c>
      <c r="E12" s="295">
        <f>EIA_RE_aeo2014!G75*1000</f>
        <v>0.62751400000000002</v>
      </c>
      <c r="F12" s="295">
        <f>EIA_RE_aeo2014!H75*1000</f>
        <v>0.73646300000000009</v>
      </c>
      <c r="G12" s="295">
        <f>EIA_RE_aeo2014!I75*1000</f>
        <v>0.87872300000000014</v>
      </c>
      <c r="H12" s="83">
        <f>EIA_RE_aeo2014!J75*1000</f>
        <v>0.78539499999999995</v>
      </c>
      <c r="I12" s="174">
        <f>EIA_RE_aeo2014!K75*1000</f>
        <v>0.87771600000000005</v>
      </c>
      <c r="J12" s="174">
        <f>EIA_RE_aeo2014!L75*1000</f>
        <v>0.78533600000000003</v>
      </c>
      <c r="K12" s="174">
        <f>EIA_RE_aeo2014!M75*1000</f>
        <v>0.87237700000000007</v>
      </c>
      <c r="L12" s="174">
        <f>EIA_RE_aeo2014!N75*1000</f>
        <v>0.68582600000000005</v>
      </c>
      <c r="M12" s="174">
        <f>EIA_RE_aeo2014!O75*1000</f>
        <v>0.88579399999999997</v>
      </c>
      <c r="N12" s="184">
        <f>EIA_RE_aeo2014!P75*1000</f>
        <v>0.97640300000000002</v>
      </c>
      <c r="O12" s="174">
        <f>EIA_RE_aeo2014!Q75*1000</f>
        <v>0.88587199999999999</v>
      </c>
      <c r="P12" s="174">
        <f>EIA_RE_aeo2014!R75*1000</f>
        <v>0.78643700000000005</v>
      </c>
      <c r="Q12" s="174">
        <f>EIA_RE_aeo2014!S75*1000</f>
        <v>0.87707999999999997</v>
      </c>
      <c r="R12" s="174">
        <f>EIA_RE_aeo2014!T75*1000</f>
        <v>0.97947099999999998</v>
      </c>
      <c r="S12" s="83">
        <f>EIA_RE_aeo2014!U75*1000</f>
        <v>0.78452100000000002</v>
      </c>
      <c r="T12" s="83">
        <f>EIA_RE_aeo2014!V75*1000</f>
        <v>0.87380000000000002</v>
      </c>
      <c r="U12" s="83">
        <f>EIA_RE_aeo2014!W75*1000</f>
        <v>0.87334900000000004</v>
      </c>
      <c r="V12" s="83">
        <f>EIA_RE_aeo2014!X75*1000</f>
        <v>0.88547699999999996</v>
      </c>
      <c r="W12" s="83">
        <f>EIA_RE_aeo2014!Y75*1000</f>
        <v>0.77254599999999995</v>
      </c>
      <c r="X12" s="184">
        <f>EIA_RE_aeo2014!Z75*1000</f>
        <v>0.77651499999999996</v>
      </c>
      <c r="Y12" s="174">
        <f>EIA_RE_aeo2014!AA75*1000</f>
        <v>0.87795400000000001</v>
      </c>
      <c r="Z12" s="174">
        <f>EIA_RE_aeo2014!AB75*1000</f>
        <v>0.77105699999999999</v>
      </c>
      <c r="AA12" s="174">
        <f>EIA_RE_aeo2014!AC75*1000</f>
        <v>0.87198399999999998</v>
      </c>
      <c r="AB12" s="174">
        <f>EIA_RE_aeo2014!AD75*1000</f>
        <v>0.87318600000000013</v>
      </c>
      <c r="AC12" s="174">
        <f>EIA_RE_aeo2014!AE75*1000</f>
        <v>0.769343</v>
      </c>
      <c r="AD12" s="174">
        <f>EIA_RE_aeo2014!AF75*1000</f>
        <v>0.87090699999999999</v>
      </c>
      <c r="AE12" s="174">
        <f>EIA_RE_aeo2014!AG75*1000</f>
        <v>0.76851599999999998</v>
      </c>
      <c r="AF12" s="174">
        <f>EIA_RE_aeo2014!AH75*1000</f>
        <v>0.76966100000000004</v>
      </c>
      <c r="AG12" s="174">
        <f>EIA_RE_aeo2014!AI75*1000</f>
        <v>0.76929400000000003</v>
      </c>
      <c r="AH12" s="174">
        <f>EIA_RE_aeo2014!AJ75*1000</f>
        <v>0.78509700000000004</v>
      </c>
    </row>
    <row r="13" spans="1:34">
      <c r="A13" s="9" t="s">
        <v>347</v>
      </c>
      <c r="B13" s="34">
        <v>1</v>
      </c>
      <c r="C13" s="295">
        <f>(EIA_RE_aeo2014!E34+EIA_RE_aeo2014!E54)*1000</f>
        <v>0</v>
      </c>
      <c r="D13" s="295">
        <f>(EIA_RE_aeo2014!F34+EIA_RE_aeo2014!F54)*1000</f>
        <v>0</v>
      </c>
      <c r="E13" s="295">
        <f>(EIA_RE_aeo2014!G34+EIA_RE_aeo2014!G54)*1000</f>
        <v>0.02</v>
      </c>
      <c r="F13" s="295">
        <f>(EIA_RE_aeo2014!H34+EIA_RE_aeo2014!H54)*1000</f>
        <v>0.02</v>
      </c>
      <c r="G13" s="295">
        <f>(EIA_RE_aeo2014!I34+EIA_RE_aeo2014!I54)*1000</f>
        <v>0.02</v>
      </c>
      <c r="H13" s="83">
        <f>(EIA_RE_aeo2014!J34+EIA_RE_aeo2014!J54)*1000</f>
        <v>0.02</v>
      </c>
      <c r="I13" s="83">
        <f>(EIA_RE_aeo2014!K34+EIA_RE_aeo2014!K54)*1000</f>
        <v>0.02</v>
      </c>
      <c r="J13" s="83">
        <f>(EIA_RE_aeo2014!L34+EIA_RE_aeo2014!L54)*1000</f>
        <v>0.02</v>
      </c>
      <c r="K13" s="83">
        <f>(EIA_RE_aeo2014!M34+EIA_RE_aeo2014!M54)*1000</f>
        <v>0.02</v>
      </c>
      <c r="L13" s="83">
        <f>(EIA_RE_aeo2014!N34+EIA_RE_aeo2014!N54)*1000</f>
        <v>0.02</v>
      </c>
      <c r="M13" s="83">
        <f>(EIA_RE_aeo2014!O34+EIA_RE_aeo2014!O54)*1000</f>
        <v>0.02</v>
      </c>
      <c r="N13" s="353">
        <f>(EIA_RE_aeo2014!P34+EIA_RE_aeo2014!P54)*1000</f>
        <v>0.02</v>
      </c>
      <c r="O13" s="83">
        <f>(EIA_RE_aeo2014!Q34+EIA_RE_aeo2014!Q54)*1000</f>
        <v>0.02</v>
      </c>
      <c r="P13" s="83">
        <f>(EIA_RE_aeo2014!R34+EIA_RE_aeo2014!R54)*1000</f>
        <v>0.02</v>
      </c>
      <c r="Q13" s="83">
        <f>(EIA_RE_aeo2014!S34+EIA_RE_aeo2014!S54)*1000</f>
        <v>0.02</v>
      </c>
      <c r="R13" s="83">
        <f>(EIA_RE_aeo2014!T34+EIA_RE_aeo2014!T54)*1000</f>
        <v>0.02</v>
      </c>
      <c r="S13" s="83">
        <f>(EIA_RE_aeo2014!U34+EIA_RE_aeo2014!U54)*1000</f>
        <v>0.02</v>
      </c>
      <c r="T13" s="83">
        <f>(EIA_RE_aeo2014!V34+EIA_RE_aeo2014!V54)*1000</f>
        <v>0.02</v>
      </c>
      <c r="U13" s="83">
        <f>(EIA_RE_aeo2014!W34+EIA_RE_aeo2014!W54)*1000</f>
        <v>0.02</v>
      </c>
      <c r="V13" s="83">
        <f>(EIA_RE_aeo2014!X34+EIA_RE_aeo2014!X54)*1000</f>
        <v>0.02</v>
      </c>
      <c r="W13" s="83">
        <f>(EIA_RE_aeo2014!Y34+EIA_RE_aeo2014!Y54)*1000</f>
        <v>0.02</v>
      </c>
      <c r="X13" s="184">
        <f>(EIA_RE_aeo2014!Z34+EIA_RE_aeo2014!Z54)*1000</f>
        <v>0.02</v>
      </c>
      <c r="Y13" s="174">
        <f>(EIA_RE_aeo2014!AA34+EIA_RE_aeo2014!AA54)*1000</f>
        <v>0.02</v>
      </c>
      <c r="Z13" s="174">
        <f>(EIA_RE_aeo2014!AB34+EIA_RE_aeo2014!AB54)*1000</f>
        <v>0.02</v>
      </c>
      <c r="AA13" s="174">
        <f>(EIA_RE_aeo2014!AC34+EIA_RE_aeo2014!AC54)*1000</f>
        <v>0.02</v>
      </c>
      <c r="AB13" s="174">
        <f>(EIA_RE_aeo2014!AD34+EIA_RE_aeo2014!AD54)*1000</f>
        <v>0.02</v>
      </c>
      <c r="AC13" s="174">
        <f>(EIA_RE_aeo2014!AE34+EIA_RE_aeo2014!AE54)*1000</f>
        <v>0.02</v>
      </c>
      <c r="AD13" s="174">
        <f>(EIA_RE_aeo2014!AF34+EIA_RE_aeo2014!AF54)*1000</f>
        <v>0.02</v>
      </c>
      <c r="AE13" s="174">
        <f>(EIA_RE_aeo2014!AG34+EIA_RE_aeo2014!AG54)*1000</f>
        <v>0.02</v>
      </c>
      <c r="AF13" s="174">
        <f>(EIA_RE_aeo2014!AH34+EIA_RE_aeo2014!AH54)*1000</f>
        <v>0.02</v>
      </c>
      <c r="AG13" s="174">
        <f>(EIA_RE_aeo2014!AI34+EIA_RE_aeo2014!AI54)*1000</f>
        <v>0.02</v>
      </c>
      <c r="AH13" s="174">
        <f>EIA_RE_aeo2014!AJ77*1000</f>
        <v>0</v>
      </c>
    </row>
    <row r="14" spans="1:34">
      <c r="A14" s="9" t="s">
        <v>348</v>
      </c>
      <c r="B14" s="34">
        <v>1</v>
      </c>
      <c r="C14" s="295">
        <f>EIA_RE_aeo2014!E33*1000</f>
        <v>0</v>
      </c>
      <c r="D14" s="295">
        <f>EIA_RE_aeo2014!F33*1000</f>
        <v>0</v>
      </c>
      <c r="E14" s="295">
        <f>EIA_RE_aeo2014!G33*1000</f>
        <v>0.01</v>
      </c>
      <c r="F14" s="295">
        <f>EIA_RE_aeo2014!H33*1000</f>
        <v>0.01</v>
      </c>
      <c r="G14" s="295">
        <f>EIA_RE_aeo2014!I33*1000</f>
        <v>0.01</v>
      </c>
      <c r="H14" s="83">
        <f>EIA_RE_aeo2014!J33*1000</f>
        <v>0.01</v>
      </c>
      <c r="I14" s="83">
        <f>EIA_RE_aeo2014!K33*1000</f>
        <v>0.01</v>
      </c>
      <c r="J14" s="83">
        <f>EIA_RE_aeo2014!L33*1000</f>
        <v>0.01</v>
      </c>
      <c r="K14" s="83">
        <f>EIA_RE_aeo2014!M33*1000</f>
        <v>0.01</v>
      </c>
      <c r="L14" s="83">
        <f>EIA_RE_aeo2014!N33*1000</f>
        <v>0.01</v>
      </c>
      <c r="M14" s="83">
        <f>EIA_RE_aeo2014!O33*1000</f>
        <v>0.01</v>
      </c>
      <c r="N14" s="353">
        <f>EIA_RE_aeo2014!P33*1000</f>
        <v>0.01</v>
      </c>
      <c r="O14" s="83">
        <f>EIA_RE_aeo2014!Q33*1000</f>
        <v>0.01</v>
      </c>
      <c r="P14" s="83">
        <f>EIA_RE_aeo2014!R33*1000</f>
        <v>0.01</v>
      </c>
      <c r="Q14" s="83">
        <f>EIA_RE_aeo2014!S33*1000</f>
        <v>0.01</v>
      </c>
      <c r="R14" s="83">
        <f>EIA_RE_aeo2014!T33*1000</f>
        <v>0.01</v>
      </c>
      <c r="S14" s="83">
        <f>EIA_RE_aeo2014!U33*1000</f>
        <v>0.01</v>
      </c>
      <c r="T14" s="83">
        <f>EIA_RE_aeo2014!V33*1000</f>
        <v>0.01</v>
      </c>
      <c r="U14" s="83">
        <f>EIA_RE_aeo2014!W33*1000</f>
        <v>0.01</v>
      </c>
      <c r="V14" s="83">
        <f>EIA_RE_aeo2014!X33*1000</f>
        <v>0.01</v>
      </c>
      <c r="W14" s="83">
        <f>EIA_RE_aeo2014!Y33*1000</f>
        <v>0.01</v>
      </c>
      <c r="X14" s="184">
        <f>EIA_RE_aeo2014!Z33*1000</f>
        <v>0.01</v>
      </c>
      <c r="Y14" s="174">
        <f>EIA_RE_aeo2014!AA33*1000</f>
        <v>0.01</v>
      </c>
      <c r="Z14" s="174">
        <f>EIA_RE_aeo2014!AB33*1000</f>
        <v>0.01</v>
      </c>
      <c r="AA14" s="174">
        <f>EIA_RE_aeo2014!AC33*1000</f>
        <v>0.01</v>
      </c>
      <c r="AB14" s="174">
        <f>EIA_RE_aeo2014!AD33*1000</f>
        <v>0.01</v>
      </c>
      <c r="AC14" s="174">
        <f>EIA_RE_aeo2014!AE33*1000</f>
        <v>0.01</v>
      </c>
      <c r="AD14" s="174">
        <f>EIA_RE_aeo2014!AF33*1000</f>
        <v>0.01</v>
      </c>
      <c r="AE14" s="174">
        <f>EIA_RE_aeo2014!AG33*1000</f>
        <v>0.01</v>
      </c>
      <c r="AF14" s="174">
        <f>EIA_RE_aeo2014!AH33*1000</f>
        <v>0.01</v>
      </c>
      <c r="AG14" s="174">
        <f>EIA_RE_aeo2014!AI33*1000</f>
        <v>0.01</v>
      </c>
      <c r="AH14" s="174">
        <f>EIA_RE_aeo2014!AJ33*1000</f>
        <v>0.01</v>
      </c>
    </row>
    <row r="15" spans="1:34" s="422" customFormat="1">
      <c r="A15" s="419" t="s">
        <v>713</v>
      </c>
      <c r="B15" s="420">
        <v>1</v>
      </c>
      <c r="C15" s="421">
        <v>0.01</v>
      </c>
      <c r="D15" s="421">
        <v>0.01</v>
      </c>
      <c r="E15" s="421">
        <v>0.01</v>
      </c>
      <c r="F15" s="421">
        <v>0.01</v>
      </c>
      <c r="G15" s="421">
        <v>0.01</v>
      </c>
      <c r="H15" s="421">
        <v>0.01</v>
      </c>
      <c r="I15" s="421">
        <v>0.01</v>
      </c>
      <c r="J15" s="421">
        <v>0.01</v>
      </c>
      <c r="K15" s="421">
        <v>0.01</v>
      </c>
      <c r="L15" s="421">
        <v>0.01</v>
      </c>
      <c r="M15" s="421">
        <v>0.01</v>
      </c>
      <c r="N15" s="421">
        <v>0.01</v>
      </c>
      <c r="O15" s="421">
        <v>0.01</v>
      </c>
      <c r="P15" s="421">
        <v>0.01</v>
      </c>
      <c r="Q15" s="421">
        <v>0.01</v>
      </c>
      <c r="R15" s="421">
        <v>0.01</v>
      </c>
      <c r="S15" s="421">
        <v>0.01</v>
      </c>
      <c r="T15" s="421">
        <v>0.01</v>
      </c>
      <c r="U15" s="421">
        <v>0.01</v>
      </c>
      <c r="V15" s="421">
        <v>0.01</v>
      </c>
      <c r="W15" s="421">
        <v>0.01</v>
      </c>
      <c r="X15" s="421">
        <v>0.01</v>
      </c>
      <c r="Y15" s="421">
        <v>0.01</v>
      </c>
      <c r="Z15" s="421">
        <v>0.01</v>
      </c>
      <c r="AA15" s="421">
        <v>0.01</v>
      </c>
      <c r="AB15" s="421">
        <v>0.01</v>
      </c>
      <c r="AC15" s="421">
        <v>0.01</v>
      </c>
      <c r="AD15" s="421">
        <v>0.01</v>
      </c>
      <c r="AE15" s="421">
        <v>0.01</v>
      </c>
      <c r="AF15" s="421">
        <v>0.01</v>
      </c>
      <c r="AG15" s="421">
        <v>0.01</v>
      </c>
      <c r="AH15" s="421">
        <v>0.01</v>
      </c>
    </row>
    <row r="16" spans="1:34">
      <c r="A16" s="9" t="s">
        <v>53</v>
      </c>
      <c r="B16" s="34">
        <v>1</v>
      </c>
      <c r="C16" s="295">
        <f>EIA_RE_aeo2014!E78*1000</f>
        <v>313</v>
      </c>
      <c r="D16" s="295">
        <f>EIA_RE_aeo2014!F78*1000</f>
        <v>441</v>
      </c>
      <c r="E16" s="295">
        <f>EIA_RE_aeo2014!G78*1000</f>
        <v>644.39442073578698</v>
      </c>
      <c r="F16" s="295">
        <f>EIA_RE_aeo2014!H78*1000</f>
        <v>735.51366956793083</v>
      </c>
      <c r="G16" s="295">
        <f>EIA_RE_aeo2014!I78*1000</f>
        <v>865.48315060535026</v>
      </c>
      <c r="H16" s="3">
        <f>EIA_RE_aeo2014!J78*1000</f>
        <v>868.16706320331355</v>
      </c>
      <c r="I16" s="3">
        <f>EIA_RE_aeo2014!K78*1000</f>
        <v>928.89014946555449</v>
      </c>
      <c r="J16" s="3">
        <f>EIA_RE_aeo2014!L78*1000</f>
        <v>963.66438908857572</v>
      </c>
      <c r="K16" s="3">
        <f>EIA_RE_aeo2014!M78*1000</f>
        <v>963.72007014017299</v>
      </c>
      <c r="L16" s="3">
        <f>EIA_RE_aeo2014!N78*1000</f>
        <v>963.69644462165547</v>
      </c>
      <c r="M16" s="3">
        <f>EIA_RE_aeo2014!O78*1000</f>
        <v>963.64057563979725</v>
      </c>
      <c r="N16" s="353">
        <f>EIA_RE_aeo2014!P78*1000</f>
        <v>963.62562176046276</v>
      </c>
      <c r="O16" s="3">
        <f>EIA_RE_aeo2014!Q78*1000</f>
        <v>963.61928582595124</v>
      </c>
      <c r="P16" s="3">
        <f>EIA_RE_aeo2014!R78*1000</f>
        <v>963.93326359761454</v>
      </c>
      <c r="Q16" s="3">
        <f>EIA_RE_aeo2014!S78*1000</f>
        <v>963.72186890124203</v>
      </c>
      <c r="R16" s="3">
        <f>EIA_RE_aeo2014!T78*1000</f>
        <v>963.70533103827972</v>
      </c>
      <c r="S16" s="3">
        <f>EIA_RE_aeo2014!U78*1000</f>
        <v>964.63639124531551</v>
      </c>
      <c r="T16" s="3">
        <f>EIA_RE_aeo2014!V78*1000</f>
        <v>966.09121308957913</v>
      </c>
      <c r="U16" s="3">
        <f>EIA_RE_aeo2014!W78*1000</f>
        <v>967.47701083371896</v>
      </c>
      <c r="V16" s="3">
        <f>EIA_RE_aeo2014!X78*1000</f>
        <v>968.118926910715</v>
      </c>
      <c r="W16" s="3">
        <f>EIA_RE_aeo2014!Y78*1000</f>
        <v>968.37193473629475</v>
      </c>
      <c r="X16" s="184">
        <f>EIA_RE_aeo2014!Z78*1000</f>
        <v>969.52963883801897</v>
      </c>
      <c r="Y16" s="174">
        <f>EIA_RE_aeo2014!AA78*1000</f>
        <v>970.93482024621551</v>
      </c>
      <c r="Z16" s="174">
        <f>EIA_RE_aeo2014!AB78*1000</f>
        <v>972.3232490140083</v>
      </c>
      <c r="AA16" s="174">
        <f>EIA_RE_aeo2014!AC78*1000</f>
        <v>973.79761560540931</v>
      </c>
      <c r="AB16" s="174">
        <f>EIA_RE_aeo2014!AD78*1000</f>
        <v>979.96999709558168</v>
      </c>
      <c r="AC16" s="174">
        <f>EIA_RE_aeo2014!AE78*1000</f>
        <v>984.24855165194469</v>
      </c>
      <c r="AD16" s="174">
        <f>EIA_RE_aeo2014!AF78*1000</f>
        <v>1065.3189815015953</v>
      </c>
      <c r="AE16" s="174">
        <f>EIA_RE_aeo2014!AG78*1000</f>
        <v>1158.6892321520465</v>
      </c>
      <c r="AF16" s="174">
        <f>EIA_RE_aeo2014!AH78*1000</f>
        <v>1184.2742726532749</v>
      </c>
      <c r="AG16" s="174">
        <f>EIA_RE_aeo2014!AI78*1000</f>
        <v>1193.3814536397595</v>
      </c>
      <c r="AH16" s="174">
        <f>EIA_RE_aeo2014!AJ78*1000</f>
        <v>1209.34655886113</v>
      </c>
    </row>
    <row r="17" spans="1:34">
      <c r="A17" s="11" t="s">
        <v>327</v>
      </c>
      <c r="B17" s="36"/>
      <c r="C17" s="295">
        <f t="shared" ref="C17:AH17" si="0">SUM(C7:C16)</f>
        <v>11301</v>
      </c>
      <c r="D17" s="295">
        <f t="shared" si="0"/>
        <v>10145</v>
      </c>
      <c r="E17" s="295">
        <f t="shared" si="0"/>
        <v>13027.994844931392</v>
      </c>
      <c r="F17" s="295">
        <f t="shared" si="0"/>
        <v>12394.103858539456</v>
      </c>
      <c r="G17" s="295">
        <f t="shared" si="0"/>
        <v>10546.174275667499</v>
      </c>
      <c r="H17" s="3">
        <f t="shared" si="0"/>
        <v>10780.31708491268</v>
      </c>
      <c r="I17" s="3">
        <f t="shared" si="0"/>
        <v>10991.079244812996</v>
      </c>
      <c r="J17" s="3">
        <f t="shared" si="0"/>
        <v>11253.041796757847</v>
      </c>
      <c r="K17" s="3">
        <f t="shared" si="0"/>
        <v>11448.464301395747</v>
      </c>
      <c r="L17" s="3">
        <f t="shared" si="0"/>
        <v>11551.894083930549</v>
      </c>
      <c r="M17" s="3">
        <f t="shared" si="0"/>
        <v>11637.945572609184</v>
      </c>
      <c r="N17" s="353">
        <f t="shared" si="0"/>
        <v>11652.187894954524</v>
      </c>
      <c r="O17" s="3">
        <f t="shared" si="0"/>
        <v>11751.241500928847</v>
      </c>
      <c r="P17" s="3">
        <f t="shared" si="0"/>
        <v>11787.055630996671</v>
      </c>
      <c r="Q17" s="3">
        <f t="shared" si="0"/>
        <v>11820.360118023698</v>
      </c>
      <c r="R17" s="3">
        <f t="shared" si="0"/>
        <v>11869.967239368905</v>
      </c>
      <c r="S17" s="3">
        <f t="shared" si="0"/>
        <v>11899.119055142804</v>
      </c>
      <c r="T17" s="3">
        <f t="shared" si="0"/>
        <v>11974.400199740672</v>
      </c>
      <c r="U17" s="3">
        <f t="shared" si="0"/>
        <v>12014.949913414328</v>
      </c>
      <c r="V17" s="3">
        <f t="shared" si="0"/>
        <v>12034.199627405784</v>
      </c>
      <c r="W17" s="3">
        <f t="shared" si="0"/>
        <v>12112.964159340527</v>
      </c>
      <c r="X17" s="184">
        <f t="shared" si="0"/>
        <v>12138.39403201936</v>
      </c>
      <c r="Y17" s="174">
        <f t="shared" si="0"/>
        <v>12195.710539328089</v>
      </c>
      <c r="Z17" s="174">
        <f t="shared" si="0"/>
        <v>12298.675799948482</v>
      </c>
      <c r="AA17" s="174">
        <f t="shared" si="0"/>
        <v>12355.487326681685</v>
      </c>
      <c r="AB17" s="174">
        <f t="shared" si="0"/>
        <v>12422.429057981073</v>
      </c>
      <c r="AC17" s="174">
        <f t="shared" si="0"/>
        <v>12482.476171316763</v>
      </c>
      <c r="AD17" s="174">
        <f t="shared" si="0"/>
        <v>12596.956278721225</v>
      </c>
      <c r="AE17" s="174">
        <f t="shared" si="0"/>
        <v>12747.93641205403</v>
      </c>
      <c r="AF17" s="174">
        <f t="shared" si="0"/>
        <v>12810.173453227088</v>
      </c>
      <c r="AG17" s="174">
        <f t="shared" si="0"/>
        <v>12909.910902394822</v>
      </c>
      <c r="AH17" s="174">
        <f t="shared" si="0"/>
        <v>12962.721288095336</v>
      </c>
    </row>
    <row r="18" spans="1:34">
      <c r="A18" s="10" t="s">
        <v>126</v>
      </c>
      <c r="B18" s="37"/>
      <c r="C18" s="296">
        <f t="shared" ref="C18:AH18" si="1">SUMPRODUCT($B7:$B16,C7:C16)</f>
        <v>867.01</v>
      </c>
      <c r="D18" s="296">
        <f t="shared" si="1"/>
        <v>991.01</v>
      </c>
      <c r="E18" s="296">
        <f t="shared" si="1"/>
        <v>1172.727910463708</v>
      </c>
      <c r="F18" s="296">
        <f t="shared" si="1"/>
        <v>1250.4013984379608</v>
      </c>
      <c r="G18" s="296">
        <f t="shared" si="1"/>
        <v>1381.5098064973308</v>
      </c>
      <c r="H18" s="14">
        <f t="shared" si="1"/>
        <v>1420.7219790946174</v>
      </c>
      <c r="I18" s="14">
        <f t="shared" si="1"/>
        <v>1477.2890740817402</v>
      </c>
      <c r="J18" s="14">
        <f t="shared" si="1"/>
        <v>1571.2428154932968</v>
      </c>
      <c r="K18" s="14">
        <f t="shared" si="1"/>
        <v>1648.538103543664</v>
      </c>
      <c r="L18" s="14">
        <f t="shared" si="1"/>
        <v>1793.9844855665658</v>
      </c>
      <c r="M18" s="14">
        <f t="shared" si="1"/>
        <v>1880.0327587040349</v>
      </c>
      <c r="N18" s="190">
        <f t="shared" si="1"/>
        <v>1894.2782965905428</v>
      </c>
      <c r="O18" s="14">
        <f t="shared" si="1"/>
        <v>1942.8683687480145</v>
      </c>
      <c r="P18" s="14">
        <f t="shared" si="1"/>
        <v>1978.6857143570069</v>
      </c>
      <c r="Q18" s="14">
        <f t="shared" si="1"/>
        <v>2011.9912975912546</v>
      </c>
      <c r="R18" s="14">
        <f t="shared" si="1"/>
        <v>2061.5984189364622</v>
      </c>
      <c r="S18" s="14">
        <f t="shared" si="1"/>
        <v>2090.75023471036</v>
      </c>
      <c r="T18" s="14">
        <f t="shared" si="1"/>
        <v>2166.0325485959247</v>
      </c>
      <c r="U18" s="14">
        <f t="shared" si="1"/>
        <v>2206.5822622695805</v>
      </c>
      <c r="V18" s="14">
        <f t="shared" si="1"/>
        <v>2225.8319762610372</v>
      </c>
      <c r="W18" s="14">
        <f t="shared" si="1"/>
        <v>2245.3513314466909</v>
      </c>
      <c r="X18" s="187">
        <f t="shared" si="1"/>
        <v>2270.7812041255256</v>
      </c>
      <c r="Y18" s="14">
        <f t="shared" si="1"/>
        <v>2315.2437317725821</v>
      </c>
      <c r="Z18" s="14">
        <f t="shared" si="1"/>
        <v>2418.2089193124939</v>
      </c>
      <c r="AA18" s="14">
        <f t="shared" si="1"/>
        <v>2475.0204460456966</v>
      </c>
      <c r="AB18" s="14">
        <f t="shared" si="1"/>
        <v>2541.9621773450845</v>
      </c>
      <c r="AC18" s="14">
        <f t="shared" si="1"/>
        <v>2583.0957698472935</v>
      </c>
      <c r="AD18" s="14">
        <f t="shared" si="1"/>
        <v>2697.5725886301061</v>
      </c>
      <c r="AE18" s="14">
        <f t="shared" si="1"/>
        <v>2848.5549874578255</v>
      </c>
      <c r="AF18" s="14">
        <f t="shared" si="1"/>
        <v>2910.7953903330117</v>
      </c>
      <c r="AG18" s="14">
        <f t="shared" si="1"/>
        <v>2964.8486960680852</v>
      </c>
      <c r="AH18" s="14">
        <f t="shared" si="1"/>
        <v>3017.6601048953312</v>
      </c>
    </row>
    <row r="19" spans="1:34">
      <c r="A19" s="10" t="s">
        <v>112</v>
      </c>
      <c r="B19" s="37"/>
      <c r="C19" s="297">
        <f t="shared" ref="C19:AH19" si="2">C18/C4</f>
        <v>6.6178917639874824E-2</v>
      </c>
      <c r="D19" s="297">
        <f t="shared" si="2"/>
        <v>8.2419328010645374E-2</v>
      </c>
      <c r="E19" s="297">
        <f t="shared" si="2"/>
        <v>8.4349045345821577E-2</v>
      </c>
      <c r="F19" s="297">
        <f t="shared" si="2"/>
        <v>9.3043355424497251E-2</v>
      </c>
      <c r="G19" s="297">
        <f t="shared" si="2"/>
        <v>0.11762652499746475</v>
      </c>
      <c r="H19" s="23">
        <f t="shared" si="2"/>
        <v>0.11880180863507223</v>
      </c>
      <c r="I19" s="23">
        <f t="shared" si="2"/>
        <v>0.12537623532525752</v>
      </c>
      <c r="J19" s="23">
        <f t="shared" si="2"/>
        <v>0.12982693421130684</v>
      </c>
      <c r="K19" s="23">
        <f t="shared" si="2"/>
        <v>0.13407895224421529</v>
      </c>
      <c r="L19" s="23">
        <f t="shared" si="2"/>
        <v>0.14375581790004302</v>
      </c>
      <c r="M19" s="23">
        <f t="shared" si="2"/>
        <v>0.14922058615282674</v>
      </c>
      <c r="N19" s="183">
        <f t="shared" si="2"/>
        <v>0.14972816674030948</v>
      </c>
      <c r="O19" s="23">
        <f t="shared" si="2"/>
        <v>0.15076514803321805</v>
      </c>
      <c r="P19" s="23">
        <f t="shared" si="2"/>
        <v>0.15162005414709553</v>
      </c>
      <c r="Q19" s="23">
        <f t="shared" si="2"/>
        <v>0.15278462569027315</v>
      </c>
      <c r="R19" s="23">
        <f t="shared" si="2"/>
        <v>0.15556874864049761</v>
      </c>
      <c r="S19" s="23">
        <f t="shared" si="2"/>
        <v>0.15662873817214734</v>
      </c>
      <c r="T19" s="23">
        <f t="shared" si="2"/>
        <v>0.16025999203136782</v>
      </c>
      <c r="U19" s="23">
        <f t="shared" si="2"/>
        <v>0.1621305376439143</v>
      </c>
      <c r="V19" s="23">
        <f t="shared" si="2"/>
        <v>0.16286535187605897</v>
      </c>
      <c r="W19" s="23">
        <f t="shared" si="2"/>
        <v>0.16238667379384675</v>
      </c>
      <c r="X19" s="185">
        <f t="shared" si="2"/>
        <v>0.16307178178822193</v>
      </c>
      <c r="Y19" s="172">
        <f t="shared" si="2"/>
        <v>0.165595756141897</v>
      </c>
      <c r="Z19" s="172">
        <f t="shared" si="2"/>
        <v>0.1708560029846099</v>
      </c>
      <c r="AA19" s="172">
        <f t="shared" si="2"/>
        <v>0.17377393616807171</v>
      </c>
      <c r="AB19" s="172">
        <f t="shared" si="2"/>
        <v>0.17743420569049381</v>
      </c>
      <c r="AC19" s="172">
        <f t="shared" si="2"/>
        <v>0.17928296807760785</v>
      </c>
      <c r="AD19" s="172">
        <f t="shared" si="2"/>
        <v>0.18590421175130892</v>
      </c>
      <c r="AE19" s="172">
        <f t="shared" si="2"/>
        <v>0.19421503863289924</v>
      </c>
      <c r="AF19" s="172">
        <f t="shared" si="2"/>
        <v>0.19722360050788831</v>
      </c>
      <c r="AG19" s="172">
        <f t="shared" si="2"/>
        <v>0.19860199846278268</v>
      </c>
      <c r="AH19" s="172">
        <f t="shared" si="2"/>
        <v>0.20059383283522819</v>
      </c>
    </row>
    <row r="20" spans="1:34">
      <c r="A20" s="10" t="s">
        <v>142</v>
      </c>
      <c r="B20" s="37"/>
      <c r="C20" s="296">
        <f>EIA_electricity_aeo2014!E49*1000</f>
        <v>83</v>
      </c>
      <c r="D20" s="296">
        <f>EIA_electricity_aeo2014!F49*1000</f>
        <v>88</v>
      </c>
      <c r="E20" s="296">
        <f>EIA_electricity_aeo2014!G49*1000</f>
        <v>68.524060331010915</v>
      </c>
      <c r="F20" s="296">
        <f>EIA_electricity_aeo2014!H49*1000</f>
        <v>68.714545729895676</v>
      </c>
      <c r="G20" s="296">
        <f>EIA_electricity_aeo2014!I49*1000</f>
        <v>63.651945495054363</v>
      </c>
      <c r="H20" s="14">
        <f>EIA_electricity_aeo2014!J49*1000</f>
        <v>66.09997955520322</v>
      </c>
      <c r="I20" s="14">
        <f>EIA_electricity_aeo2014!K49*1000</f>
        <v>71.593912593762411</v>
      </c>
      <c r="J20" s="14">
        <f>EIA_electricity_aeo2014!L49*1000</f>
        <v>71.179001591010376</v>
      </c>
      <c r="K20" s="14">
        <f>EIA_electricity_aeo2014!M49*1000</f>
        <v>73.31045679422931</v>
      </c>
      <c r="L20" s="14">
        <f>EIA_electricity_aeo2014!N49*1000</f>
        <v>73.780632731062596</v>
      </c>
      <c r="M20" s="14">
        <f>EIA_electricity_aeo2014!O49*1000</f>
        <v>73.638161177245649</v>
      </c>
      <c r="N20" s="190">
        <f>EIA_electricity_aeo2014!P49*1000</f>
        <v>73.689626029843936</v>
      </c>
      <c r="O20" s="14">
        <f>EIA_electricity_aeo2014!Q49*1000</f>
        <v>71.518215765260834</v>
      </c>
      <c r="P20" s="14">
        <f>EIA_electricity_aeo2014!R49*1000</f>
        <v>70.594807316889074</v>
      </c>
      <c r="Q20" s="14">
        <f>EIA_electricity_aeo2014!S49*1000</f>
        <v>70.621114438110027</v>
      </c>
      <c r="R20" s="14">
        <f>EIA_electricity_aeo2014!T49*1000</f>
        <v>70.615946440813147</v>
      </c>
      <c r="S20" s="14">
        <f>EIA_electricity_aeo2014!U49*1000</f>
        <v>70.643838868618417</v>
      </c>
      <c r="T20" s="14">
        <f>EIA_electricity_aeo2014!V49*1000</f>
        <v>70.40927365973063</v>
      </c>
      <c r="U20" s="14">
        <f>EIA_electricity_aeo2014!W49*1000</f>
        <v>70.302218638295301</v>
      </c>
      <c r="V20" s="14">
        <f>EIA_electricity_aeo2014!X49*1000</f>
        <v>70.199379181486449</v>
      </c>
      <c r="W20" s="14">
        <f>EIA_electricity_aeo2014!Y49*1000</f>
        <v>70.12992141133607</v>
      </c>
      <c r="X20" s="187">
        <f>EIA_electricity_aeo2014!Z49*1000</f>
        <v>70.048173400057749</v>
      </c>
      <c r="Y20" s="14">
        <f>EIA_electricity_aeo2014!AA49*1000</f>
        <v>69.961929997391024</v>
      </c>
      <c r="Z20" s="14">
        <f>EIA_electricity_aeo2014!AB49*1000</f>
        <v>69.703653869329088</v>
      </c>
      <c r="AA20" s="14">
        <f>EIA_electricity_aeo2014!AC49*1000</f>
        <v>69.619511721576487</v>
      </c>
      <c r="AB20" s="14">
        <f>EIA_electricity_aeo2014!AD49*1000</f>
        <v>69.540770854689058</v>
      </c>
      <c r="AC20" s="14">
        <f>EIA_electricity_aeo2014!AE49*1000</f>
        <v>69.480556449281138</v>
      </c>
      <c r="AD20" s="14">
        <f>EIA_electricity_aeo2014!AF49*1000</f>
        <v>69.439336775289007</v>
      </c>
      <c r="AE20" s="14">
        <f>EIA_electricity_aeo2014!AG49*1000</f>
        <v>69.347245390617886</v>
      </c>
      <c r="AF20" s="14">
        <f>EIA_electricity_aeo2014!AH49*1000</f>
        <v>69.265787422900132</v>
      </c>
      <c r="AG20" s="14">
        <f>EIA_electricity_aeo2014!AI49*1000</f>
        <v>69.193585874723013</v>
      </c>
      <c r="AH20" s="14">
        <f>EIA_electricity_aeo2014!AJ49*1000</f>
        <v>69.111701639463234</v>
      </c>
    </row>
    <row r="21" spans="1:34">
      <c r="A21" s="10" t="s">
        <v>222</v>
      </c>
      <c r="B21" s="37"/>
      <c r="C21" s="296">
        <f>EIA_electricity_aeo2014!E51*1000</f>
        <v>1644</v>
      </c>
      <c r="D21" s="296">
        <f>EIA_electricity_aeo2014!F51*1000</f>
        <v>1689</v>
      </c>
      <c r="E21" s="296">
        <f>EIA_electricity_aeo2014!G51*1000</f>
        <v>764.28914847010822</v>
      </c>
      <c r="F21" s="296">
        <f>EIA_electricity_aeo2014!H51*1000</f>
        <v>915.40955229466283</v>
      </c>
      <c r="G21" s="296">
        <f>EIA_electricity_aeo2014!I51*1000</f>
        <v>1132.6037561960911</v>
      </c>
      <c r="H21" s="14">
        <f>EIA_electricity_aeo2014!J51*1000</f>
        <v>1109.886790291381</v>
      </c>
      <c r="I21" s="14">
        <f>EIA_electricity_aeo2014!K51*1000</f>
        <v>717.72114655230268</v>
      </c>
      <c r="J21" s="14">
        <f>EIA_electricity_aeo2014!L51*1000</f>
        <v>775.92098293647985</v>
      </c>
      <c r="K21" s="14">
        <f>EIA_electricity_aeo2014!M51*1000</f>
        <v>770.95851461748043</v>
      </c>
      <c r="L21" s="14">
        <f>EIA_electricity_aeo2014!N51*1000</f>
        <v>851.11783930975798</v>
      </c>
      <c r="M21" s="14">
        <f>EIA_electricity_aeo2014!O51*1000</f>
        <v>884.82743862687335</v>
      </c>
      <c r="N21" s="190">
        <f>EIA_electricity_aeo2014!P51*1000</f>
        <v>922.96143453777427</v>
      </c>
      <c r="O21" s="14">
        <f>EIA_electricity_aeo2014!Q51*1000</f>
        <v>1060.9830747486385</v>
      </c>
      <c r="P21" s="14">
        <f>EIA_electricity_aeo2014!R51*1000</f>
        <v>1189.5439993274083</v>
      </c>
      <c r="Q21" s="14">
        <f>EIA_electricity_aeo2014!S51*1000</f>
        <v>1274.7262345367701</v>
      </c>
      <c r="R21" s="14">
        <f>EIA_electricity_aeo2014!T51*1000</f>
        <v>1308.292448066677</v>
      </c>
      <c r="S21" s="14">
        <f>EIA_electricity_aeo2014!U51*1000</f>
        <v>1375.5241351089128</v>
      </c>
      <c r="T21" s="14">
        <f>EIA_electricity_aeo2014!V51*1000</f>
        <v>1467.7355740954779</v>
      </c>
      <c r="U21" s="14">
        <f>EIA_electricity_aeo2014!W51*1000</f>
        <v>1521.442217325163</v>
      </c>
      <c r="V21" s="14">
        <f>EIA_electricity_aeo2014!X51*1000</f>
        <v>1559.0747668519575</v>
      </c>
      <c r="W21" s="14">
        <f>EIA_electricity_aeo2014!Y51*1000</f>
        <v>1640.8558302619053</v>
      </c>
      <c r="X21" s="187">
        <f>EIA_electricity_aeo2014!Z51*1000</f>
        <v>1713.3422729231543</v>
      </c>
      <c r="Y21" s="14">
        <f>EIA_electricity_aeo2014!AA51*1000</f>
        <v>1712.325140813125</v>
      </c>
      <c r="Z21" s="14">
        <f>EIA_electricity_aeo2014!AB51*1000</f>
        <v>1781.7879503990764</v>
      </c>
      <c r="AA21" s="14">
        <f>EIA_electricity_aeo2014!AC51*1000</f>
        <v>1814.316653636095</v>
      </c>
      <c r="AB21" s="14">
        <f>EIA_electricity_aeo2014!AD51*1000</f>
        <v>1830.9036405845845</v>
      </c>
      <c r="AC21" s="14">
        <f>EIA_electricity_aeo2014!AE51*1000</f>
        <v>1852.604397513257</v>
      </c>
      <c r="AD21" s="14">
        <f>EIA_electricity_aeo2014!AF51*1000</f>
        <v>1840.7381793264794</v>
      </c>
      <c r="AE21" s="14">
        <f>EIA_electricity_aeo2014!AG51*1000</f>
        <v>1846.2932996679313</v>
      </c>
      <c r="AF21" s="14">
        <f>EIA_electricity_aeo2014!AH51*1000</f>
        <v>1875.9613722141769</v>
      </c>
      <c r="AG21" s="14">
        <f>EIA_electricity_aeo2014!AI51*1000</f>
        <v>1946.017410781325</v>
      </c>
      <c r="AH21" s="14">
        <f>EIA_electricity_aeo2014!AJ51*1000</f>
        <v>2008.2910374693702</v>
      </c>
    </row>
    <row r="22" spans="1:34">
      <c r="A22" s="10" t="s">
        <v>351</v>
      </c>
      <c r="B22" s="37"/>
      <c r="C22" s="295">
        <f>SUM(C17,C20:C21)</f>
        <v>13028</v>
      </c>
      <c r="D22" s="295">
        <f t="shared" ref="D22:AH22" si="3">SUM(D17,D20:D21)</f>
        <v>11922</v>
      </c>
      <c r="E22" s="295">
        <f t="shared" si="3"/>
        <v>13860.808053732511</v>
      </c>
      <c r="F22" s="295">
        <f t="shared" si="3"/>
        <v>13378.227956564015</v>
      </c>
      <c r="G22" s="295">
        <f t="shared" si="3"/>
        <v>11742.429977358644</v>
      </c>
      <c r="H22" s="79">
        <f t="shared" si="3"/>
        <v>11956.303854759264</v>
      </c>
      <c r="I22" s="79">
        <f t="shared" si="3"/>
        <v>11780.394303959061</v>
      </c>
      <c r="J22" s="79">
        <f t="shared" si="3"/>
        <v>12100.141781285336</v>
      </c>
      <c r="K22" s="79">
        <f t="shared" si="3"/>
        <v>12292.733272807458</v>
      </c>
      <c r="L22" s="79">
        <f t="shared" si="3"/>
        <v>12476.792555971369</v>
      </c>
      <c r="M22" s="79">
        <f t="shared" si="3"/>
        <v>12596.411172413302</v>
      </c>
      <c r="N22" s="353">
        <f t="shared" si="3"/>
        <v>12648.838955522142</v>
      </c>
      <c r="O22" s="79">
        <f t="shared" si="3"/>
        <v>12883.742791442746</v>
      </c>
      <c r="P22" s="79">
        <f t="shared" si="3"/>
        <v>13047.194437640968</v>
      </c>
      <c r="Q22" s="79">
        <f t="shared" si="3"/>
        <v>13165.70746699858</v>
      </c>
      <c r="R22" s="79">
        <f t="shared" si="3"/>
        <v>13248.875633876396</v>
      </c>
      <c r="S22" s="79">
        <f t="shared" si="3"/>
        <v>13345.287029120336</v>
      </c>
      <c r="T22" s="79">
        <f t="shared" si="3"/>
        <v>13512.54504749588</v>
      </c>
      <c r="U22" s="79">
        <f t="shared" si="3"/>
        <v>13606.694349377785</v>
      </c>
      <c r="V22" s="79">
        <f t="shared" si="3"/>
        <v>13663.473773439227</v>
      </c>
      <c r="W22" s="79">
        <f t="shared" si="3"/>
        <v>13823.949911013769</v>
      </c>
      <c r="X22" s="184">
        <f t="shared" si="3"/>
        <v>13921.784478342572</v>
      </c>
      <c r="Y22" s="174">
        <f t="shared" si="3"/>
        <v>13977.997610138606</v>
      </c>
      <c r="Z22" s="174">
        <f t="shared" si="3"/>
        <v>14150.167404216887</v>
      </c>
      <c r="AA22" s="174">
        <f t="shared" si="3"/>
        <v>14239.423492039356</v>
      </c>
      <c r="AB22" s="174">
        <f t="shared" si="3"/>
        <v>14322.873469420345</v>
      </c>
      <c r="AC22" s="174">
        <f t="shared" si="3"/>
        <v>14404.561125279302</v>
      </c>
      <c r="AD22" s="174">
        <f t="shared" si="3"/>
        <v>14507.133794822994</v>
      </c>
      <c r="AE22" s="174">
        <f t="shared" si="3"/>
        <v>14663.57695711258</v>
      </c>
      <c r="AF22" s="174">
        <f t="shared" si="3"/>
        <v>14755.400612864165</v>
      </c>
      <c r="AG22" s="174">
        <f t="shared" si="3"/>
        <v>14925.121899050871</v>
      </c>
      <c r="AH22" s="174">
        <f t="shared" si="3"/>
        <v>15040.124027204169</v>
      </c>
    </row>
    <row r="23" spans="1:34">
      <c r="A23" s="10" t="s">
        <v>328</v>
      </c>
      <c r="B23" s="37"/>
      <c r="C23" s="295">
        <f>EIA_electricity_aeo2014!E50*1000+EIA_electricity_aeo2014!E55*1000</f>
        <v>72</v>
      </c>
      <c r="D23" s="295">
        <f>EIA_electricity_aeo2014!F50*1000+EIA_electricity_aeo2014!F55*1000</f>
        <v>79</v>
      </c>
      <c r="E23" s="295">
        <f>EIA_electricity_aeo2014!G50*1000+EIA_electricity_aeo2014!G55*1000</f>
        <v>42.49619976562704</v>
      </c>
      <c r="F23" s="295">
        <f>EIA_electricity_aeo2014!H50*1000+EIA_electricity_aeo2014!H55*1000</f>
        <v>60.713320154025013</v>
      </c>
      <c r="G23" s="295">
        <f>EIA_electricity_aeo2014!I50*1000+EIA_electricity_aeo2014!I55*1000</f>
        <v>2.4833006869114138</v>
      </c>
      <c r="H23" s="295">
        <f>EIA_electricity_aeo2014!J50*1000+EIA_electricity_aeo2014!J55*1000</f>
        <v>2.4833006869114138</v>
      </c>
      <c r="I23" s="295">
        <f>EIA_electricity_aeo2014!K50*1000+EIA_electricity_aeo2014!K55*1000</f>
        <v>2.4833006869114138</v>
      </c>
      <c r="J23" s="295">
        <f>EIA_electricity_aeo2014!L50*1000+EIA_electricity_aeo2014!L55*1000</f>
        <v>2.4833006869114138</v>
      </c>
      <c r="K23" s="295">
        <f>EIA_electricity_aeo2014!M50*1000+EIA_electricity_aeo2014!M55*1000</f>
        <v>2.5755606739473476</v>
      </c>
      <c r="L23" s="295">
        <f>EIA_electricity_aeo2014!N50*1000+EIA_electricity_aeo2014!N55*1000</f>
        <v>2.6244474399863087</v>
      </c>
      <c r="M23" s="295">
        <f>EIA_electricity_aeo2014!O50*1000+EIA_electricity_aeo2014!O55*1000</f>
        <v>2.6362096694092156</v>
      </c>
      <c r="N23" s="295">
        <f>EIA_electricity_aeo2014!P50*1000+EIA_electricity_aeo2014!P55*1000</f>
        <v>2.6402529357733417</v>
      </c>
      <c r="O23" s="295">
        <f>EIA_electricity_aeo2014!Q50*1000+EIA_electricity_aeo2014!Q55*1000</f>
        <v>3.0080063900739447</v>
      </c>
      <c r="P23" s="295">
        <f>EIA_electricity_aeo2014!R50*1000+EIA_electricity_aeo2014!R55*1000</f>
        <v>3.1258124691377565</v>
      </c>
      <c r="Q23" s="295">
        <f>EIA_electricity_aeo2014!S50*1000+EIA_electricity_aeo2014!S55*1000</f>
        <v>3.1298557355018799</v>
      </c>
      <c r="R23" s="295">
        <f>EIA_electricity_aeo2014!T50*1000+EIA_electricity_aeo2014!T55*1000</f>
        <v>3.1631207905885388</v>
      </c>
      <c r="S23" s="295">
        <f>EIA_electricity_aeo2014!U50*1000+EIA_electricity_aeo2014!U55*1000</f>
        <v>3.1888506674511521</v>
      </c>
      <c r="T23" s="295">
        <f>EIA_electricity_aeo2014!V50*1000+EIA_electricity_aeo2014!V55*1000</f>
        <v>3.2259752040672067</v>
      </c>
      <c r="U23" s="295">
        <f>EIA_electricity_aeo2014!W50*1000+EIA_electricity_aeo2014!W55*1000</f>
        <v>3.24711046006149</v>
      </c>
      <c r="V23" s="295">
        <f>EIA_electricity_aeo2014!X50*1000+EIA_electricity_aeo2014!X55*1000</f>
        <v>3.2566672714676042</v>
      </c>
      <c r="W23" s="295">
        <f>EIA_electricity_aeo2014!Y50*1000+EIA_electricity_aeo2014!Y55*1000</f>
        <v>3.2697159947336432</v>
      </c>
      <c r="X23" s="295">
        <f>EIA_electricity_aeo2014!Z50*1000+EIA_electricity_aeo2014!Z55*1000</f>
        <v>3.2862566298596056</v>
      </c>
      <c r="Y23" s="295">
        <f>EIA_electricity_aeo2014!AA50*1000+EIA_electricity_aeo2014!AA55*1000</f>
        <v>3.3311001295344429</v>
      </c>
      <c r="Z23" s="295">
        <f>EIA_electricity_aeo2014!AB50*1000+EIA_electricity_aeo2014!AB55*1000</f>
        <v>3.3537056642065939</v>
      </c>
      <c r="AA23" s="295">
        <f>EIA_electricity_aeo2014!AC50*1000+EIA_electricity_aeo2014!AC55*1000</f>
        <v>3.3663868178031664</v>
      </c>
      <c r="AB23" s="295">
        <f>EIA_electricity_aeo2014!AD50*1000+EIA_electricity_aeo2014!AD55*1000</f>
        <v>3.3805382500776013</v>
      </c>
      <c r="AC23" s="295">
        <f>EIA_electricity_aeo2014!AE50*1000+EIA_electricity_aeo2014!AE55*1000</f>
        <v>3.3950572520215023</v>
      </c>
      <c r="AD23" s="295">
        <f>EIA_electricity_aeo2014!AF50*1000+EIA_electricity_aeo2014!AF55*1000</f>
        <v>3.4474359299203896</v>
      </c>
      <c r="AE23" s="295">
        <f>EIA_electricity_aeo2014!AG50*1000+EIA_electricity_aeo2014!AG55*1000</f>
        <v>3.4685711859146782</v>
      </c>
      <c r="AF23" s="295">
        <f>EIA_electricity_aeo2014!AH50*1000+EIA_electricity_aeo2014!AH55*1000</f>
        <v>3.4887875177353012</v>
      </c>
      <c r="AG23" s="295">
        <f>EIA_electricity_aeo2014!AI50*1000+EIA_electricity_aeo2014!AI55*1000</f>
        <v>3.5025713803402696</v>
      </c>
      <c r="AH23" s="295">
        <f>EIA_electricity_aeo2014!AJ50*1000+EIA_electricity_aeo2014!AJ55*1000</f>
        <v>3.5194795851357008</v>
      </c>
    </row>
    <row r="24" spans="1:34">
      <c r="A24" s="10" t="s">
        <v>345</v>
      </c>
      <c r="B24" s="37"/>
      <c r="C24" s="295">
        <f>SUM(C22:C23)</f>
        <v>13100</v>
      </c>
      <c r="D24" s="295">
        <f t="shared" ref="D24:AH24" si="4">SUM(D22:D23)</f>
        <v>12001</v>
      </c>
      <c r="E24" s="295">
        <f t="shared" si="4"/>
        <v>13903.304253498138</v>
      </c>
      <c r="F24" s="295">
        <f t="shared" si="4"/>
        <v>13438.94127671804</v>
      </c>
      <c r="G24" s="295">
        <f t="shared" si="4"/>
        <v>11744.913278045557</v>
      </c>
      <c r="H24" s="83">
        <f t="shared" si="4"/>
        <v>11958.787155446176</v>
      </c>
      <c r="I24" s="83">
        <f t="shared" si="4"/>
        <v>11782.877604645973</v>
      </c>
      <c r="J24" s="83">
        <f t="shared" si="4"/>
        <v>12102.625081972248</v>
      </c>
      <c r="K24" s="83">
        <f t="shared" si="4"/>
        <v>12295.308833481406</v>
      </c>
      <c r="L24" s="83">
        <f t="shared" si="4"/>
        <v>12479.417003411356</v>
      </c>
      <c r="M24" s="83">
        <f t="shared" si="4"/>
        <v>12599.04738208271</v>
      </c>
      <c r="N24" s="353">
        <f t="shared" si="4"/>
        <v>12651.479208457915</v>
      </c>
      <c r="O24" s="83">
        <f t="shared" si="4"/>
        <v>12886.750797832819</v>
      </c>
      <c r="P24" s="83">
        <f t="shared" si="4"/>
        <v>13050.320250110106</v>
      </c>
      <c r="Q24" s="83">
        <f t="shared" si="4"/>
        <v>13168.837322734082</v>
      </c>
      <c r="R24" s="83">
        <f t="shared" si="4"/>
        <v>13252.038754666984</v>
      </c>
      <c r="S24" s="83">
        <f t="shared" si="4"/>
        <v>13348.475879787788</v>
      </c>
      <c r="T24" s="83">
        <f t="shared" si="4"/>
        <v>13515.771022699946</v>
      </c>
      <c r="U24" s="83">
        <f t="shared" si="4"/>
        <v>13609.941459837846</v>
      </c>
      <c r="V24" s="83">
        <f t="shared" si="4"/>
        <v>13666.730440710695</v>
      </c>
      <c r="W24" s="83">
        <f t="shared" si="4"/>
        <v>13827.219627008502</v>
      </c>
      <c r="X24" s="184">
        <f t="shared" si="4"/>
        <v>13925.070734972431</v>
      </c>
      <c r="Y24" s="174">
        <f t="shared" si="4"/>
        <v>13981.328710268141</v>
      </c>
      <c r="Z24" s="174">
        <f t="shared" si="4"/>
        <v>14153.521109881094</v>
      </c>
      <c r="AA24" s="174">
        <f t="shared" si="4"/>
        <v>14242.789878857158</v>
      </c>
      <c r="AB24" s="174">
        <f t="shared" si="4"/>
        <v>14326.254007670423</v>
      </c>
      <c r="AC24" s="174">
        <f t="shared" si="4"/>
        <v>14407.956182531323</v>
      </c>
      <c r="AD24" s="174">
        <f t="shared" si="4"/>
        <v>14510.581230752914</v>
      </c>
      <c r="AE24" s="174">
        <f t="shared" si="4"/>
        <v>14667.045528298495</v>
      </c>
      <c r="AF24" s="174">
        <f t="shared" si="4"/>
        <v>14758.8894003819</v>
      </c>
      <c r="AG24" s="174">
        <f t="shared" si="4"/>
        <v>14928.624470431212</v>
      </c>
      <c r="AH24" s="174">
        <f t="shared" si="4"/>
        <v>15043.643506789304</v>
      </c>
    </row>
    <row r="25" spans="1:34">
      <c r="A25" s="10" t="s">
        <v>346</v>
      </c>
      <c r="B25" s="37"/>
      <c r="C25" s="297">
        <f t="shared" ref="C25:AH25" si="5">C24/C4-1</f>
        <v>-7.6330051141160205E-5</v>
      </c>
      <c r="D25" s="297">
        <f t="shared" si="5"/>
        <v>-1.9128409846972394E-3</v>
      </c>
      <c r="E25" s="297">
        <f t="shared" si="5"/>
        <v>2.157765103039111E-6</v>
      </c>
      <c r="F25" s="297">
        <f t="shared" si="5"/>
        <v>2.2323236890109399E-6</v>
      </c>
      <c r="G25" s="297">
        <f t="shared" si="5"/>
        <v>2.5543038013609021E-6</v>
      </c>
      <c r="H25" s="82">
        <f t="shared" si="5"/>
        <v>2.5086218917724779E-6</v>
      </c>
      <c r="I25" s="82">
        <f t="shared" si="5"/>
        <v>2.546073835985041E-6</v>
      </c>
      <c r="J25" s="82">
        <f t="shared" si="5"/>
        <v>2.4788072141568307E-6</v>
      </c>
      <c r="K25" s="82">
        <f t="shared" si="5"/>
        <v>2.4399609319658566E-6</v>
      </c>
      <c r="L25" s="82">
        <f t="shared" si="5"/>
        <v>2.4039642327888799E-6</v>
      </c>
      <c r="M25" s="82">
        <f t="shared" si="5"/>
        <v>2.3811380751581623E-6</v>
      </c>
      <c r="N25" s="199">
        <f t="shared" si="5"/>
        <v>2.3712698447031499E-6</v>
      </c>
      <c r="O25" s="82">
        <f t="shared" si="5"/>
        <v>2.3279778054163813E-6</v>
      </c>
      <c r="P25" s="82">
        <f t="shared" si="5"/>
        <v>2.2987994463541384E-6</v>
      </c>
      <c r="Q25" s="82">
        <f t="shared" si="5"/>
        <v>2.2781106341351887E-6</v>
      </c>
      <c r="R25" s="82">
        <f t="shared" si="5"/>
        <v>2.2638077405989776E-6</v>
      </c>
      <c r="S25" s="82">
        <f t="shared" si="5"/>
        <v>2.247452645320891E-6</v>
      </c>
      <c r="T25" s="82">
        <f t="shared" si="5"/>
        <v>2.2196341249447471E-6</v>
      </c>
      <c r="U25" s="82">
        <f t="shared" si="5"/>
        <v>2.2042759124651923E-6</v>
      </c>
      <c r="V25" s="82">
        <f t="shared" si="5"/>
        <v>2.1951165265488015E-6</v>
      </c>
      <c r="W25" s="82">
        <f t="shared" si="5"/>
        <v>2.1696382859204277E-6</v>
      </c>
      <c r="X25" s="185">
        <f t="shared" si="5"/>
        <v>2.1543922614775113E-6</v>
      </c>
      <c r="Y25" s="172">
        <f t="shared" si="5"/>
        <v>2.1457234140598302E-6</v>
      </c>
      <c r="Z25" s="172">
        <f t="shared" si="5"/>
        <v>2.1196183872529417E-6</v>
      </c>
      <c r="AA25" s="172">
        <f t="shared" si="5"/>
        <v>2.1063333410786811E-6</v>
      </c>
      <c r="AB25" s="172">
        <f t="shared" si="5"/>
        <v>2.0940619094300672E-6</v>
      </c>
      <c r="AC25" s="172">
        <f t="shared" si="5"/>
        <v>2.0821872364074068E-6</v>
      </c>
      <c r="AD25" s="172">
        <f t="shared" si="5"/>
        <v>2.0674610854420905E-6</v>
      </c>
      <c r="AE25" s="172">
        <f t="shared" si="5"/>
        <v>2.0454058933250252E-6</v>
      </c>
      <c r="AF25" s="172">
        <f t="shared" si="5"/>
        <v>2.0326774032852768E-6</v>
      </c>
      <c r="AG25" s="172">
        <f t="shared" si="5"/>
        <v>2.0095662762731337E-6</v>
      </c>
      <c r="AH25" s="172">
        <f t="shared" si="5"/>
        <v>6.6473302440250848E-7</v>
      </c>
    </row>
    <row r="26" spans="1:34">
      <c r="A26" s="10"/>
      <c r="B26" s="37"/>
      <c r="C26" s="297"/>
      <c r="D26" s="297"/>
      <c r="E26" s="297"/>
      <c r="F26" s="297"/>
      <c r="G26" s="297"/>
      <c r="H26" s="82"/>
      <c r="I26" s="82"/>
      <c r="J26" s="82"/>
      <c r="K26" s="82"/>
      <c r="L26" s="82"/>
      <c r="M26" s="82"/>
      <c r="N26" s="183" t="s">
        <v>0</v>
      </c>
      <c r="O26" s="91" t="s">
        <v>0</v>
      </c>
      <c r="P26" s="82"/>
      <c r="Q26" s="82"/>
      <c r="R26" s="82"/>
      <c r="S26" s="82"/>
      <c r="T26" s="82"/>
      <c r="U26" s="82"/>
      <c r="V26" s="82"/>
      <c r="W26" s="82"/>
      <c r="X26" s="185" t="s">
        <v>0</v>
      </c>
    </row>
    <row r="27" spans="1:34">
      <c r="A27" s="10"/>
      <c r="B27" s="37"/>
      <c r="C27" s="297"/>
      <c r="D27" s="297"/>
      <c r="E27" s="297"/>
      <c r="F27" s="297"/>
      <c r="G27" s="297"/>
      <c r="H27" s="164"/>
      <c r="I27" s="164"/>
      <c r="J27" s="164"/>
      <c r="K27" s="164"/>
      <c r="L27" s="164"/>
      <c r="M27" s="164"/>
      <c r="N27" s="183"/>
      <c r="O27" s="164"/>
      <c r="P27" s="164"/>
      <c r="Q27" s="164"/>
      <c r="R27" s="164"/>
      <c r="S27" s="164"/>
      <c r="T27" s="164"/>
      <c r="U27" s="164"/>
      <c r="V27" s="164"/>
      <c r="W27" s="164"/>
      <c r="X27" s="185"/>
    </row>
    <row r="28" spans="1:34">
      <c r="A28" s="9" t="s">
        <v>125</v>
      </c>
      <c r="B28" s="37"/>
      <c r="C28" s="297">
        <f t="shared" ref="C28:K28" si="6">C10/C$18</f>
        <v>0.55132005397861616</v>
      </c>
      <c r="D28" s="297">
        <f t="shared" si="6"/>
        <v>0.48233620246011644</v>
      </c>
      <c r="E28" s="297">
        <f t="shared" si="6"/>
        <v>0.41065624790711114</v>
      </c>
      <c r="F28" s="297">
        <f t="shared" si="6"/>
        <v>0.37283546705667736</v>
      </c>
      <c r="G28" s="297">
        <f t="shared" si="6"/>
        <v>0.33165906425024261</v>
      </c>
      <c r="H28" s="164">
        <f t="shared" si="6"/>
        <v>0.34464286997719767</v>
      </c>
      <c r="I28" s="164">
        <f t="shared" si="6"/>
        <v>0.32857034994416912</v>
      </c>
      <c r="J28" s="164">
        <f t="shared" si="6"/>
        <v>0.33464529771281093</v>
      </c>
      <c r="K28" s="164">
        <f t="shared" si="6"/>
        <v>0.34912015747537228</v>
      </c>
      <c r="L28" s="164">
        <f t="shared" ref="L28:L34" si="7">L10/L$18</f>
        <v>0.39200252578788358</v>
      </c>
      <c r="M28" s="164">
        <f t="shared" ref="M28:AH28" si="8">M10/M$18</f>
        <v>0.41734672068877093</v>
      </c>
      <c r="N28" s="185">
        <f t="shared" si="8"/>
        <v>0.42153786646790636</v>
      </c>
      <c r="O28" s="164">
        <f t="shared" si="8"/>
        <v>0.43120655226813864</v>
      </c>
      <c r="P28" s="164">
        <f t="shared" si="8"/>
        <v>0.43332922171464539</v>
      </c>
      <c r="Q28" s="164">
        <f t="shared" si="8"/>
        <v>0.43316430056754401</v>
      </c>
      <c r="R28" s="164">
        <f t="shared" si="8"/>
        <v>0.43688606215979531</v>
      </c>
      <c r="S28" s="164">
        <f t="shared" si="8"/>
        <v>0.43612472819499498</v>
      </c>
      <c r="T28" s="164">
        <f t="shared" si="8"/>
        <v>0.44510518091155216</v>
      </c>
      <c r="U28" s="164">
        <f t="shared" si="8"/>
        <v>0.44589326745003544</v>
      </c>
      <c r="V28" s="164">
        <f t="shared" si="8"/>
        <v>0.4456719185430662</v>
      </c>
      <c r="W28" s="164">
        <f t="shared" si="8"/>
        <v>0.4493179432766895</v>
      </c>
      <c r="X28" s="185">
        <f t="shared" si="8"/>
        <v>0.45057643681214898</v>
      </c>
      <c r="Y28" s="172">
        <f t="shared" si="8"/>
        <v>0.44960342785535928</v>
      </c>
      <c r="Z28" s="172">
        <f t="shared" si="8"/>
        <v>0.45565003576451485</v>
      </c>
      <c r="AA28" s="172">
        <f t="shared" si="8"/>
        <v>0.45327655174580717</v>
      </c>
      <c r="AB28" s="172">
        <f t="shared" si="8"/>
        <v>0.45136402801304032</v>
      </c>
      <c r="AC28" s="172">
        <f t="shared" si="8"/>
        <v>0.45473893426590806</v>
      </c>
      <c r="AD28" s="172">
        <f t="shared" si="8"/>
        <v>0.44471342165844163</v>
      </c>
      <c r="AE28" s="172">
        <f t="shared" si="8"/>
        <v>0.43917708950658807</v>
      </c>
      <c r="AF28" s="172">
        <f t="shared" si="8"/>
        <v>0.43894400039416653</v>
      </c>
      <c r="AG28" s="172">
        <f t="shared" si="8"/>
        <v>0.44229933176196007</v>
      </c>
      <c r="AH28" s="172">
        <f t="shared" si="8"/>
        <v>0.44631563173557043</v>
      </c>
    </row>
    <row r="29" spans="1:34">
      <c r="A29" s="9" t="s">
        <v>50</v>
      </c>
      <c r="B29" s="37"/>
      <c r="C29" s="297">
        <f t="shared" ref="C29:K29" si="9">C11/C$18</f>
        <v>8.765758180413144E-2</v>
      </c>
      <c r="D29" s="297">
        <f t="shared" si="9"/>
        <v>7.2653151834996627E-2</v>
      </c>
      <c r="E29" s="297">
        <f t="shared" si="9"/>
        <v>3.9291238649490669E-2</v>
      </c>
      <c r="F29" s="297">
        <f t="shared" si="9"/>
        <v>3.8321515422927423E-2</v>
      </c>
      <c r="G29" s="297">
        <f t="shared" si="9"/>
        <v>4.1199623013064818E-2</v>
      </c>
      <c r="H29" s="164">
        <f t="shared" si="9"/>
        <v>4.3701597842540137E-2</v>
      </c>
      <c r="I29" s="164">
        <f t="shared" si="9"/>
        <v>4.2028213479507047E-2</v>
      </c>
      <c r="J29" s="164">
        <f t="shared" si="9"/>
        <v>5.1515952745622519E-2</v>
      </c>
      <c r="K29" s="164">
        <f t="shared" si="9"/>
        <v>6.5735680514287298E-2</v>
      </c>
      <c r="L29" s="164">
        <f t="shared" si="7"/>
        <v>7.041073453801204E-2</v>
      </c>
      <c r="M29" s="164">
        <f t="shared" ref="M29:AH29" si="10">M11/M$18</f>
        <v>6.9595001377443039E-2</v>
      </c>
      <c r="N29" s="185">
        <f t="shared" si="10"/>
        <v>6.9222268145527024E-2</v>
      </c>
      <c r="O29" s="164">
        <f t="shared" si="10"/>
        <v>7.2339249732073757E-2</v>
      </c>
      <c r="P29" s="164">
        <f t="shared" si="10"/>
        <v>7.9094760731135458E-2</v>
      </c>
      <c r="Q29" s="164">
        <f t="shared" si="10"/>
        <v>8.7390808166722109E-2</v>
      </c>
      <c r="R29" s="164">
        <f t="shared" si="10"/>
        <v>9.5164024230956615E-2</v>
      </c>
      <c r="S29" s="164">
        <f t="shared" si="10"/>
        <v>0.10209801299289997</v>
      </c>
      <c r="T29" s="164">
        <f t="shared" si="10"/>
        <v>0.10845415331155761</v>
      </c>
      <c r="U29" s="164">
        <f t="shared" si="10"/>
        <v>0.1152423510164699</v>
      </c>
      <c r="V29" s="164">
        <f t="shared" si="10"/>
        <v>0.11896529835121156</v>
      </c>
      <c r="W29" s="164">
        <f t="shared" si="10"/>
        <v>0.11904159709339393</v>
      </c>
      <c r="X29" s="185">
        <f t="shared" si="10"/>
        <v>0.12210535565860663</v>
      </c>
      <c r="Y29" s="172">
        <f t="shared" si="10"/>
        <v>0.13063395237840475</v>
      </c>
      <c r="Z29" s="172">
        <f t="shared" si="10"/>
        <v>0.14193051311102481</v>
      </c>
      <c r="AA29" s="172">
        <f t="shared" si="10"/>
        <v>0.15290464115597741</v>
      </c>
      <c r="AB29" s="172">
        <f t="shared" si="10"/>
        <v>0.16275958411715641</v>
      </c>
      <c r="AC29" s="172">
        <f t="shared" si="10"/>
        <v>0.16391326355400526</v>
      </c>
      <c r="AD29" s="172">
        <f t="shared" si="10"/>
        <v>0.16003126881046123</v>
      </c>
      <c r="AE29" s="172">
        <f t="shared" si="10"/>
        <v>0.15377521323732593</v>
      </c>
      <c r="AF29" s="172">
        <f t="shared" si="10"/>
        <v>0.15392194353681704</v>
      </c>
      <c r="AG29" s="172">
        <f t="shared" si="10"/>
        <v>0.15491763609765857</v>
      </c>
      <c r="AH29" s="172">
        <f t="shared" si="10"/>
        <v>0.15266118679412793</v>
      </c>
    </row>
    <row r="30" spans="1:34">
      <c r="A30" s="9" t="s">
        <v>51</v>
      </c>
      <c r="B30" s="37"/>
      <c r="C30" s="297">
        <f t="shared" ref="C30:K30" si="11">C12/C$18</f>
        <v>0</v>
      </c>
      <c r="D30" s="297">
        <f t="shared" si="11"/>
        <v>0</v>
      </c>
      <c r="E30" s="297">
        <f t="shared" si="11"/>
        <v>5.3508916637950131E-4</v>
      </c>
      <c r="F30" s="297">
        <f t="shared" si="11"/>
        <v>5.8898126707152758E-4</v>
      </c>
      <c r="G30" s="297">
        <f t="shared" si="11"/>
        <v>6.3605990769468918E-4</v>
      </c>
      <c r="H30" s="164">
        <f t="shared" si="11"/>
        <v>5.528139998935669E-4</v>
      </c>
      <c r="I30" s="164">
        <f t="shared" si="11"/>
        <v>5.9413964091325502E-4</v>
      </c>
      <c r="J30" s="164">
        <f t="shared" si="11"/>
        <v>4.9981835541659499E-4</v>
      </c>
      <c r="K30" s="164">
        <f t="shared" si="11"/>
        <v>5.2918218761504893E-4</v>
      </c>
      <c r="L30" s="164">
        <f t="shared" si="7"/>
        <v>3.8229204629013639E-4</v>
      </c>
      <c r="M30" s="164">
        <f t="shared" ref="M30:AH30" si="12">M12/M$18</f>
        <v>4.7115881140848067E-4</v>
      </c>
      <c r="N30" s="185">
        <f t="shared" si="12"/>
        <v>5.1544854932741391E-4</v>
      </c>
      <c r="O30" s="164">
        <f t="shared" si="12"/>
        <v>4.5596089485509323E-4</v>
      </c>
      <c r="P30" s="164">
        <f t="shared" si="12"/>
        <v>3.9745422645635279E-4</v>
      </c>
      <c r="Q30" s="164">
        <f t="shared" si="12"/>
        <v>4.3592633877195965E-4</v>
      </c>
      <c r="R30" s="164">
        <f t="shared" si="12"/>
        <v>4.7510271205256825E-4</v>
      </c>
      <c r="S30" s="164">
        <f t="shared" si="12"/>
        <v>3.7523420395965321E-4</v>
      </c>
      <c r="T30" s="164">
        <f t="shared" si="12"/>
        <v>4.0341037375750356E-4</v>
      </c>
      <c r="U30" s="164">
        <f t="shared" si="12"/>
        <v>3.9579263140714131E-4</v>
      </c>
      <c r="V30" s="164">
        <f t="shared" si="12"/>
        <v>3.9781843797905551E-4</v>
      </c>
      <c r="W30" s="164">
        <f t="shared" si="12"/>
        <v>3.4406464110106312E-4</v>
      </c>
      <c r="X30" s="185">
        <f t="shared" si="12"/>
        <v>3.4195940964688171E-4</v>
      </c>
      <c r="Y30" s="172">
        <f t="shared" si="12"/>
        <v>3.7920586413933466E-4</v>
      </c>
      <c r="Z30" s="172">
        <f t="shared" si="12"/>
        <v>3.1885458441664109E-4</v>
      </c>
      <c r="AA30" s="172">
        <f t="shared" si="12"/>
        <v>3.523138572019297E-4</v>
      </c>
      <c r="AB30" s="172">
        <f t="shared" si="12"/>
        <v>3.4350865161651879E-4</v>
      </c>
      <c r="AC30" s="172">
        <f t="shared" si="12"/>
        <v>2.9783758271009894E-4</v>
      </c>
      <c r="AD30" s="172">
        <f t="shared" si="12"/>
        <v>3.2284840217859271E-4</v>
      </c>
      <c r="AE30" s="172">
        <f t="shared" si="12"/>
        <v>2.6979152706680136E-4</v>
      </c>
      <c r="AF30" s="172">
        <f t="shared" si="12"/>
        <v>2.6441604331108493E-4</v>
      </c>
      <c r="AG30" s="172">
        <f t="shared" si="12"/>
        <v>2.5947158821973621E-4</v>
      </c>
      <c r="AH30" s="172">
        <f t="shared" si="12"/>
        <v>2.6016747171969239E-4</v>
      </c>
    </row>
    <row r="31" spans="1:34">
      <c r="A31" s="9" t="s">
        <v>347</v>
      </c>
      <c r="B31" s="37"/>
      <c r="C31" s="297">
        <f t="shared" ref="C31:K31" si="13">C13/C$18</f>
        <v>0</v>
      </c>
      <c r="D31" s="297">
        <f t="shared" si="13"/>
        <v>0</v>
      </c>
      <c r="E31" s="297">
        <f t="shared" si="13"/>
        <v>1.7054254291681184E-5</v>
      </c>
      <c r="F31" s="297">
        <f t="shared" si="13"/>
        <v>1.5994863749340494E-5</v>
      </c>
      <c r="G31" s="297">
        <f t="shared" si="13"/>
        <v>1.4476914970808527E-5</v>
      </c>
      <c r="H31" s="164">
        <f t="shared" si="13"/>
        <v>1.4077349611178247E-5</v>
      </c>
      <c r="I31" s="164">
        <f t="shared" si="13"/>
        <v>1.3538311729836416E-5</v>
      </c>
      <c r="J31" s="164">
        <f t="shared" si="13"/>
        <v>1.2728777374692998E-5</v>
      </c>
      <c r="K31" s="164">
        <f t="shared" si="13"/>
        <v>1.2131961012613786E-5</v>
      </c>
      <c r="L31" s="164">
        <f t="shared" si="7"/>
        <v>1.1148368428439177E-5</v>
      </c>
      <c r="M31" s="164">
        <f t="shared" ref="M31:AH31" si="14">M13/M$18</f>
        <v>1.0638112504904768E-5</v>
      </c>
      <c r="N31" s="185">
        <f t="shared" si="14"/>
        <v>1.0558110725333985E-5</v>
      </c>
      <c r="O31" s="164">
        <f t="shared" si="14"/>
        <v>1.0294058167660638E-5</v>
      </c>
      <c r="P31" s="164">
        <f t="shared" si="14"/>
        <v>1.0107719409345003E-5</v>
      </c>
      <c r="Q31" s="164">
        <f t="shared" si="14"/>
        <v>9.9404008476298553E-6</v>
      </c>
      <c r="R31" s="164">
        <f t="shared" si="14"/>
        <v>9.701210389129811E-6</v>
      </c>
      <c r="S31" s="164">
        <f t="shared" si="14"/>
        <v>9.5659441610779869E-6</v>
      </c>
      <c r="T31" s="164">
        <f t="shared" si="14"/>
        <v>9.2334715897803519E-6</v>
      </c>
      <c r="U31" s="164">
        <f t="shared" si="14"/>
        <v>9.0637907962828434E-6</v>
      </c>
      <c r="V31" s="164">
        <f t="shared" si="14"/>
        <v>8.985404205395635E-6</v>
      </c>
      <c r="W31" s="164">
        <f t="shared" si="14"/>
        <v>8.9072920214734965E-6</v>
      </c>
      <c r="X31" s="185">
        <f t="shared" si="14"/>
        <v>8.8075416353034202E-6</v>
      </c>
      <c r="Y31" s="172">
        <f t="shared" si="14"/>
        <v>8.6383993726171228E-6</v>
      </c>
      <c r="Z31" s="172">
        <f t="shared" si="14"/>
        <v>8.2705840013550507E-6</v>
      </c>
      <c r="AA31" s="172">
        <f t="shared" si="14"/>
        <v>8.0807413255731705E-6</v>
      </c>
      <c r="AB31" s="172">
        <f t="shared" si="14"/>
        <v>7.8679376814680665E-6</v>
      </c>
      <c r="AC31" s="172">
        <f t="shared" si="14"/>
        <v>7.7426474981925868E-6</v>
      </c>
      <c r="AD31" s="172">
        <f t="shared" si="14"/>
        <v>7.4140729648192685E-6</v>
      </c>
      <c r="AE31" s="172">
        <f t="shared" si="14"/>
        <v>7.0211037133072415E-6</v>
      </c>
      <c r="AF31" s="172">
        <f t="shared" si="14"/>
        <v>6.8709741902236164E-6</v>
      </c>
      <c r="AG31" s="172">
        <f t="shared" si="14"/>
        <v>6.7457067966144599E-6</v>
      </c>
      <c r="AH31" s="172">
        <f t="shared" si="14"/>
        <v>0</v>
      </c>
    </row>
    <row r="32" spans="1:34">
      <c r="A32" s="9" t="s">
        <v>348</v>
      </c>
      <c r="B32" s="37"/>
      <c r="C32" s="297">
        <f t="shared" ref="C32:K32" si="15">C14/C$18</f>
        <v>0</v>
      </c>
      <c r="D32" s="297">
        <f t="shared" si="15"/>
        <v>0</v>
      </c>
      <c r="E32" s="297">
        <f t="shared" si="15"/>
        <v>8.5271271458405919E-6</v>
      </c>
      <c r="F32" s="297">
        <f t="shared" si="15"/>
        <v>7.9974318746702471E-6</v>
      </c>
      <c r="G32" s="297">
        <f t="shared" si="15"/>
        <v>7.2384574854042635E-6</v>
      </c>
      <c r="H32" s="164">
        <f t="shared" si="15"/>
        <v>7.0386748055891233E-6</v>
      </c>
      <c r="I32" s="164">
        <f t="shared" si="15"/>
        <v>6.7691558649182078E-6</v>
      </c>
      <c r="J32" s="164">
        <f t="shared" si="15"/>
        <v>6.3643886873464989E-6</v>
      </c>
      <c r="K32" s="164">
        <f t="shared" si="15"/>
        <v>6.065980506306893E-6</v>
      </c>
      <c r="L32" s="164">
        <f t="shared" si="7"/>
        <v>5.5741842142195887E-6</v>
      </c>
      <c r="M32" s="164">
        <f t="shared" ref="M32:AH32" si="16">M14/M$18</f>
        <v>5.3190562524523839E-6</v>
      </c>
      <c r="N32" s="185">
        <f t="shared" si="16"/>
        <v>5.2790553626669923E-6</v>
      </c>
      <c r="O32" s="164">
        <f t="shared" si="16"/>
        <v>5.147029083830319E-6</v>
      </c>
      <c r="P32" s="164">
        <f t="shared" si="16"/>
        <v>5.0538597046725013E-6</v>
      </c>
      <c r="Q32" s="164">
        <f t="shared" si="16"/>
        <v>4.9702004238149277E-6</v>
      </c>
      <c r="R32" s="164">
        <f t="shared" si="16"/>
        <v>4.8506051945649055E-6</v>
      </c>
      <c r="S32" s="164">
        <f t="shared" si="16"/>
        <v>4.7829720805389935E-6</v>
      </c>
      <c r="T32" s="164">
        <f t="shared" si="16"/>
        <v>4.616735794890176E-6</v>
      </c>
      <c r="U32" s="164">
        <f t="shared" si="16"/>
        <v>4.5318953981414217E-6</v>
      </c>
      <c r="V32" s="164">
        <f t="shared" si="16"/>
        <v>4.4927021026978175E-6</v>
      </c>
      <c r="W32" s="164">
        <f t="shared" si="16"/>
        <v>4.4536460107367483E-6</v>
      </c>
      <c r="X32" s="185">
        <f t="shared" si="16"/>
        <v>4.4037708176517101E-6</v>
      </c>
      <c r="Y32" s="172">
        <f t="shared" si="16"/>
        <v>4.3191996863085614E-6</v>
      </c>
      <c r="Z32" s="172">
        <f t="shared" si="16"/>
        <v>4.1352920006775254E-6</v>
      </c>
      <c r="AA32" s="172">
        <f t="shared" si="16"/>
        <v>4.0403706627865853E-6</v>
      </c>
      <c r="AB32" s="172">
        <f t="shared" si="16"/>
        <v>3.9339688407340332E-6</v>
      </c>
      <c r="AC32" s="172">
        <f t="shared" si="16"/>
        <v>3.8713237490962934E-6</v>
      </c>
      <c r="AD32" s="172">
        <f t="shared" si="16"/>
        <v>3.7070364824096343E-6</v>
      </c>
      <c r="AE32" s="172">
        <f t="shared" si="16"/>
        <v>3.5105518566536208E-6</v>
      </c>
      <c r="AF32" s="172">
        <f t="shared" si="16"/>
        <v>3.4354870951118082E-6</v>
      </c>
      <c r="AG32" s="172">
        <f t="shared" si="16"/>
        <v>3.3728533983072299E-6</v>
      </c>
      <c r="AH32" s="172">
        <f t="shared" si="16"/>
        <v>3.3138258294158859E-6</v>
      </c>
    </row>
    <row r="33" spans="1:36">
      <c r="A33" s="9" t="s">
        <v>344</v>
      </c>
      <c r="B33" s="37"/>
      <c r="C33" s="297">
        <f t="shared" ref="C33:K33" si="17">C15/C$18</f>
        <v>1.1533892342648874E-5</v>
      </c>
      <c r="D33" s="297">
        <f t="shared" si="17"/>
        <v>1.009071553263842E-5</v>
      </c>
      <c r="E33" s="297">
        <f t="shared" si="17"/>
        <v>8.5271271458405919E-6</v>
      </c>
      <c r="F33" s="297">
        <f t="shared" si="17"/>
        <v>7.9974318746702471E-6</v>
      </c>
      <c r="G33" s="297">
        <f t="shared" si="17"/>
        <v>7.2384574854042635E-6</v>
      </c>
      <c r="H33" s="164">
        <f t="shared" si="17"/>
        <v>7.0386748055891233E-6</v>
      </c>
      <c r="I33" s="164">
        <f t="shared" si="17"/>
        <v>6.7691558649182078E-6</v>
      </c>
      <c r="J33" s="164">
        <f t="shared" si="17"/>
        <v>6.3643886873464989E-6</v>
      </c>
      <c r="K33" s="164">
        <f t="shared" si="17"/>
        <v>6.065980506306893E-6</v>
      </c>
      <c r="L33" s="164">
        <f t="shared" si="7"/>
        <v>5.5741842142195887E-6</v>
      </c>
      <c r="M33" s="164">
        <f t="shared" ref="M33:AH33" si="18">M15/M$18</f>
        <v>5.3190562524523839E-6</v>
      </c>
      <c r="N33" s="185">
        <f t="shared" si="18"/>
        <v>5.2790553626669923E-6</v>
      </c>
      <c r="O33" s="164">
        <f t="shared" si="18"/>
        <v>5.147029083830319E-6</v>
      </c>
      <c r="P33" s="164">
        <f t="shared" si="18"/>
        <v>5.0538597046725013E-6</v>
      </c>
      <c r="Q33" s="164">
        <f t="shared" si="18"/>
        <v>4.9702004238149277E-6</v>
      </c>
      <c r="R33" s="164">
        <f t="shared" si="18"/>
        <v>4.8506051945649055E-6</v>
      </c>
      <c r="S33" s="164">
        <f t="shared" si="18"/>
        <v>4.7829720805389935E-6</v>
      </c>
      <c r="T33" s="164">
        <f t="shared" si="18"/>
        <v>4.616735794890176E-6</v>
      </c>
      <c r="U33" s="164">
        <f t="shared" si="18"/>
        <v>4.5318953981414217E-6</v>
      </c>
      <c r="V33" s="164">
        <f t="shared" si="18"/>
        <v>4.4927021026978175E-6</v>
      </c>
      <c r="W33" s="164">
        <f t="shared" si="18"/>
        <v>4.4536460107367483E-6</v>
      </c>
      <c r="X33" s="185">
        <f t="shared" si="18"/>
        <v>4.4037708176517101E-6</v>
      </c>
      <c r="Y33" s="172">
        <f t="shared" si="18"/>
        <v>4.3191996863085614E-6</v>
      </c>
      <c r="Z33" s="172">
        <f t="shared" si="18"/>
        <v>4.1352920006775254E-6</v>
      </c>
      <c r="AA33" s="172">
        <f t="shared" si="18"/>
        <v>4.0403706627865853E-6</v>
      </c>
      <c r="AB33" s="172">
        <f t="shared" si="18"/>
        <v>3.9339688407340332E-6</v>
      </c>
      <c r="AC33" s="172">
        <f t="shared" si="18"/>
        <v>3.8713237490962934E-6</v>
      </c>
      <c r="AD33" s="172">
        <f t="shared" si="18"/>
        <v>3.7070364824096343E-6</v>
      </c>
      <c r="AE33" s="172">
        <f t="shared" si="18"/>
        <v>3.5105518566536208E-6</v>
      </c>
      <c r="AF33" s="172">
        <f t="shared" si="18"/>
        <v>3.4354870951118082E-6</v>
      </c>
      <c r="AG33" s="172">
        <f t="shared" si="18"/>
        <v>3.3728533983072299E-6</v>
      </c>
      <c r="AH33" s="172">
        <f t="shared" si="18"/>
        <v>3.3138258294158859E-6</v>
      </c>
    </row>
    <row r="34" spans="1:36">
      <c r="A34" s="9" t="s">
        <v>53</v>
      </c>
      <c r="B34" s="37"/>
      <c r="C34" s="297">
        <f t="shared" ref="C34:K34" si="19">C16/C$18</f>
        <v>0.36101083032490977</v>
      </c>
      <c r="D34" s="297">
        <f t="shared" si="19"/>
        <v>0.44500055498935431</v>
      </c>
      <c r="E34" s="297">
        <f t="shared" si="19"/>
        <v>0.54948331576843534</v>
      </c>
      <c r="F34" s="297">
        <f t="shared" si="19"/>
        <v>0.58822204652582499</v>
      </c>
      <c r="G34" s="297">
        <f t="shared" si="19"/>
        <v>0.62647629899905632</v>
      </c>
      <c r="H34" s="164">
        <f t="shared" si="19"/>
        <v>0.6110745634811463</v>
      </c>
      <c r="I34" s="164">
        <f t="shared" si="19"/>
        <v>0.62878022031195091</v>
      </c>
      <c r="J34" s="164">
        <f t="shared" si="19"/>
        <v>0.61331347363140054</v>
      </c>
      <c r="K34" s="164">
        <f t="shared" si="19"/>
        <v>0.58459071590070011</v>
      </c>
      <c r="L34" s="164">
        <f t="shared" si="7"/>
        <v>0.53718215089095733</v>
      </c>
      <c r="M34" s="164">
        <f t="shared" ref="M34:AH34" si="20">M16/M$18</f>
        <v>0.51256584289736773</v>
      </c>
      <c r="N34" s="185">
        <f t="shared" si="20"/>
        <v>0.5087033006157885</v>
      </c>
      <c r="O34" s="164">
        <f t="shared" si="20"/>
        <v>0.49597764898859725</v>
      </c>
      <c r="P34" s="164">
        <f t="shared" si="20"/>
        <v>0.48715834788894408</v>
      </c>
      <c r="Q34" s="164">
        <f t="shared" si="20"/>
        <v>0.47898908412526675</v>
      </c>
      <c r="R34" s="164">
        <f t="shared" si="20"/>
        <v>0.46745540847641714</v>
      </c>
      <c r="S34" s="164">
        <f t="shared" si="20"/>
        <v>0.46138289271982336</v>
      </c>
      <c r="T34" s="164">
        <f t="shared" si="20"/>
        <v>0.44601878845995324</v>
      </c>
      <c r="U34" s="164">
        <f t="shared" si="20"/>
        <v>0.43845046132049498</v>
      </c>
      <c r="V34" s="164">
        <f t="shared" si="20"/>
        <v>0.43494699385933239</v>
      </c>
      <c r="W34" s="164">
        <f t="shared" si="20"/>
        <v>0.43127858040477252</v>
      </c>
      <c r="X34" s="185">
        <f t="shared" si="20"/>
        <v>0.42695863303632697</v>
      </c>
      <c r="Y34" s="172">
        <f t="shared" si="20"/>
        <v>0.41936613710335136</v>
      </c>
      <c r="Z34" s="172">
        <f t="shared" si="20"/>
        <v>0.402084055372041</v>
      </c>
      <c r="AA34" s="172">
        <f t="shared" si="20"/>
        <v>0.39345033175836236</v>
      </c>
      <c r="AB34" s="172">
        <f t="shared" si="20"/>
        <v>0.38551714334282389</v>
      </c>
      <c r="AC34" s="172">
        <f t="shared" si="20"/>
        <v>0.38103447930238032</v>
      </c>
      <c r="AD34" s="172">
        <f t="shared" si="20"/>
        <v>0.39491763298298882</v>
      </c>
      <c r="AE34" s="172">
        <f t="shared" si="20"/>
        <v>0.40676386352159249</v>
      </c>
      <c r="AF34" s="172">
        <f t="shared" si="20"/>
        <v>0.40685589807732486</v>
      </c>
      <c r="AG34" s="172">
        <f t="shared" si="20"/>
        <v>0.4025100691385684</v>
      </c>
      <c r="AH34" s="172">
        <f t="shared" si="20"/>
        <v>0.40075638634692318</v>
      </c>
    </row>
    <row r="35" spans="1:36">
      <c r="A35" s="10"/>
      <c r="B35" s="37"/>
      <c r="C35" s="297"/>
      <c r="D35" s="297"/>
      <c r="E35" s="297"/>
      <c r="F35" s="297"/>
      <c r="G35" s="297"/>
      <c r="H35" s="164"/>
      <c r="I35" s="164"/>
      <c r="J35" s="164"/>
      <c r="K35" s="164"/>
      <c r="L35" s="164"/>
      <c r="M35" s="164"/>
      <c r="N35" s="183"/>
      <c r="O35" s="164"/>
      <c r="P35" s="164"/>
      <c r="Q35" s="164"/>
      <c r="R35" s="164"/>
      <c r="S35" s="164"/>
      <c r="T35" s="164"/>
      <c r="U35" s="164"/>
      <c r="V35" s="164"/>
      <c r="W35" s="164"/>
      <c r="X35" s="185"/>
    </row>
    <row r="36" spans="1:36">
      <c r="A36" s="10"/>
      <c r="B36" s="37"/>
      <c r="C36" s="297"/>
      <c r="D36" s="297"/>
      <c r="E36" s="297"/>
      <c r="F36" s="297"/>
      <c r="G36" s="297"/>
      <c r="H36" s="164"/>
      <c r="I36" s="164"/>
      <c r="J36" s="164"/>
      <c r="K36" s="164"/>
      <c r="L36" s="164"/>
      <c r="M36" s="164"/>
      <c r="N36" s="183"/>
      <c r="O36" s="164"/>
      <c r="P36" s="164"/>
      <c r="Q36" s="164"/>
      <c r="R36" s="164"/>
      <c r="S36" s="164"/>
      <c r="T36" s="164"/>
      <c r="U36" s="164"/>
      <c r="V36" s="164"/>
      <c r="W36" s="164"/>
      <c r="X36" s="185"/>
    </row>
    <row r="37" spans="1:36">
      <c r="A37" s="10"/>
      <c r="B37" s="37"/>
      <c r="C37" s="297"/>
      <c r="D37" s="297"/>
      <c r="E37" s="297"/>
      <c r="F37" s="297"/>
      <c r="G37" s="297"/>
      <c r="H37" s="164"/>
      <c r="I37" s="164"/>
      <c r="J37" s="164"/>
      <c r="K37" s="164"/>
      <c r="L37" s="164"/>
      <c r="M37" s="164"/>
      <c r="N37" s="183"/>
      <c r="O37" s="164"/>
      <c r="P37" s="164"/>
      <c r="Q37" s="164"/>
      <c r="R37" s="164"/>
      <c r="S37" s="164"/>
      <c r="T37" s="164"/>
      <c r="U37" s="164"/>
      <c r="V37" s="164"/>
      <c r="W37" s="164"/>
      <c r="X37" s="185"/>
    </row>
    <row r="38" spans="1:36">
      <c r="A38" s="10"/>
      <c r="B38" s="37"/>
      <c r="C38" s="297"/>
      <c r="D38" s="297"/>
      <c r="E38" s="297"/>
      <c r="F38" s="297"/>
      <c r="G38" s="297"/>
      <c r="H38" s="164"/>
      <c r="I38" s="164"/>
      <c r="J38" s="164"/>
      <c r="K38" s="164"/>
      <c r="L38" s="164"/>
      <c r="M38" s="164"/>
      <c r="N38" s="183"/>
      <c r="O38" s="164"/>
      <c r="P38" s="164"/>
      <c r="Q38" s="164"/>
      <c r="R38" s="164"/>
      <c r="S38" s="164"/>
      <c r="T38" s="164"/>
      <c r="U38" s="164"/>
      <c r="V38" s="164"/>
      <c r="W38" s="164"/>
      <c r="X38" s="185"/>
    </row>
    <row r="39" spans="1:36">
      <c r="A39" s="1" t="s">
        <v>139</v>
      </c>
      <c r="B39" s="13"/>
      <c r="D39" s="298"/>
      <c r="E39" s="298"/>
      <c r="F39" s="298"/>
      <c r="G39" s="298"/>
      <c r="H39" s="16"/>
      <c r="I39" s="16"/>
      <c r="J39" s="16"/>
      <c r="K39" s="16"/>
      <c r="L39" s="16"/>
      <c r="M39" s="16"/>
      <c r="N39" s="354" t="s">
        <v>0</v>
      </c>
    </row>
    <row r="40" spans="1:36" ht="15">
      <c r="A40" s="8" t="s">
        <v>61</v>
      </c>
      <c r="B40" s="34">
        <v>0</v>
      </c>
      <c r="C40" s="296">
        <f>C5*Inputs!$C$44</f>
        <v>0</v>
      </c>
      <c r="D40" s="296">
        <f>D5*Inputs!$C$44</f>
        <v>0</v>
      </c>
      <c r="E40" s="296">
        <f>E5*Inputs!$C$44</f>
        <v>0</v>
      </c>
      <c r="F40" s="296">
        <f>F5*Inputs!$C$44</f>
        <v>0</v>
      </c>
      <c r="G40" s="296">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296">
        <f>C6*Inputs!$C$47</f>
        <v>0</v>
      </c>
      <c r="D41" s="296">
        <f>D6*Inputs!$C$47</f>
        <v>0</v>
      </c>
      <c r="E41" s="296" t="s">
        <v>377</v>
      </c>
      <c r="F41" s="296">
        <f>F6*Inputs!$C$47</f>
        <v>0</v>
      </c>
      <c r="G41" s="296">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296">
        <f>C7*Inputs!$C$48</f>
        <v>1565.0984999999998</v>
      </c>
      <c r="D42" s="296">
        <f>D7*Inputs!$C$48</f>
        <v>1373.0984999999998</v>
      </c>
      <c r="E42" s="296">
        <f>E7*Inputs!$C$48</f>
        <v>1778.2900401701525</v>
      </c>
      <c r="F42" s="296">
        <f>F7*Inputs!$C$48</f>
        <v>1671.5553690152242</v>
      </c>
      <c r="G42" s="296">
        <f>G7*Inputs!$C$48</f>
        <v>1374.6996703755251</v>
      </c>
      <c r="H42" s="14">
        <f>H7*Inputs!$C$48</f>
        <v>1403.9392658727093</v>
      </c>
      <c r="I42" s="14">
        <f>I7*Inputs!$C$48</f>
        <v>1427.0685256096881</v>
      </c>
      <c r="J42" s="14">
        <f>J7*Inputs!$C$48</f>
        <v>1452.2698471896822</v>
      </c>
      <c r="K42" s="14">
        <f>K7*Inputs!$C$48</f>
        <v>1469.9889296778124</v>
      </c>
      <c r="L42" s="14">
        <f>L7*Inputs!$C$48</f>
        <v>1463.6864397545969</v>
      </c>
      <c r="M42" s="14">
        <f>M7*Inputs!$C$48</f>
        <v>1463.6869220857723</v>
      </c>
      <c r="N42" s="190">
        <f>N7*Inputs!$C$48</f>
        <v>1463.6864397545969</v>
      </c>
      <c r="O42" s="14">
        <f>O7*Inputs!$C$48</f>
        <v>1471.2559698271245</v>
      </c>
      <c r="P42" s="14">
        <f>P7*Inputs!$C$48</f>
        <v>1471.2554874959492</v>
      </c>
      <c r="Q42" s="14">
        <f>Q7*Inputs!$C$48</f>
        <v>1471.2553230648664</v>
      </c>
      <c r="R42" s="14">
        <f>R7*Inputs!$C$48</f>
        <v>1471.2553230648664</v>
      </c>
      <c r="S42" s="14">
        <f>S7*Inputs!$C$48</f>
        <v>1471.2553230648664</v>
      </c>
      <c r="T42" s="14">
        <f>T7*Inputs!$C$48</f>
        <v>1471.2551476717119</v>
      </c>
      <c r="U42" s="14">
        <f>U7*Inputs!$C$48</f>
        <v>1471.2551476717119</v>
      </c>
      <c r="V42" s="14">
        <f>V7*Inputs!$C$48</f>
        <v>1471.2551476717119</v>
      </c>
      <c r="W42" s="14">
        <f>W7*Inputs!$C$48</f>
        <v>1480.1419241840752</v>
      </c>
      <c r="X42" s="187">
        <f>X7*Inputs!$C$48</f>
        <v>1480.1419241840752</v>
      </c>
      <c r="Y42" s="14">
        <f>Y7*Inputs!$C$48</f>
        <v>1482.070021133326</v>
      </c>
      <c r="Z42" s="14">
        <f>Z7*Inputs!$C$48</f>
        <v>1482.0700320953979</v>
      </c>
      <c r="AA42" s="14">
        <f>AA7*Inputs!$C$48</f>
        <v>1482.0700320953979</v>
      </c>
      <c r="AB42" s="14">
        <f>AB7*Inputs!$C$48</f>
        <v>1482.0700320953979</v>
      </c>
      <c r="AC42" s="14">
        <f>AC7*Inputs!$C$48</f>
        <v>1484.9070602204204</v>
      </c>
      <c r="AD42" s="14">
        <f>AD7*Inputs!$C$48</f>
        <v>1484.9075535136678</v>
      </c>
      <c r="AE42" s="14">
        <f>AE7*Inputs!$C$48</f>
        <v>1484.9072136894308</v>
      </c>
      <c r="AF42" s="14">
        <f>AF7*Inputs!$C$48</f>
        <v>1484.9067094341112</v>
      </c>
      <c r="AG42" s="14">
        <f>AG7*Inputs!$C$48</f>
        <v>1491.7593309490107</v>
      </c>
      <c r="AH42" s="14">
        <f>AH7*Inputs!$C$48</f>
        <v>1491.7591774800005</v>
      </c>
    </row>
    <row r="43" spans="1:36" ht="15">
      <c r="A43" s="8" t="s">
        <v>59</v>
      </c>
      <c r="B43" s="34">
        <v>0</v>
      </c>
      <c r="C43" s="296">
        <f>C8*Inputs!$C$53</f>
        <v>0</v>
      </c>
      <c r="D43" s="296">
        <f>D8*Inputs!$C$53</f>
        <v>0</v>
      </c>
      <c r="E43" s="296">
        <f>E8*Inputs!$C$53</f>
        <v>0</v>
      </c>
      <c r="F43" s="296">
        <f>F8*Inputs!$C$53</f>
        <v>0</v>
      </c>
      <c r="G43" s="296">
        <f>G8*Inputs!$C$53</f>
        <v>0</v>
      </c>
      <c r="H43" s="14">
        <f>H8*Inputs!$C$53</f>
        <v>0</v>
      </c>
      <c r="I43" s="14">
        <f>I8*Inputs!$C$53</f>
        <v>0</v>
      </c>
      <c r="J43" s="14">
        <f>J8*Inputs!$C$53</f>
        <v>0</v>
      </c>
      <c r="K43" s="14">
        <f>K8*Inputs!$C$53</f>
        <v>0</v>
      </c>
      <c r="L43" s="14">
        <f>L8*Inputs!$C$53</f>
        <v>0</v>
      </c>
      <c r="M43" s="14">
        <f>M8*Inputs!$C$53</f>
        <v>0</v>
      </c>
      <c r="N43" s="190">
        <f>N8*Inputs!$C$53</f>
        <v>0</v>
      </c>
      <c r="O43" s="14">
        <f>O8*Inputs!$C$53</f>
        <v>0</v>
      </c>
      <c r="P43" s="14">
        <f>P8*Inputs!$C$53</f>
        <v>0</v>
      </c>
      <c r="Q43" s="14">
        <f>Q8*Inputs!$C$53</f>
        <v>0</v>
      </c>
      <c r="R43" s="14">
        <f>R8*Inputs!$C$53</f>
        <v>0</v>
      </c>
      <c r="S43" s="14">
        <f>S8*Inputs!$C$53</f>
        <v>0</v>
      </c>
      <c r="T43" s="14">
        <f>T8*Inputs!$C$53</f>
        <v>0</v>
      </c>
      <c r="U43" s="14">
        <f>U8*Inputs!$C$53</f>
        <v>0</v>
      </c>
      <c r="V43" s="14">
        <f>V8*Inputs!$C$53</f>
        <v>0</v>
      </c>
      <c r="W43" s="14">
        <f>W8*Inputs!$C$53</f>
        <v>0</v>
      </c>
      <c r="X43" s="187">
        <f>X8*Inputs!$C$53</f>
        <v>0</v>
      </c>
      <c r="Y43" s="14">
        <f>Y8*Inputs!$C$53</f>
        <v>0</v>
      </c>
      <c r="Z43" s="14">
        <f>Z8*Inputs!$C$53</f>
        <v>0</v>
      </c>
      <c r="AA43" s="14">
        <f>AA8*Inputs!$C$53</f>
        <v>0</v>
      </c>
      <c r="AB43" s="14">
        <f>AB8*Inputs!$C$53</f>
        <v>0</v>
      </c>
      <c r="AC43" s="14">
        <f>AC8*Inputs!$C$53</f>
        <v>0</v>
      </c>
      <c r="AD43" s="14">
        <f>AD8*Inputs!$C$53</f>
        <v>0</v>
      </c>
      <c r="AE43" s="14">
        <f>AE8*Inputs!$C$53</f>
        <v>0</v>
      </c>
      <c r="AF43" s="14">
        <f>AF8*Inputs!$C$53</f>
        <v>0</v>
      </c>
      <c r="AG43" s="14">
        <f>AG8*Inputs!$C$53</f>
        <v>0</v>
      </c>
      <c r="AH43" s="14">
        <f>AH8*Inputs!$C$53</f>
        <v>0</v>
      </c>
    </row>
    <row r="44" spans="1:36" ht="15">
      <c r="A44" s="8" t="s">
        <v>121</v>
      </c>
      <c r="B44" s="34">
        <v>1</v>
      </c>
      <c r="C44" s="296">
        <f>C10*Inputs!$C$46</f>
        <v>100.38</v>
      </c>
      <c r="D44" s="296">
        <f>D10*Inputs!$C$46</f>
        <v>100.38</v>
      </c>
      <c r="E44" s="296">
        <f>E10*Inputs!$C$46</f>
        <v>101.13348914066431</v>
      </c>
      <c r="F44" s="296">
        <f>F10*Inputs!$C$46</f>
        <v>97.900737772937319</v>
      </c>
      <c r="G44" s="296">
        <f>G10*Inputs!$C$46</f>
        <v>96.219952431842074</v>
      </c>
      <c r="H44" s="14">
        <f>H10*Inputs!$C$46</f>
        <v>102.82475706611916</v>
      </c>
      <c r="I44" s="14">
        <f>I10*Inputs!$C$46</f>
        <v>101.93261148834434</v>
      </c>
      <c r="J44" s="14">
        <f>J10*Inputs!$C$46</f>
        <v>110.41989415167261</v>
      </c>
      <c r="K44" s="14">
        <f>K10*Inputs!$C$46</f>
        <v>120.86295528579626</v>
      </c>
      <c r="L44" s="14">
        <f>L10*Inputs!$C$46</f>
        <v>147.68175440893785</v>
      </c>
      <c r="M44" s="14">
        <f>M10*Inputs!$C$46</f>
        <v>164.77135639284438</v>
      </c>
      <c r="N44" s="190">
        <f>N10*Inputs!$C$46</f>
        <v>167.68710664465982</v>
      </c>
      <c r="O44" s="14">
        <f>O10*Inputs!$C$46</f>
        <v>175.93328986771732</v>
      </c>
      <c r="P44" s="14">
        <f>P10*Inputs!$C$46</f>
        <v>180.05869153024386</v>
      </c>
      <c r="Q44" s="14">
        <f>Q10*Inputs!$C$46</f>
        <v>183.01978866551121</v>
      </c>
      <c r="R44" s="14">
        <f>R10*Inputs!$C$46</f>
        <v>189.14355915084229</v>
      </c>
      <c r="S44" s="14">
        <f>S10*Inputs!$C$46</f>
        <v>191.48385434570233</v>
      </c>
      <c r="T44" s="14">
        <f>T10*Inputs!$C$46</f>
        <v>202.46358497465087</v>
      </c>
      <c r="U44" s="14">
        <f>U10*Inputs!$C$46</f>
        <v>206.61903671234157</v>
      </c>
      <c r="V44" s="14">
        <f>V10*Inputs!$C$46</f>
        <v>208.31806951509981</v>
      </c>
      <c r="W44" s="14">
        <f>W10*Inputs!$C$46</f>
        <v>211.86409485763272</v>
      </c>
      <c r="X44" s="187">
        <f>X10*Inputs!$C$46</f>
        <v>214.86370578432491</v>
      </c>
      <c r="Y44" s="14">
        <f>Y10*Inputs!$C$46</f>
        <v>218.59771880637325</v>
      </c>
      <c r="Z44" s="14">
        <f>Z10*Inputs!$C$46</f>
        <v>231.38996591986938</v>
      </c>
      <c r="AA44" s="14">
        <f>AA10*Inputs!$C$46</f>
        <v>235.59243398963221</v>
      </c>
      <c r="AB44" s="14">
        <f>AB10*Inputs!$C$46</f>
        <v>240.94356035888788</v>
      </c>
      <c r="AC44" s="14">
        <f>AC10*Inputs!$C$46</f>
        <v>246.67318567229805</v>
      </c>
      <c r="AD44" s="14">
        <f>AD10*Inputs!$C$46</f>
        <v>251.92581457296001</v>
      </c>
      <c r="AE44" s="14">
        <f>AE10*Inputs!$C$46</f>
        <v>262.71421862515268</v>
      </c>
      <c r="AF44" s="14">
        <f>AF10*Inputs!$C$46</f>
        <v>268.31199632195103</v>
      </c>
      <c r="AG44" s="14">
        <f>AG10*Inputs!$C$46</f>
        <v>275.38362537970886</v>
      </c>
      <c r="AH44" s="14">
        <f>AH10*Inputs!$C$46</f>
        <v>282.83406397671337</v>
      </c>
    </row>
    <row r="45" spans="1:36" ht="15">
      <c r="A45" s="8" t="s">
        <v>50</v>
      </c>
      <c r="B45" s="34">
        <v>1</v>
      </c>
      <c r="C45" s="296">
        <f>C11*Inputs!$C$49</f>
        <v>19</v>
      </c>
      <c r="D45" s="296">
        <f>D11*Inputs!$C$49</f>
        <v>18</v>
      </c>
      <c r="E45" s="296">
        <f>E11*Inputs!$C$49</f>
        <v>11.519483050237019</v>
      </c>
      <c r="F45" s="296">
        <f>F11*Inputs!$C$49</f>
        <v>11.979319118772583</v>
      </c>
      <c r="G45" s="296">
        <f>G11*Inputs!$C$49</f>
        <v>14.229420804135538</v>
      </c>
      <c r="H45" s="14">
        <f>H11*Inputs!$C$49</f>
        <v>15.52195514411267</v>
      </c>
      <c r="I45" s="14">
        <f>I11*Inputs!$C$49</f>
        <v>15.52195514411267</v>
      </c>
      <c r="J45" s="14">
        <f>J11*Inputs!$C$49</f>
        <v>20.236017658712889</v>
      </c>
      <c r="K45" s="14">
        <f>K11*Inputs!$C$49</f>
        <v>27.091943522543843</v>
      </c>
      <c r="L45" s="14">
        <f>L11*Inputs!$C$49</f>
        <v>31.578941344634888</v>
      </c>
      <c r="M45" s="14">
        <f>M11*Inputs!$C$49</f>
        <v>32.710220607911339</v>
      </c>
      <c r="N45" s="190">
        <f>N11*Inputs!$C$49</f>
        <v>32.781560047210682</v>
      </c>
      <c r="O45" s="14">
        <f>O11*Inputs!$C$49</f>
        <v>35.136410030852346</v>
      </c>
      <c r="P45" s="14">
        <f>P11*Inputs!$C$49</f>
        <v>39.125918284795823</v>
      </c>
      <c r="Q45" s="14">
        <f>Q11*Inputs!$C$49</f>
        <v>43.957386380227909</v>
      </c>
      <c r="R45" s="14">
        <f>R11*Inputs!$C$49</f>
        <v>49.047500473542833</v>
      </c>
      <c r="S45" s="14">
        <f>S11*Inputs!$C$49</f>
        <v>53.365361157091748</v>
      </c>
      <c r="T45" s="14">
        <f>T11*Inputs!$C$49</f>
        <v>58.728806525811571</v>
      </c>
      <c r="U45" s="14">
        <f>U11*Inputs!$C$49</f>
        <v>63.572931903796814</v>
      </c>
      <c r="V45" s="14">
        <f>V11*Inputs!$C$49</f>
        <v>66.199191283890286</v>
      </c>
      <c r="W45" s="14">
        <f>W11*Inputs!$C$49</f>
        <v>66.822552132798151</v>
      </c>
      <c r="X45" s="187">
        <f>X11*Inputs!$C$49</f>
        <v>69.318636638156576</v>
      </c>
      <c r="Y45" s="14">
        <f>Y11*Inputs!$C$49</f>
        <v>75.612359850194892</v>
      </c>
      <c r="Z45" s="14">
        <f>Z11*Inputs!$C$49</f>
        <v>85.804408181919769</v>
      </c>
      <c r="AA45" s="14">
        <f>AA11*Inputs!$C$49</f>
        <v>94.610528289081103</v>
      </c>
      <c r="AB45" s="14">
        <f>AB11*Inputs!$C$49</f>
        <v>103.43217670655683</v>
      </c>
      <c r="AC45" s="14">
        <f>AC11*Inputs!$C$49</f>
        <v>105.85091442705388</v>
      </c>
      <c r="AD45" s="14">
        <f>AD11*Inputs!$C$49</f>
        <v>107.92399101669906</v>
      </c>
      <c r="AE45" s="14">
        <f>AE11*Inputs!$C$49</f>
        <v>109.50928765364385</v>
      </c>
      <c r="AF45" s="14">
        <f>AF11*Inputs!$C$49</f>
        <v>112.00882092951629</v>
      </c>
      <c r="AG45" s="14">
        <f>AG11*Inputs!$C$49</f>
        <v>114.82683784552329</v>
      </c>
      <c r="AH45" s="14">
        <f>AH11*Inputs!$C$49</f>
        <v>115.16989323865346</v>
      </c>
    </row>
    <row r="46" spans="1:36" ht="15">
      <c r="A46" s="8" t="s">
        <v>51</v>
      </c>
      <c r="B46" s="34">
        <v>1</v>
      </c>
      <c r="C46" s="296">
        <f>C12*Inputs!$C$52</f>
        <v>0</v>
      </c>
      <c r="D46" s="296">
        <f>D12*Inputs!$C$52</f>
        <v>0</v>
      </c>
      <c r="E46" s="296">
        <f>E12*Inputs!$C$52</f>
        <v>9.4127100000000005E-2</v>
      </c>
      <c r="F46" s="296">
        <f>F12*Inputs!$C$52</f>
        <v>0.11046945000000001</v>
      </c>
      <c r="G46" s="296">
        <f>G12*Inputs!$C$52</f>
        <v>0.13180845000000002</v>
      </c>
      <c r="H46" s="14">
        <f>H12*Inputs!$C$52</f>
        <v>0.11780924999999999</v>
      </c>
      <c r="I46" s="14">
        <f>I12*Inputs!$C$52</f>
        <v>0.13165740000000001</v>
      </c>
      <c r="J46" s="14">
        <f>J12*Inputs!$C$52</f>
        <v>0.1178004</v>
      </c>
      <c r="K46" s="14">
        <f>K12*Inputs!$C$52</f>
        <v>0.13085655000000002</v>
      </c>
      <c r="L46" s="14">
        <f>L12*Inputs!$C$52</f>
        <v>0.1028739</v>
      </c>
      <c r="M46" s="14">
        <f>M12*Inputs!$C$52</f>
        <v>0.13286909999999999</v>
      </c>
      <c r="N46" s="190">
        <f>N12*Inputs!$C$52</f>
        <v>0.14646044999999999</v>
      </c>
      <c r="O46" s="14">
        <f>O12*Inputs!$C$52</f>
        <v>0.13288079999999999</v>
      </c>
      <c r="P46" s="14">
        <f>P12*Inputs!$C$52</f>
        <v>0.11796555</v>
      </c>
      <c r="Q46" s="14">
        <f>Q12*Inputs!$C$52</f>
        <v>0.13156199999999998</v>
      </c>
      <c r="R46" s="14">
        <f>R12*Inputs!$C$52</f>
        <v>0.14692064999999999</v>
      </c>
      <c r="S46" s="14">
        <f>S12*Inputs!$C$52</f>
        <v>0.11767815</v>
      </c>
      <c r="T46" s="14">
        <f>T12*Inputs!$C$52</f>
        <v>0.13106999999999999</v>
      </c>
      <c r="U46" s="14">
        <f>U12*Inputs!$C$52</f>
        <v>0.13100234999999999</v>
      </c>
      <c r="V46" s="14">
        <f>V12*Inputs!$C$52</f>
        <v>0.13282154999999998</v>
      </c>
      <c r="W46" s="14">
        <f>W12*Inputs!$C$52</f>
        <v>0.11588189999999998</v>
      </c>
      <c r="X46" s="187">
        <f>X12*Inputs!$C$52</f>
        <v>0.11647724999999999</v>
      </c>
      <c r="Y46" s="14">
        <f>Y12*Inputs!$C$52</f>
        <v>0.13169310000000001</v>
      </c>
      <c r="Z46" s="14">
        <f>Z12*Inputs!$C$52</f>
        <v>0.11565855</v>
      </c>
      <c r="AA46" s="14">
        <f>AA12*Inputs!$C$52</f>
        <v>0.13079759999999999</v>
      </c>
      <c r="AB46" s="14">
        <f>AB12*Inputs!$C$52</f>
        <v>0.13097790000000001</v>
      </c>
      <c r="AC46" s="14">
        <f>AC12*Inputs!$C$52</f>
        <v>0.11540144999999999</v>
      </c>
      <c r="AD46" s="14">
        <f>AD12*Inputs!$C$52</f>
        <v>0.13063605</v>
      </c>
      <c r="AE46" s="14">
        <f>AE12*Inputs!$C$52</f>
        <v>0.11527739999999999</v>
      </c>
      <c r="AF46" s="14">
        <f>AF12*Inputs!$C$52</f>
        <v>0.11544915</v>
      </c>
      <c r="AG46" s="14">
        <f>AG12*Inputs!$C$52</f>
        <v>0.1153941</v>
      </c>
      <c r="AH46" s="14">
        <f>AH12*Inputs!$C$52</f>
        <v>0.11776455</v>
      </c>
    </row>
    <row r="47" spans="1:36" ht="15">
      <c r="A47" s="8" t="s">
        <v>347</v>
      </c>
      <c r="B47" s="34">
        <v>1</v>
      </c>
      <c r="C47" s="296">
        <f>C13*Inputs!$C$54</f>
        <v>0</v>
      </c>
      <c r="D47" s="296">
        <f>D13*Inputs!$C$54</f>
        <v>0</v>
      </c>
      <c r="E47" s="296">
        <f>E13*Inputs!$C$54</f>
        <v>1.5800000000000002E-2</v>
      </c>
      <c r="F47" s="296">
        <f>F13*Inputs!$C$54</f>
        <v>1.5800000000000002E-2</v>
      </c>
      <c r="G47" s="296">
        <f>G13*Inputs!$C$54</f>
        <v>1.5800000000000002E-2</v>
      </c>
      <c r="H47" s="14">
        <f>H13*Inputs!$C$54</f>
        <v>1.5800000000000002E-2</v>
      </c>
      <c r="I47" s="14">
        <f>I13*Inputs!$C$54</f>
        <v>1.5800000000000002E-2</v>
      </c>
      <c r="J47" s="14">
        <f>J13*Inputs!$C$54</f>
        <v>1.5800000000000002E-2</v>
      </c>
      <c r="K47" s="14">
        <f>K13*Inputs!$C$54</f>
        <v>1.5800000000000002E-2</v>
      </c>
      <c r="L47" s="14">
        <f>L13*Inputs!$C$54</f>
        <v>1.5800000000000002E-2</v>
      </c>
      <c r="M47" s="14">
        <f>M13*Inputs!$C$54</f>
        <v>1.5800000000000002E-2</v>
      </c>
      <c r="N47" s="190">
        <f>N13*Inputs!$C$54</f>
        <v>1.5800000000000002E-2</v>
      </c>
      <c r="O47" s="14">
        <f>O13*Inputs!$C$54</f>
        <v>1.5800000000000002E-2</v>
      </c>
      <c r="P47" s="14">
        <f>P13*Inputs!$C$54</f>
        <v>1.5800000000000002E-2</v>
      </c>
      <c r="Q47" s="14">
        <f>Q13*Inputs!$C$54</f>
        <v>1.5800000000000002E-2</v>
      </c>
      <c r="R47" s="14">
        <f>R13*Inputs!$C$54</f>
        <v>1.5800000000000002E-2</v>
      </c>
      <c r="S47" s="14">
        <f>S13*Inputs!$C$54</f>
        <v>1.5800000000000002E-2</v>
      </c>
      <c r="T47" s="14">
        <f>T13*Inputs!$C$54</f>
        <v>1.5800000000000002E-2</v>
      </c>
      <c r="U47" s="14">
        <f>U13*Inputs!$C$54</f>
        <v>1.5800000000000002E-2</v>
      </c>
      <c r="V47" s="14">
        <f>V13*Inputs!$C$54</f>
        <v>1.5800000000000002E-2</v>
      </c>
      <c r="W47" s="14">
        <f>W13*Inputs!$C$54</f>
        <v>1.5800000000000002E-2</v>
      </c>
      <c r="X47" s="187">
        <f>X13*Inputs!$C$54</f>
        <v>1.5800000000000002E-2</v>
      </c>
      <c r="Y47" s="14">
        <f>Y13*Inputs!$C$54</f>
        <v>1.5800000000000002E-2</v>
      </c>
      <c r="Z47" s="14">
        <f>Z13*Inputs!$C$54</f>
        <v>1.5800000000000002E-2</v>
      </c>
      <c r="AA47" s="14">
        <f>AA13*Inputs!$C$54</f>
        <v>1.5800000000000002E-2</v>
      </c>
      <c r="AB47" s="14">
        <f>AB13*Inputs!$C$54</f>
        <v>1.5800000000000002E-2</v>
      </c>
      <c r="AC47" s="14">
        <f>AC13*Inputs!$C$54</f>
        <v>1.5800000000000002E-2</v>
      </c>
      <c r="AD47" s="14">
        <f>AD13*Inputs!$C$54</f>
        <v>1.5800000000000002E-2</v>
      </c>
      <c r="AE47" s="14">
        <f>AE13*Inputs!$C$54</f>
        <v>1.5800000000000002E-2</v>
      </c>
      <c r="AF47" s="14">
        <f>AF13*Inputs!$C$54</f>
        <v>1.5800000000000002E-2</v>
      </c>
      <c r="AG47" s="14">
        <f>AG13*Inputs!$C$54</f>
        <v>1.5800000000000002E-2</v>
      </c>
      <c r="AH47" s="14">
        <f>AH13*Inputs!$C$54</f>
        <v>0</v>
      </c>
    </row>
    <row r="48" spans="1:36" ht="15">
      <c r="A48" s="8" t="s">
        <v>348</v>
      </c>
      <c r="B48" s="34">
        <v>1</v>
      </c>
      <c r="C48" s="296">
        <f>C14*Inputs!$C$55</f>
        <v>0</v>
      </c>
      <c r="D48" s="296">
        <f>D14*Inputs!$C$55</f>
        <v>0</v>
      </c>
      <c r="E48" s="296">
        <f>E14*Inputs!$C$55</f>
        <v>2.3E-3</v>
      </c>
      <c r="F48" s="296">
        <f>F14*Inputs!$C$55</f>
        <v>2.3E-3</v>
      </c>
      <c r="G48" s="296">
        <f>G14*Inputs!$C$55</f>
        <v>2.3E-3</v>
      </c>
      <c r="H48" s="14">
        <f>H14*Inputs!$C$55</f>
        <v>2.3E-3</v>
      </c>
      <c r="I48" s="14">
        <f>I14*Inputs!$C$55</f>
        <v>2.3E-3</v>
      </c>
      <c r="J48" s="14">
        <f>J14*Inputs!$C$55</f>
        <v>2.3E-3</v>
      </c>
      <c r="K48" s="14">
        <f>K14*Inputs!$C$55</f>
        <v>2.3E-3</v>
      </c>
      <c r="L48" s="14">
        <f>L14*Inputs!$C$55</f>
        <v>2.3E-3</v>
      </c>
      <c r="M48" s="14">
        <f>M14*Inputs!$C$55</f>
        <v>2.3E-3</v>
      </c>
      <c r="N48" s="190">
        <f>N14*Inputs!$C$55</f>
        <v>2.3E-3</v>
      </c>
      <c r="O48" s="14">
        <f>O14*Inputs!$C$55</f>
        <v>2.3E-3</v>
      </c>
      <c r="P48" s="14">
        <f>P14*Inputs!$C$55</f>
        <v>2.3E-3</v>
      </c>
      <c r="Q48" s="14">
        <f>Q14*Inputs!$C$55</f>
        <v>2.3E-3</v>
      </c>
      <c r="R48" s="14">
        <f>R14*Inputs!$C$55</f>
        <v>2.3E-3</v>
      </c>
      <c r="S48" s="14">
        <f>S14*Inputs!$C$55</f>
        <v>2.3E-3</v>
      </c>
      <c r="T48" s="14">
        <f>T14*Inputs!$C$55</f>
        <v>2.3E-3</v>
      </c>
      <c r="U48" s="14">
        <f>U14*Inputs!$C$55</f>
        <v>2.3E-3</v>
      </c>
      <c r="V48" s="14">
        <f>V14*Inputs!$C$55</f>
        <v>2.3E-3</v>
      </c>
      <c r="W48" s="14">
        <f>W14*Inputs!$C$55</f>
        <v>2.3E-3</v>
      </c>
      <c r="X48" s="187">
        <f>X14*Inputs!$C$55</f>
        <v>2.3E-3</v>
      </c>
      <c r="Y48" s="14">
        <f>Y14*Inputs!$C$55</f>
        <v>2.3E-3</v>
      </c>
      <c r="Z48" s="14">
        <f>Z14*Inputs!$C$55</f>
        <v>2.3E-3</v>
      </c>
      <c r="AA48" s="14">
        <f>AA14*Inputs!$C$55</f>
        <v>2.3E-3</v>
      </c>
      <c r="AB48" s="14">
        <f>AB14*Inputs!$C$55</f>
        <v>2.3E-3</v>
      </c>
      <c r="AC48" s="14">
        <f>AC14*Inputs!$C$55</f>
        <v>2.3E-3</v>
      </c>
      <c r="AD48" s="14">
        <f>AD14*Inputs!$C$55</f>
        <v>2.3E-3</v>
      </c>
      <c r="AE48" s="14">
        <f>AE14*Inputs!$C$55</f>
        <v>2.3E-3</v>
      </c>
      <c r="AF48" s="14">
        <f>AF14*Inputs!$C$55</f>
        <v>2.3E-3</v>
      </c>
      <c r="AG48" s="14">
        <f>AG14*Inputs!$C$55</f>
        <v>2.3E-3</v>
      </c>
      <c r="AH48" s="14">
        <f>AH14*Inputs!$C$55</f>
        <v>2.3E-3</v>
      </c>
    </row>
    <row r="49" spans="1:34" ht="15">
      <c r="A49" s="8" t="s">
        <v>344</v>
      </c>
      <c r="B49" s="34">
        <v>1</v>
      </c>
      <c r="C49" s="296">
        <f>C15*Inputs!$C$51</f>
        <v>2.7000000000000001E-3</v>
      </c>
      <c r="D49" s="296">
        <f>D15*Inputs!$C$51</f>
        <v>2.7000000000000001E-3</v>
      </c>
      <c r="E49" s="296">
        <f>E15*Inputs!$C$51</f>
        <v>2.7000000000000001E-3</v>
      </c>
      <c r="F49" s="296">
        <f>F15*Inputs!$C$51</f>
        <v>2.7000000000000001E-3</v>
      </c>
      <c r="G49" s="296">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296">
        <f>C16*Inputs!$C$57</f>
        <v>53.21</v>
      </c>
      <c r="D50" s="296">
        <f>D16*Inputs!$C$57</f>
        <v>74.97</v>
      </c>
      <c r="E50" s="296">
        <f>E16*Inputs!$C$57</f>
        <v>109.54705152508379</v>
      </c>
      <c r="F50" s="296">
        <f>F16*Inputs!$C$57</f>
        <v>125.03732382654825</v>
      </c>
      <c r="G50" s="296">
        <f>G16*Inputs!$C$57</f>
        <v>147.13213560290956</v>
      </c>
      <c r="H50" s="14">
        <f>H16*Inputs!$C$57</f>
        <v>147.5884007445633</v>
      </c>
      <c r="I50" s="14">
        <f>I16*Inputs!$C$57</f>
        <v>157.91132540914427</v>
      </c>
      <c r="J50" s="14">
        <f>J16*Inputs!$C$57</f>
        <v>163.82294614505787</v>
      </c>
      <c r="K50" s="14">
        <f>K16*Inputs!$C$57</f>
        <v>163.83241192382943</v>
      </c>
      <c r="L50" s="14">
        <f>L16*Inputs!$C$57</f>
        <v>163.82839558568145</v>
      </c>
      <c r="M50" s="14">
        <f>M16*Inputs!$C$57</f>
        <v>163.81889785876555</v>
      </c>
      <c r="N50" s="190">
        <f>N16*Inputs!$C$57</f>
        <v>163.81635569927869</v>
      </c>
      <c r="O50" s="14">
        <f>O16*Inputs!$C$57</f>
        <v>163.81527859041171</v>
      </c>
      <c r="P50" s="14">
        <f>P16*Inputs!$C$57</f>
        <v>163.8686548115945</v>
      </c>
      <c r="Q50" s="14">
        <f>Q16*Inputs!$C$57</f>
        <v>163.83271771321117</v>
      </c>
      <c r="R50" s="14">
        <f>R16*Inputs!$C$57</f>
        <v>163.82990627650756</v>
      </c>
      <c r="S50" s="14">
        <f>S16*Inputs!$C$57</f>
        <v>163.98818651170365</v>
      </c>
      <c r="T50" s="14">
        <f>T16*Inputs!$C$57</f>
        <v>164.23550622522848</v>
      </c>
      <c r="U50" s="14">
        <f>U16*Inputs!$C$57</f>
        <v>164.47109184173223</v>
      </c>
      <c r="V50" s="14">
        <f>V16*Inputs!$C$57</f>
        <v>164.58021757482157</v>
      </c>
      <c r="W50" s="14">
        <f>W16*Inputs!$C$57</f>
        <v>164.62322890517012</v>
      </c>
      <c r="X50" s="187">
        <f>X16*Inputs!$C$57</f>
        <v>164.82003860246323</v>
      </c>
      <c r="Y50" s="14">
        <f>Y16*Inputs!$C$57</f>
        <v>165.05891944185666</v>
      </c>
      <c r="Z50" s="14">
        <f>Z16*Inputs!$C$57</f>
        <v>165.29495233238143</v>
      </c>
      <c r="AA50" s="14">
        <f>AA16*Inputs!$C$57</f>
        <v>165.54559465291959</v>
      </c>
      <c r="AB50" s="14">
        <f>AB16*Inputs!$C$57</f>
        <v>166.59489950624891</v>
      </c>
      <c r="AC50" s="14">
        <f>AC16*Inputs!$C$57</f>
        <v>167.32225378083061</v>
      </c>
      <c r="AD50" s="14">
        <f>AD16*Inputs!$C$57</f>
        <v>181.10422685527121</v>
      </c>
      <c r="AE50" s="14">
        <f>AE16*Inputs!$C$57</f>
        <v>196.97716946584794</v>
      </c>
      <c r="AF50" s="14">
        <f>AF16*Inputs!$C$57</f>
        <v>201.32662635105675</v>
      </c>
      <c r="AG50" s="14">
        <f>AG16*Inputs!$C$57</f>
        <v>202.87484711875913</v>
      </c>
      <c r="AH50" s="14">
        <f>AH16*Inputs!$C$57</f>
        <v>205.58891500639211</v>
      </c>
    </row>
    <row r="51" spans="1:34" s="20" customFormat="1" ht="15">
      <c r="A51" s="8" t="s">
        <v>128</v>
      </c>
      <c r="B51" s="38"/>
      <c r="C51" s="299">
        <f t="shared" ref="C51:AH51" si="21">SUMPRODUCT($B42:$B50,C42:C50)</f>
        <v>172.59270000000001</v>
      </c>
      <c r="D51" s="299">
        <f t="shared" si="21"/>
        <v>193.3527</v>
      </c>
      <c r="E51" s="299">
        <f t="shared" si="21"/>
        <v>222.31495081598513</v>
      </c>
      <c r="F51" s="299">
        <f t="shared" si="21"/>
        <v>235.04865016825815</v>
      </c>
      <c r="G51" s="299">
        <f t="shared" si="21"/>
        <v>257.73411728888721</v>
      </c>
      <c r="H51" s="19">
        <f t="shared" si="21"/>
        <v>266.0737222047951</v>
      </c>
      <c r="I51" s="19">
        <f t="shared" si="21"/>
        <v>275.51834944160129</v>
      </c>
      <c r="J51" s="19">
        <f t="shared" si="21"/>
        <v>294.61745835544338</v>
      </c>
      <c r="K51" s="19">
        <f t="shared" si="21"/>
        <v>311.93896728216953</v>
      </c>
      <c r="L51" s="19">
        <f t="shared" si="21"/>
        <v>343.21276523925417</v>
      </c>
      <c r="M51" s="19">
        <f t="shared" si="21"/>
        <v>361.45414395952128</v>
      </c>
      <c r="N51" s="190">
        <f t="shared" si="21"/>
        <v>364.45228284114921</v>
      </c>
      <c r="O51" s="19">
        <f t="shared" si="21"/>
        <v>375.03865928898142</v>
      </c>
      <c r="P51" s="19">
        <f t="shared" si="21"/>
        <v>383.1920301766342</v>
      </c>
      <c r="Q51" s="19">
        <f t="shared" si="21"/>
        <v>390.96225475895028</v>
      </c>
      <c r="R51" s="19">
        <f t="shared" si="21"/>
        <v>402.18868655089273</v>
      </c>
      <c r="S51" s="19">
        <f t="shared" si="21"/>
        <v>408.97588016449771</v>
      </c>
      <c r="T51" s="19">
        <f t="shared" si="21"/>
        <v>425.579767725691</v>
      </c>
      <c r="U51" s="19">
        <f t="shared" si="21"/>
        <v>434.81486280787067</v>
      </c>
      <c r="V51" s="19">
        <f t="shared" si="21"/>
        <v>439.25109992381169</v>
      </c>
      <c r="W51" s="19">
        <f t="shared" si="21"/>
        <v>443.44655779560094</v>
      </c>
      <c r="X51" s="182">
        <f t="shared" si="21"/>
        <v>449.13965827494474</v>
      </c>
      <c r="Y51" s="19">
        <f t="shared" si="21"/>
        <v>459.42149119842486</v>
      </c>
      <c r="Z51" s="19">
        <f t="shared" si="21"/>
        <v>482.62578498417054</v>
      </c>
      <c r="AA51" s="19">
        <f t="shared" si="21"/>
        <v>495.90015453163289</v>
      </c>
      <c r="AB51" s="19">
        <f t="shared" si="21"/>
        <v>511.12241447169362</v>
      </c>
      <c r="AC51" s="19">
        <f t="shared" si="21"/>
        <v>519.98255533018255</v>
      </c>
      <c r="AD51" s="19">
        <f t="shared" si="21"/>
        <v>541.10546849493028</v>
      </c>
      <c r="AE51" s="19">
        <f t="shared" si="21"/>
        <v>569.33675314464449</v>
      </c>
      <c r="AF51" s="19">
        <f t="shared" si="21"/>
        <v>581.78369275252408</v>
      </c>
      <c r="AG51" s="19">
        <f t="shared" si="21"/>
        <v>593.22150444399131</v>
      </c>
      <c r="AH51" s="19">
        <f t="shared" si="21"/>
        <v>603.71563677175891</v>
      </c>
    </row>
    <row r="52" spans="1:34" s="20" customFormat="1" ht="15">
      <c r="A52" s="27" t="s">
        <v>329</v>
      </c>
      <c r="B52" s="39"/>
      <c r="C52" s="299">
        <f>SUM(C40:C50)</f>
        <v>1737.6911999999998</v>
      </c>
      <c r="D52" s="299">
        <f t="shared" ref="D52:I52" si="22">SUM(D42:D50)</f>
        <v>1566.4511999999997</v>
      </c>
      <c r="E52" s="299">
        <f t="shared" si="22"/>
        <v>2000.6049909861376</v>
      </c>
      <c r="F52" s="299">
        <f t="shared" si="22"/>
        <v>1906.6040191834825</v>
      </c>
      <c r="G52" s="299">
        <f t="shared" si="22"/>
        <v>1632.4337876644124</v>
      </c>
      <c r="H52" s="19">
        <f t="shared" si="22"/>
        <v>1670.0129880775046</v>
      </c>
      <c r="I52" s="19">
        <f t="shared" si="22"/>
        <v>1702.5868750512893</v>
      </c>
      <c r="J52" s="19">
        <f t="shared" ref="J52:AH52" si="23">SUM(J42:J50)</f>
        <v>1746.8873055451256</v>
      </c>
      <c r="K52" s="19">
        <f t="shared" si="23"/>
        <v>1781.927896959982</v>
      </c>
      <c r="L52" s="19">
        <f t="shared" si="23"/>
        <v>1806.8992049938511</v>
      </c>
      <c r="M52" s="19">
        <f t="shared" si="23"/>
        <v>1825.1410660452937</v>
      </c>
      <c r="N52" s="190">
        <f t="shared" si="23"/>
        <v>1828.138722595746</v>
      </c>
      <c r="O52" s="19">
        <f t="shared" si="23"/>
        <v>1846.2946291161061</v>
      </c>
      <c r="P52" s="19">
        <f t="shared" si="23"/>
        <v>1854.4475176725832</v>
      </c>
      <c r="Q52" s="19">
        <f t="shared" si="23"/>
        <v>1862.2175778238168</v>
      </c>
      <c r="R52" s="19">
        <f t="shared" si="23"/>
        <v>1873.4440096157591</v>
      </c>
      <c r="S52" s="19">
        <f t="shared" si="23"/>
        <v>1880.2312032293642</v>
      </c>
      <c r="T52" s="19">
        <f t="shared" si="23"/>
        <v>1896.8349153974025</v>
      </c>
      <c r="U52" s="19">
        <f t="shared" si="23"/>
        <v>1906.0700104795826</v>
      </c>
      <c r="V52" s="19">
        <f t="shared" si="23"/>
        <v>1910.5062475955235</v>
      </c>
      <c r="W52" s="19">
        <f t="shared" si="23"/>
        <v>1923.5884819796763</v>
      </c>
      <c r="X52" s="182">
        <f t="shared" si="23"/>
        <v>1929.2815824590198</v>
      </c>
      <c r="Y52" s="19">
        <f t="shared" si="23"/>
        <v>1941.4915123317508</v>
      </c>
      <c r="Z52" s="19">
        <f t="shared" si="23"/>
        <v>1964.6958170795685</v>
      </c>
      <c r="AA52" s="19">
        <f t="shared" si="23"/>
        <v>1977.9701866270307</v>
      </c>
      <c r="AB52" s="19">
        <f t="shared" si="23"/>
        <v>1993.1924465670918</v>
      </c>
      <c r="AC52" s="19">
        <f t="shared" si="23"/>
        <v>2004.8896155506029</v>
      </c>
      <c r="AD52" s="19">
        <f t="shared" si="23"/>
        <v>2026.0130220085982</v>
      </c>
      <c r="AE52" s="19">
        <f t="shared" si="23"/>
        <v>2054.2439668340753</v>
      </c>
      <c r="AF52" s="19">
        <f t="shared" si="23"/>
        <v>2066.6904021866353</v>
      </c>
      <c r="AG52" s="19">
        <f t="shared" si="23"/>
        <v>2084.9808353930021</v>
      </c>
      <c r="AH52" s="19">
        <f t="shared" si="23"/>
        <v>2095.4748142517597</v>
      </c>
    </row>
    <row r="53" spans="1:34" s="20" customFormat="1" ht="15">
      <c r="A53" s="27" t="s">
        <v>330</v>
      </c>
      <c r="B53" s="39"/>
      <c r="C53" s="299">
        <f>C20*Inputs!$C$60</f>
        <v>9.1300000000000008</v>
      </c>
      <c r="D53" s="299">
        <f>D20*Inputs!$C$60</f>
        <v>9.68</v>
      </c>
      <c r="E53" s="299">
        <f>E20*Inputs!$C$60</f>
        <v>7.5376466364112007</v>
      </c>
      <c r="F53" s="299">
        <f>F20*Inputs!$C$60</f>
        <v>7.5586000302885248</v>
      </c>
      <c r="G53" s="299">
        <f>G20*Inputs!$C$60</f>
        <v>7.0017140044559802</v>
      </c>
      <c r="H53" s="19">
        <f>H20*Inputs!$C$60</f>
        <v>7.270997751072354</v>
      </c>
      <c r="I53" s="19">
        <f>I20*Inputs!$C$60</f>
        <v>7.8753303853138652</v>
      </c>
      <c r="J53" s="19">
        <f>J20*Inputs!$C$60</f>
        <v>7.8296901750111418</v>
      </c>
      <c r="K53" s="19">
        <f>K20*Inputs!$C$60</f>
        <v>8.0641502473652249</v>
      </c>
      <c r="L53" s="19">
        <f>L20*Inputs!$C$60</f>
        <v>8.115869600416886</v>
      </c>
      <c r="M53" s="19">
        <f>M20*Inputs!$C$60</f>
        <v>8.1001977294970207</v>
      </c>
      <c r="N53" s="190">
        <f>N20*Inputs!$C$60</f>
        <v>8.1058588632828332</v>
      </c>
      <c r="O53" s="19">
        <f>O20*Inputs!$C$60</f>
        <v>7.8670037341786916</v>
      </c>
      <c r="P53" s="19">
        <f>P20*Inputs!$C$60</f>
        <v>7.7654288048577982</v>
      </c>
      <c r="Q53" s="19">
        <f>Q20*Inputs!$C$60</f>
        <v>7.7683225881921034</v>
      </c>
      <c r="R53" s="19">
        <f>R20*Inputs!$C$60</f>
        <v>7.7677541084894459</v>
      </c>
      <c r="S53" s="19">
        <f>S20*Inputs!$C$60</f>
        <v>7.7708222755480261</v>
      </c>
      <c r="T53" s="19">
        <f>T20*Inputs!$C$60</f>
        <v>7.7450201025703693</v>
      </c>
      <c r="U53" s="19">
        <f>U20*Inputs!$C$60</f>
        <v>7.7332440502124831</v>
      </c>
      <c r="V53" s="19">
        <f>V20*Inputs!$C$60</f>
        <v>7.7219317099635099</v>
      </c>
      <c r="W53" s="19">
        <f>W20*Inputs!$C$60</f>
        <v>7.7142913552469681</v>
      </c>
      <c r="X53" s="182">
        <f>X20*Inputs!$C$60</f>
        <v>7.7052990740063523</v>
      </c>
      <c r="Y53" s="19">
        <f>Y20*Inputs!$C$60</f>
        <v>7.6958122997130127</v>
      </c>
      <c r="Z53" s="19">
        <f>Z20*Inputs!$C$60</f>
        <v>7.6674019256261996</v>
      </c>
      <c r="AA53" s="19">
        <f>AA20*Inputs!$C$60</f>
        <v>7.6581462893734136</v>
      </c>
      <c r="AB53" s="19">
        <f>AB20*Inputs!$C$60</f>
        <v>7.6494847940157964</v>
      </c>
      <c r="AC53" s="19">
        <f>AC20*Inputs!$C$60</f>
        <v>7.642861209420925</v>
      </c>
      <c r="AD53" s="19">
        <f>AD20*Inputs!$C$60</f>
        <v>7.6383270452817911</v>
      </c>
      <c r="AE53" s="19">
        <f>AE20*Inputs!$C$60</f>
        <v>7.6281969929679674</v>
      </c>
      <c r="AF53" s="19">
        <f>AF20*Inputs!$C$60</f>
        <v>7.6192366165190144</v>
      </c>
      <c r="AG53" s="19">
        <f>AG20*Inputs!$C$60</f>
        <v>7.6112944462195316</v>
      </c>
      <c r="AH53" s="19">
        <f>AH20*Inputs!$C$60</f>
        <v>7.602287180340956</v>
      </c>
    </row>
    <row r="54" spans="1:34" s="20" customFormat="1" ht="15">
      <c r="A54" s="27" t="s">
        <v>222</v>
      </c>
      <c r="B54" s="39"/>
      <c r="C54" s="299">
        <f>C21*Inputs!$C$61</f>
        <v>180.84</v>
      </c>
      <c r="D54" s="299">
        <f>D21*Inputs!$C$61</f>
        <v>185.79</v>
      </c>
      <c r="E54" s="299">
        <f>E21*Inputs!$C$61</f>
        <v>84.071806331711898</v>
      </c>
      <c r="F54" s="299">
        <f>F21*Inputs!$C$61</f>
        <v>100.69505075241291</v>
      </c>
      <c r="G54" s="299">
        <f>G21*Inputs!$C$61</f>
        <v>124.58641318157002</v>
      </c>
      <c r="H54" s="19">
        <f>H21*Inputs!$C$61</f>
        <v>122.08754693205191</v>
      </c>
      <c r="I54" s="19">
        <f>I21*Inputs!$C$61</f>
        <v>78.949326120753298</v>
      </c>
      <c r="J54" s="19">
        <f>J21*Inputs!$C$61</f>
        <v>85.351308123012785</v>
      </c>
      <c r="K54" s="19">
        <f>K21*Inputs!$C$61</f>
        <v>84.805436607922843</v>
      </c>
      <c r="L54" s="19">
        <f>L21*Inputs!$C$61</f>
        <v>93.622962324073384</v>
      </c>
      <c r="M54" s="19">
        <f>M21*Inputs!$C$61</f>
        <v>97.33101824895607</v>
      </c>
      <c r="N54" s="190">
        <f>N21*Inputs!$C$61</f>
        <v>101.52575779915517</v>
      </c>
      <c r="O54" s="19">
        <f>O21*Inputs!$C$61</f>
        <v>116.70813822235023</v>
      </c>
      <c r="P54" s="19">
        <f>P21*Inputs!$C$61</f>
        <v>130.84983992601491</v>
      </c>
      <c r="Q54" s="19">
        <f>Q21*Inputs!$C$61</f>
        <v>140.2198857990447</v>
      </c>
      <c r="R54" s="19">
        <f>R21*Inputs!$C$61</f>
        <v>143.91216928733448</v>
      </c>
      <c r="S54" s="19">
        <f>S21*Inputs!$C$61</f>
        <v>151.30765486198041</v>
      </c>
      <c r="T54" s="19">
        <f>T21*Inputs!$C$61</f>
        <v>161.45091315050257</v>
      </c>
      <c r="U54" s="19">
        <f>U21*Inputs!$C$61</f>
        <v>167.35864390576793</v>
      </c>
      <c r="V54" s="19">
        <f>V21*Inputs!$C$61</f>
        <v>171.49822435371533</v>
      </c>
      <c r="W54" s="19">
        <f>W21*Inputs!$C$61</f>
        <v>180.49414132880958</v>
      </c>
      <c r="X54" s="182">
        <f>X21*Inputs!$C$61</f>
        <v>188.46765002154697</v>
      </c>
      <c r="Y54" s="19">
        <f>Y21*Inputs!$C$61</f>
        <v>188.35576548944374</v>
      </c>
      <c r="Z54" s="19">
        <f>Z21*Inputs!$C$61</f>
        <v>195.99667454389839</v>
      </c>
      <c r="AA54" s="19">
        <f>AA21*Inputs!$C$61</f>
        <v>199.57483189997046</v>
      </c>
      <c r="AB54" s="19">
        <f>AB21*Inputs!$C$61</f>
        <v>201.39940046430431</v>
      </c>
      <c r="AC54" s="19">
        <f>AC21*Inputs!$C$61</f>
        <v>203.78648372645827</v>
      </c>
      <c r="AD54" s="19">
        <f>AD21*Inputs!$C$61</f>
        <v>202.48119972591275</v>
      </c>
      <c r="AE54" s="19">
        <f>AE21*Inputs!$C$61</f>
        <v>203.09226296347245</v>
      </c>
      <c r="AF54" s="19">
        <f>AF21*Inputs!$C$61</f>
        <v>206.35575094355946</v>
      </c>
      <c r="AG54" s="19">
        <f>AG21*Inputs!$C$61</f>
        <v>214.06191518594576</v>
      </c>
      <c r="AH54" s="19">
        <f>AH21*Inputs!$C$61</f>
        <v>220.91201412163073</v>
      </c>
    </row>
    <row r="55" spans="1:34" s="20" customFormat="1" ht="15">
      <c r="A55" s="27" t="s">
        <v>58</v>
      </c>
      <c r="B55" s="39"/>
      <c r="C55" s="299">
        <f>SUM(C52:C54)</f>
        <v>1927.6611999999998</v>
      </c>
      <c r="D55" s="299">
        <f t="shared" ref="D55:AH55" si="24">SUM(D52:D54)</f>
        <v>1761.9211999999998</v>
      </c>
      <c r="E55" s="299">
        <f t="shared" si="24"/>
        <v>2092.2144439542608</v>
      </c>
      <c r="F55" s="299">
        <f t="shared" si="24"/>
        <v>2014.8576699661839</v>
      </c>
      <c r="G55" s="299">
        <f t="shared" si="24"/>
        <v>1764.0219148504384</v>
      </c>
      <c r="H55" s="19">
        <f t="shared" si="24"/>
        <v>1799.371532760629</v>
      </c>
      <c r="I55" s="19">
        <f t="shared" si="24"/>
        <v>1789.4115315573565</v>
      </c>
      <c r="J55" s="19">
        <f t="shared" si="24"/>
        <v>1840.0683038431496</v>
      </c>
      <c r="K55" s="19">
        <f t="shared" si="24"/>
        <v>1874.79748381527</v>
      </c>
      <c r="L55" s="19">
        <f t="shared" si="24"/>
        <v>1908.6380369183412</v>
      </c>
      <c r="M55" s="19">
        <f t="shared" si="24"/>
        <v>1930.5722820237468</v>
      </c>
      <c r="N55" s="190">
        <f t="shared" si="24"/>
        <v>1937.7703392581839</v>
      </c>
      <c r="O55" s="19">
        <f t="shared" si="24"/>
        <v>1970.8697710726351</v>
      </c>
      <c r="P55" s="19">
        <f t="shared" si="24"/>
        <v>1993.0627864034559</v>
      </c>
      <c r="Q55" s="19">
        <f t="shared" si="24"/>
        <v>2010.2057862110537</v>
      </c>
      <c r="R55" s="19">
        <f t="shared" si="24"/>
        <v>2025.1239330115832</v>
      </c>
      <c r="S55" s="19">
        <f t="shared" si="24"/>
        <v>2039.3096803668925</v>
      </c>
      <c r="T55" s="19">
        <f t="shared" si="24"/>
        <v>2066.0308486504755</v>
      </c>
      <c r="U55" s="19">
        <f t="shared" si="24"/>
        <v>2081.1618984355632</v>
      </c>
      <c r="V55" s="19">
        <f t="shared" si="24"/>
        <v>2089.7264036592023</v>
      </c>
      <c r="W55" s="19">
        <f t="shared" si="24"/>
        <v>2111.7969146637329</v>
      </c>
      <c r="X55" s="182">
        <f t="shared" si="24"/>
        <v>2125.4545315545734</v>
      </c>
      <c r="Y55" s="19">
        <f t="shared" si="24"/>
        <v>2137.5430901209074</v>
      </c>
      <c r="Z55" s="19">
        <f t="shared" si="24"/>
        <v>2168.3598935490932</v>
      </c>
      <c r="AA55" s="19">
        <f t="shared" si="24"/>
        <v>2185.2031648163747</v>
      </c>
      <c r="AB55" s="19">
        <f t="shared" si="24"/>
        <v>2202.2413318254116</v>
      </c>
      <c r="AC55" s="19">
        <f t="shared" si="24"/>
        <v>2216.318960486482</v>
      </c>
      <c r="AD55" s="19">
        <f t="shared" si="24"/>
        <v>2236.1325487797926</v>
      </c>
      <c r="AE55" s="19">
        <f t="shared" si="24"/>
        <v>2264.9644267905155</v>
      </c>
      <c r="AF55" s="19">
        <f t="shared" si="24"/>
        <v>2280.665389746714</v>
      </c>
      <c r="AG55" s="19">
        <f t="shared" si="24"/>
        <v>2306.6540450251678</v>
      </c>
      <c r="AH55" s="19">
        <f t="shared" si="24"/>
        <v>2323.9891155537316</v>
      </c>
    </row>
    <row r="57" spans="1:34">
      <c r="A57" s="1" t="s">
        <v>140</v>
      </c>
      <c r="B57" s="13"/>
      <c r="D57" s="298"/>
      <c r="E57" s="298"/>
      <c r="F57" s="298"/>
      <c r="G57" s="298"/>
      <c r="H57" s="16"/>
      <c r="I57" s="16"/>
      <c r="J57" s="16"/>
      <c r="K57" s="16"/>
      <c r="L57" s="16"/>
      <c r="M57" s="16"/>
      <c r="N57" s="354" t="s">
        <v>0</v>
      </c>
    </row>
    <row r="58" spans="1:34" ht="15">
      <c r="A58" s="8" t="s">
        <v>61</v>
      </c>
      <c r="B58" s="34">
        <v>0</v>
      </c>
      <c r="C58" s="296">
        <f>C40*Inputs!$H44</f>
        <v>0</v>
      </c>
      <c r="D58" s="296">
        <f>D40*Inputs!$H44</f>
        <v>0</v>
      </c>
      <c r="E58" s="296">
        <f>E40*Inputs!$H44</f>
        <v>0</v>
      </c>
      <c r="F58" s="296">
        <f>F40*Inputs!$H44</f>
        <v>0</v>
      </c>
      <c r="G58" s="296">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296">
        <f>C41*Inputs!$H47</f>
        <v>0</v>
      </c>
      <c r="D59" s="296">
        <f>D41*Inputs!$H47</f>
        <v>0</v>
      </c>
      <c r="E59" s="296" t="s">
        <v>377</v>
      </c>
      <c r="F59" s="296">
        <f>F41*Inputs!$H47</f>
        <v>0</v>
      </c>
      <c r="G59" s="296">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296">
        <f>C42*Inputs!$H48</f>
        <v>1408.5886499999999</v>
      </c>
      <c r="D60" s="296">
        <f>D42*Inputs!$H48</f>
        <v>1235.78865</v>
      </c>
      <c r="E60" s="296">
        <f>E42*Inputs!$H48</f>
        <v>1600.4610361531372</v>
      </c>
      <c r="F60" s="296">
        <f>F42*Inputs!$H48</f>
        <v>1504.3998321137019</v>
      </c>
      <c r="G60" s="296">
        <f>G42*Inputs!$H48</f>
        <v>1237.2297033379725</v>
      </c>
      <c r="H60" s="14">
        <f>H42*Inputs!$H48</f>
        <v>1263.5453392854383</v>
      </c>
      <c r="I60" s="14">
        <f>I42*Inputs!$H48</f>
        <v>1284.3616730487192</v>
      </c>
      <c r="J60" s="14">
        <f>J42*Inputs!$H48</f>
        <v>1307.042862470714</v>
      </c>
      <c r="K60" s="14">
        <f>K42*Inputs!$H48</f>
        <v>1322.9900367100313</v>
      </c>
      <c r="L60" s="14">
        <f>L42*Inputs!$H48</f>
        <v>1317.3177957791372</v>
      </c>
      <c r="M60" s="14">
        <f>M42*Inputs!$H48</f>
        <v>1317.3182298771951</v>
      </c>
      <c r="N60" s="190">
        <f>N42*Inputs!$H48</f>
        <v>1317.3177957791372</v>
      </c>
      <c r="O60" s="14">
        <f>O42*Inputs!$H48</f>
        <v>1324.130372844412</v>
      </c>
      <c r="P60" s="14">
        <f>P42*Inputs!$H48</f>
        <v>1324.1299387463544</v>
      </c>
      <c r="Q60" s="14">
        <f>Q42*Inputs!$H48</f>
        <v>1324.1297907583798</v>
      </c>
      <c r="R60" s="14">
        <f>R42*Inputs!$H48</f>
        <v>1324.1297907583798</v>
      </c>
      <c r="S60" s="14">
        <f>S42*Inputs!$H48</f>
        <v>1324.1297907583798</v>
      </c>
      <c r="T60" s="14">
        <f>T42*Inputs!$H48</f>
        <v>1324.1296329045408</v>
      </c>
      <c r="U60" s="14">
        <f>U42*Inputs!$H48</f>
        <v>1324.1296329045408</v>
      </c>
      <c r="V60" s="14">
        <f>V42*Inputs!$H48</f>
        <v>1324.1296329045408</v>
      </c>
      <c r="W60" s="14">
        <f>W42*Inputs!$H48</f>
        <v>1332.1277317656677</v>
      </c>
      <c r="X60" s="187">
        <f>X42*Inputs!$H48</f>
        <v>1332.1277317656677</v>
      </c>
      <c r="Y60" s="14">
        <f>Y42*Inputs!$H48</f>
        <v>1333.8630190199935</v>
      </c>
      <c r="Z60" s="14">
        <f>Z42*Inputs!$H48</f>
        <v>1333.8630288858581</v>
      </c>
      <c r="AA60" s="14">
        <f>AA42*Inputs!$H48</f>
        <v>1333.8630288858581</v>
      </c>
      <c r="AB60" s="14">
        <f>AB42*Inputs!$H48</f>
        <v>1333.8630288858581</v>
      </c>
      <c r="AC60" s="14">
        <f>AC42*Inputs!$H48</f>
        <v>1336.4163541983783</v>
      </c>
      <c r="AD60" s="14">
        <f>AD42*Inputs!$H48</f>
        <v>1336.4167981623011</v>
      </c>
      <c r="AE60" s="14">
        <f>AE42*Inputs!$H48</f>
        <v>1336.4164923204878</v>
      </c>
      <c r="AF60" s="14">
        <f>AF42*Inputs!$H48</f>
        <v>1336.4160384907002</v>
      </c>
      <c r="AG60" s="14">
        <f>AG42*Inputs!$H48</f>
        <v>1342.5833978541098</v>
      </c>
      <c r="AH60" s="14">
        <f>AH42*Inputs!$H48</f>
        <v>1342.5832597320004</v>
      </c>
    </row>
    <row r="61" spans="1:34" ht="15">
      <c r="A61" s="8" t="s">
        <v>59</v>
      </c>
      <c r="B61" s="34">
        <v>0</v>
      </c>
      <c r="C61" s="296">
        <f>C43*Inputs!$H53</f>
        <v>0</v>
      </c>
      <c r="D61" s="296">
        <f>D43*Inputs!$H53</f>
        <v>0</v>
      </c>
      <c r="E61" s="296">
        <f>E43*Inputs!$H53</f>
        <v>0</v>
      </c>
      <c r="F61" s="296">
        <f>F43*Inputs!$H53</f>
        <v>0</v>
      </c>
      <c r="G61" s="296">
        <f>G43*Inputs!$H53</f>
        <v>0</v>
      </c>
      <c r="H61" s="14">
        <f>H43*Inputs!$H53</f>
        <v>0</v>
      </c>
      <c r="I61" s="14">
        <f>I43*Inputs!$H53</f>
        <v>0</v>
      </c>
      <c r="J61" s="14">
        <f>J43*Inputs!$H53</f>
        <v>0</v>
      </c>
      <c r="K61" s="14">
        <f>K43*Inputs!$H53</f>
        <v>0</v>
      </c>
      <c r="L61" s="14">
        <f>L43*Inputs!$H53</f>
        <v>0</v>
      </c>
      <c r="M61" s="14">
        <f>M43*Inputs!$H53</f>
        <v>0</v>
      </c>
      <c r="N61" s="190">
        <f>N43*Inputs!$H53</f>
        <v>0</v>
      </c>
      <c r="O61" s="14">
        <f>O43*Inputs!$H53</f>
        <v>0</v>
      </c>
      <c r="P61" s="14">
        <f>P43*Inputs!$H53</f>
        <v>0</v>
      </c>
      <c r="Q61" s="14">
        <f>Q43*Inputs!$H53</f>
        <v>0</v>
      </c>
      <c r="R61" s="14">
        <f>R43*Inputs!$H53</f>
        <v>0</v>
      </c>
      <c r="S61" s="14">
        <f>S43*Inputs!$H53</f>
        <v>0</v>
      </c>
      <c r="T61" s="14">
        <f>T43*Inputs!$H53</f>
        <v>0</v>
      </c>
      <c r="U61" s="14">
        <f>U43*Inputs!$H53</f>
        <v>0</v>
      </c>
      <c r="V61" s="14">
        <f>V43*Inputs!$H53</f>
        <v>0</v>
      </c>
      <c r="W61" s="14">
        <f>W43*Inputs!$H53</f>
        <v>0</v>
      </c>
      <c r="X61" s="187">
        <f>X43*Inputs!$H53</f>
        <v>0</v>
      </c>
      <c r="Y61" s="14">
        <f>Y43*Inputs!$H53</f>
        <v>0</v>
      </c>
      <c r="Z61" s="14">
        <f>Z43*Inputs!$H53</f>
        <v>0</v>
      </c>
      <c r="AA61" s="14">
        <f>AA43*Inputs!$H53</f>
        <v>0</v>
      </c>
      <c r="AB61" s="14">
        <f>AB43*Inputs!$H53</f>
        <v>0</v>
      </c>
      <c r="AC61" s="14">
        <f>AC43*Inputs!$H53</f>
        <v>0</v>
      </c>
      <c r="AD61" s="14">
        <f>AD43*Inputs!$H53</f>
        <v>0</v>
      </c>
      <c r="AE61" s="14">
        <f>AE43*Inputs!$H53</f>
        <v>0</v>
      </c>
      <c r="AF61" s="14">
        <f>AF43*Inputs!$H53</f>
        <v>0</v>
      </c>
      <c r="AG61" s="14">
        <f>AG43*Inputs!$H53</f>
        <v>0</v>
      </c>
      <c r="AH61" s="14">
        <f>AH43*Inputs!$H53</f>
        <v>0</v>
      </c>
    </row>
    <row r="62" spans="1:34" ht="15">
      <c r="A62" s="8" t="s">
        <v>121</v>
      </c>
      <c r="B62" s="34">
        <v>1</v>
      </c>
      <c r="C62" s="296">
        <f>C44*Inputs!$H46</f>
        <v>90.341999999999999</v>
      </c>
      <c r="D62" s="296">
        <f>D44*Inputs!$H46</f>
        <v>90.341999999999999</v>
      </c>
      <c r="E62" s="296">
        <f>E44*Inputs!$H46</f>
        <v>91.020140226597874</v>
      </c>
      <c r="F62" s="296">
        <f>F44*Inputs!$H46</f>
        <v>88.110663995643591</v>
      </c>
      <c r="G62" s="296">
        <f>G44*Inputs!$H46</f>
        <v>86.597957188657873</v>
      </c>
      <c r="H62" s="14">
        <f>H44*Inputs!$H46</f>
        <v>92.542281359507243</v>
      </c>
      <c r="I62" s="14">
        <f>I44*Inputs!$H46</f>
        <v>91.739350339509897</v>
      </c>
      <c r="J62" s="14">
        <f>J44*Inputs!$H46</f>
        <v>99.377904736505343</v>
      </c>
      <c r="K62" s="14">
        <f>K44*Inputs!$H46</f>
        <v>108.77665975721663</v>
      </c>
      <c r="L62" s="14">
        <f>L44*Inputs!$H46</f>
        <v>132.91357896804408</v>
      </c>
      <c r="M62" s="14">
        <f>M44*Inputs!$H46</f>
        <v>148.29422075355996</v>
      </c>
      <c r="N62" s="190">
        <f>N44*Inputs!$H46</f>
        <v>150.91839598019385</v>
      </c>
      <c r="O62" s="14">
        <f>O44*Inputs!$H46</f>
        <v>158.3399608809456</v>
      </c>
      <c r="P62" s="14">
        <f>P44*Inputs!$H46</f>
        <v>162.05282237721948</v>
      </c>
      <c r="Q62" s="14">
        <f>Q44*Inputs!$H46</f>
        <v>164.7178097989601</v>
      </c>
      <c r="R62" s="14">
        <f>R44*Inputs!$H46</f>
        <v>170.22920323575806</v>
      </c>
      <c r="S62" s="14">
        <f>S44*Inputs!$H46</f>
        <v>172.3354689111321</v>
      </c>
      <c r="T62" s="14">
        <f>T44*Inputs!$H46</f>
        <v>182.21722647718579</v>
      </c>
      <c r="U62" s="14">
        <f>U44*Inputs!$H46</f>
        <v>185.95713304110743</v>
      </c>
      <c r="V62" s="14">
        <f>V44*Inputs!$H46</f>
        <v>187.48626256358983</v>
      </c>
      <c r="W62" s="14">
        <f>W44*Inputs!$H46</f>
        <v>190.67768537186944</v>
      </c>
      <c r="X62" s="187">
        <f>X44*Inputs!$H46</f>
        <v>193.37733520589242</v>
      </c>
      <c r="Y62" s="14">
        <f>Y44*Inputs!$H46</f>
        <v>196.73794692573594</v>
      </c>
      <c r="Z62" s="14">
        <f>Z44*Inputs!$H46</f>
        <v>208.25096932788244</v>
      </c>
      <c r="AA62" s="14">
        <f>AA44*Inputs!$H46</f>
        <v>212.03319059066899</v>
      </c>
      <c r="AB62" s="14">
        <f>AB44*Inputs!$H46</f>
        <v>216.8492043229991</v>
      </c>
      <c r="AC62" s="14">
        <f>AC44*Inputs!$H46</f>
        <v>222.00586710506823</v>
      </c>
      <c r="AD62" s="14">
        <f>AD44*Inputs!$H46</f>
        <v>226.73323311566401</v>
      </c>
      <c r="AE62" s="14">
        <f>AE44*Inputs!$H46</f>
        <v>236.44279676263741</v>
      </c>
      <c r="AF62" s="14">
        <f>AF44*Inputs!$H46</f>
        <v>241.48079668975592</v>
      </c>
      <c r="AG62" s="14">
        <f>AG44*Inputs!$H46</f>
        <v>247.84526284173799</v>
      </c>
      <c r="AH62" s="14">
        <f>AH44*Inputs!$H46</f>
        <v>254.55065757904202</v>
      </c>
    </row>
    <row r="63" spans="1:34" ht="15">
      <c r="A63" s="8" t="s">
        <v>50</v>
      </c>
      <c r="B63" s="34">
        <v>1</v>
      </c>
      <c r="C63" s="296">
        <f>C45*Inputs!$H49</f>
        <v>17.100000000000001</v>
      </c>
      <c r="D63" s="296">
        <f>D45*Inputs!$H49</f>
        <v>16.2</v>
      </c>
      <c r="E63" s="296">
        <f>E45*Inputs!$H49</f>
        <v>10.367534745213318</v>
      </c>
      <c r="F63" s="296">
        <f>F45*Inputs!$H49</f>
        <v>10.781387206895324</v>
      </c>
      <c r="G63" s="296">
        <f>G45*Inputs!$H49</f>
        <v>12.806478723721984</v>
      </c>
      <c r="H63" s="14">
        <f>H45*Inputs!$H49</f>
        <v>13.969759629701404</v>
      </c>
      <c r="I63" s="14">
        <f>I45*Inputs!$H49</f>
        <v>13.969759629701404</v>
      </c>
      <c r="J63" s="14">
        <f>J45*Inputs!$H49</f>
        <v>18.212415892841602</v>
      </c>
      <c r="K63" s="14">
        <f>K45*Inputs!$H49</f>
        <v>24.382749170289461</v>
      </c>
      <c r="L63" s="14">
        <f>L45*Inputs!$H49</f>
        <v>28.421047210171398</v>
      </c>
      <c r="M63" s="14">
        <f>M45*Inputs!$H49</f>
        <v>29.439198547120206</v>
      </c>
      <c r="N63" s="190">
        <f>N45*Inputs!$H49</f>
        <v>29.503404042489613</v>
      </c>
      <c r="O63" s="14">
        <f>O45*Inputs!$H49</f>
        <v>31.622769027767113</v>
      </c>
      <c r="P63" s="14">
        <f>P45*Inputs!$H49</f>
        <v>35.213326456316238</v>
      </c>
      <c r="Q63" s="14">
        <f>Q45*Inputs!$H49</f>
        <v>39.561647742205118</v>
      </c>
      <c r="R63" s="14">
        <f>R45*Inputs!$H49</f>
        <v>44.142750426188549</v>
      </c>
      <c r="S63" s="14">
        <f>S45*Inputs!$H49</f>
        <v>48.028825041382575</v>
      </c>
      <c r="T63" s="14">
        <f>T45*Inputs!$H49</f>
        <v>52.855925873230412</v>
      </c>
      <c r="U63" s="14">
        <f>U45*Inputs!$H49</f>
        <v>57.215638713417135</v>
      </c>
      <c r="V63" s="14">
        <f>V45*Inputs!$H49</f>
        <v>59.579272155501258</v>
      </c>
      <c r="W63" s="14">
        <f>W45*Inputs!$H49</f>
        <v>60.140296919518335</v>
      </c>
      <c r="X63" s="187">
        <f>X45*Inputs!$H49</f>
        <v>62.386772974340921</v>
      </c>
      <c r="Y63" s="14">
        <f>Y45*Inputs!$H49</f>
        <v>68.051123865175398</v>
      </c>
      <c r="Z63" s="14">
        <f>Z45*Inputs!$H49</f>
        <v>77.223967363727795</v>
      </c>
      <c r="AA63" s="14">
        <f>AA45*Inputs!$H49</f>
        <v>85.149475460172994</v>
      </c>
      <c r="AB63" s="14">
        <f>AB45*Inputs!$H49</f>
        <v>93.088959035901155</v>
      </c>
      <c r="AC63" s="14">
        <f>AC45*Inputs!$H49</f>
        <v>95.265822984348489</v>
      </c>
      <c r="AD63" s="14">
        <f>AD45*Inputs!$H49</f>
        <v>97.131591915029162</v>
      </c>
      <c r="AE63" s="14">
        <f>AE45*Inputs!$H49</f>
        <v>98.558358888279471</v>
      </c>
      <c r="AF63" s="14">
        <f>AF45*Inputs!$H49</f>
        <v>100.80793883656466</v>
      </c>
      <c r="AG63" s="14">
        <f>AG45*Inputs!$H49</f>
        <v>103.34415406097096</v>
      </c>
      <c r="AH63" s="14">
        <f>AH45*Inputs!$H49</f>
        <v>103.65290391478811</v>
      </c>
    </row>
    <row r="64" spans="1:34" ht="15">
      <c r="A64" s="8" t="s">
        <v>51</v>
      </c>
      <c r="B64" s="34">
        <v>1</v>
      </c>
      <c r="C64" s="296">
        <f>C46*Inputs!$H52</f>
        <v>0</v>
      </c>
      <c r="D64" s="296">
        <f>D46*Inputs!$H52</f>
        <v>0</v>
      </c>
      <c r="E64" s="296">
        <f>E46*Inputs!$H52</f>
        <v>8.4714390000000001E-2</v>
      </c>
      <c r="F64" s="296">
        <f>F46*Inputs!$H52</f>
        <v>9.9422505000000008E-2</v>
      </c>
      <c r="G64" s="296">
        <f>G46*Inputs!$H52</f>
        <v>0.11862760500000002</v>
      </c>
      <c r="H64" s="14">
        <f>H46*Inputs!$H52</f>
        <v>0.10602832499999999</v>
      </c>
      <c r="I64" s="14">
        <f>I46*Inputs!$H52</f>
        <v>0.11849166000000001</v>
      </c>
      <c r="J64" s="14">
        <f>J46*Inputs!$H52</f>
        <v>0.10602036000000001</v>
      </c>
      <c r="K64" s="14">
        <f>K46*Inputs!$H52</f>
        <v>0.11777089500000001</v>
      </c>
      <c r="L64" s="14">
        <f>L46*Inputs!$H52</f>
        <v>9.2586510000000011E-2</v>
      </c>
      <c r="M64" s="14">
        <f>M46*Inputs!$H52</f>
        <v>0.11958218999999999</v>
      </c>
      <c r="N64" s="190">
        <f>N46*Inputs!$H52</f>
        <v>0.131814405</v>
      </c>
      <c r="O64" s="14">
        <f>O46*Inputs!$H52</f>
        <v>0.11959272</v>
      </c>
      <c r="P64" s="14">
        <f>P46*Inputs!$H52</f>
        <v>0.106168995</v>
      </c>
      <c r="Q64" s="14">
        <f>Q46*Inputs!$H52</f>
        <v>0.11840579999999999</v>
      </c>
      <c r="R64" s="14">
        <f>R46*Inputs!$H52</f>
        <v>0.13222858499999998</v>
      </c>
      <c r="S64" s="14">
        <f>S46*Inputs!$H52</f>
        <v>0.10591033499999999</v>
      </c>
      <c r="T64" s="14">
        <f>T46*Inputs!$H52</f>
        <v>0.117963</v>
      </c>
      <c r="U64" s="14">
        <f>U46*Inputs!$H52</f>
        <v>0.11790211499999999</v>
      </c>
      <c r="V64" s="14">
        <f>V46*Inputs!$H52</f>
        <v>0.11953939499999999</v>
      </c>
      <c r="W64" s="14">
        <f>W46*Inputs!$H52</f>
        <v>0.10429370999999998</v>
      </c>
      <c r="X64" s="187">
        <f>X46*Inputs!$H52</f>
        <v>0.10482952499999999</v>
      </c>
      <c r="Y64" s="14">
        <f>Y46*Inputs!$H52</f>
        <v>0.11852379</v>
      </c>
      <c r="Z64" s="14">
        <f>Z46*Inputs!$H52</f>
        <v>0.104092695</v>
      </c>
      <c r="AA64" s="14">
        <f>AA46*Inputs!$H52</f>
        <v>0.11771783999999999</v>
      </c>
      <c r="AB64" s="14">
        <f>AB46*Inputs!$H52</f>
        <v>0.11788011000000001</v>
      </c>
      <c r="AC64" s="14">
        <f>AC46*Inputs!$H52</f>
        <v>0.10386130499999999</v>
      </c>
      <c r="AD64" s="14">
        <f>AD46*Inputs!$H52</f>
        <v>0.11757244500000001</v>
      </c>
      <c r="AE64" s="14">
        <f>AE46*Inputs!$H52</f>
        <v>0.10374965999999999</v>
      </c>
      <c r="AF64" s="14">
        <f>AF46*Inputs!$H52</f>
        <v>0.103904235</v>
      </c>
      <c r="AG64" s="14">
        <f>AG46*Inputs!$H52</f>
        <v>0.10385469</v>
      </c>
      <c r="AH64" s="14">
        <f>AH46*Inputs!$H52</f>
        <v>0.105988095</v>
      </c>
    </row>
    <row r="65" spans="1:34" ht="15">
      <c r="A65" s="8" t="s">
        <v>347</v>
      </c>
      <c r="B65" s="34">
        <v>1</v>
      </c>
      <c r="C65" s="296">
        <f>C47*Inputs!$H54</f>
        <v>0</v>
      </c>
      <c r="D65" s="296">
        <f>D47*Inputs!$H54</f>
        <v>0</v>
      </c>
      <c r="E65" s="296">
        <f>E47*Inputs!$H54</f>
        <v>1.4220000000000002E-2</v>
      </c>
      <c r="F65" s="296">
        <f>F47*Inputs!$H54</f>
        <v>1.4220000000000002E-2</v>
      </c>
      <c r="G65" s="296">
        <f>G47*Inputs!$H54</f>
        <v>1.4220000000000002E-2</v>
      </c>
      <c r="H65" s="14">
        <f>H47*Inputs!$H54</f>
        <v>1.4220000000000002E-2</v>
      </c>
      <c r="I65" s="14">
        <f>I47*Inputs!$H54</f>
        <v>1.4220000000000002E-2</v>
      </c>
      <c r="J65" s="14">
        <f>J47*Inputs!$H54</f>
        <v>1.4220000000000002E-2</v>
      </c>
      <c r="K65" s="14">
        <f>K47*Inputs!$H54</f>
        <v>1.4220000000000002E-2</v>
      </c>
      <c r="L65" s="14">
        <f>L47*Inputs!$H54</f>
        <v>1.4220000000000002E-2</v>
      </c>
      <c r="M65" s="14">
        <f>M47*Inputs!$H54</f>
        <v>1.4220000000000002E-2</v>
      </c>
      <c r="N65" s="190">
        <f>N47*Inputs!$H54</f>
        <v>1.4220000000000002E-2</v>
      </c>
      <c r="O65" s="14">
        <f>O47*Inputs!$H54</f>
        <v>1.4220000000000002E-2</v>
      </c>
      <c r="P65" s="14">
        <f>P47*Inputs!$H54</f>
        <v>1.4220000000000002E-2</v>
      </c>
      <c r="Q65" s="14">
        <f>Q47*Inputs!$H54</f>
        <v>1.4220000000000002E-2</v>
      </c>
      <c r="R65" s="14">
        <f>R47*Inputs!$H54</f>
        <v>1.4220000000000002E-2</v>
      </c>
      <c r="S65" s="14">
        <f>S47*Inputs!$H54</f>
        <v>1.4220000000000002E-2</v>
      </c>
      <c r="T65" s="14">
        <f>T47*Inputs!$H54</f>
        <v>1.4220000000000002E-2</v>
      </c>
      <c r="U65" s="14">
        <f>U47*Inputs!$H54</f>
        <v>1.4220000000000002E-2</v>
      </c>
      <c r="V65" s="14">
        <f>V47*Inputs!$H54</f>
        <v>1.4220000000000002E-2</v>
      </c>
      <c r="W65" s="14">
        <f>W47*Inputs!$H54</f>
        <v>1.4220000000000002E-2</v>
      </c>
      <c r="X65" s="187">
        <f>X47*Inputs!$H54</f>
        <v>1.4220000000000002E-2</v>
      </c>
      <c r="Y65" s="14">
        <f>Y47*Inputs!$H54</f>
        <v>1.4220000000000002E-2</v>
      </c>
      <c r="Z65" s="14">
        <f>Z47*Inputs!$H54</f>
        <v>1.4220000000000002E-2</v>
      </c>
      <c r="AA65" s="14">
        <f>AA47*Inputs!$H54</f>
        <v>1.4220000000000002E-2</v>
      </c>
      <c r="AB65" s="14">
        <f>AB47*Inputs!$H54</f>
        <v>1.4220000000000002E-2</v>
      </c>
      <c r="AC65" s="14">
        <f>AC47*Inputs!$H54</f>
        <v>1.4220000000000002E-2</v>
      </c>
      <c r="AD65" s="14">
        <f>AD47*Inputs!$H54</f>
        <v>1.4220000000000002E-2</v>
      </c>
      <c r="AE65" s="14">
        <f>AE47*Inputs!$H54</f>
        <v>1.4220000000000002E-2</v>
      </c>
      <c r="AF65" s="14">
        <f>AF47*Inputs!$H54</f>
        <v>1.4220000000000002E-2</v>
      </c>
      <c r="AG65" s="14">
        <f>AG47*Inputs!$H54</f>
        <v>1.4220000000000002E-2</v>
      </c>
      <c r="AH65" s="14">
        <f>AH47*Inputs!$H54</f>
        <v>0</v>
      </c>
    </row>
    <row r="66" spans="1:34" ht="15">
      <c r="A66" s="8" t="s">
        <v>348</v>
      </c>
      <c r="B66" s="34">
        <v>1</v>
      </c>
      <c r="C66" s="296">
        <f>C48*Inputs!$H55</f>
        <v>0</v>
      </c>
      <c r="D66" s="296">
        <f>D48*Inputs!$H55</f>
        <v>0</v>
      </c>
      <c r="E66" s="296">
        <f>E48*Inputs!$H55</f>
        <v>2.0700000000000002E-3</v>
      </c>
      <c r="F66" s="296">
        <f>F48*Inputs!$H55</f>
        <v>2.0700000000000002E-3</v>
      </c>
      <c r="G66" s="296">
        <f>G48*Inputs!$H55</f>
        <v>2.0700000000000002E-3</v>
      </c>
      <c r="H66" s="14">
        <f>H48*Inputs!$H55</f>
        <v>2.0700000000000002E-3</v>
      </c>
      <c r="I66" s="14">
        <f>I48*Inputs!$H55</f>
        <v>2.0700000000000002E-3</v>
      </c>
      <c r="J66" s="14">
        <f>J48*Inputs!$H55</f>
        <v>2.0700000000000002E-3</v>
      </c>
      <c r="K66" s="14">
        <f>K48*Inputs!$H55</f>
        <v>2.0700000000000002E-3</v>
      </c>
      <c r="L66" s="14">
        <f>L48*Inputs!$H55</f>
        <v>2.0700000000000002E-3</v>
      </c>
      <c r="M66" s="14">
        <f>M48*Inputs!$H55</f>
        <v>2.0700000000000002E-3</v>
      </c>
      <c r="N66" s="190">
        <f>N48*Inputs!$H55</f>
        <v>2.0700000000000002E-3</v>
      </c>
      <c r="O66" s="14">
        <f>O48*Inputs!$H55</f>
        <v>2.0700000000000002E-3</v>
      </c>
      <c r="P66" s="14">
        <f>P48*Inputs!$H55</f>
        <v>2.0700000000000002E-3</v>
      </c>
      <c r="Q66" s="14">
        <f>Q48*Inputs!$H55</f>
        <v>2.0700000000000002E-3</v>
      </c>
      <c r="R66" s="14">
        <f>R48*Inputs!$H55</f>
        <v>2.0700000000000002E-3</v>
      </c>
      <c r="S66" s="14">
        <f>S48*Inputs!$H55</f>
        <v>2.0700000000000002E-3</v>
      </c>
      <c r="T66" s="14">
        <f>T48*Inputs!$H55</f>
        <v>2.0700000000000002E-3</v>
      </c>
      <c r="U66" s="14">
        <f>U48*Inputs!$H55</f>
        <v>2.0700000000000002E-3</v>
      </c>
      <c r="V66" s="14">
        <f>V48*Inputs!$H55</f>
        <v>2.0700000000000002E-3</v>
      </c>
      <c r="W66" s="14">
        <f>W48*Inputs!$H55</f>
        <v>2.0700000000000002E-3</v>
      </c>
      <c r="X66" s="187">
        <f>X48*Inputs!$H55</f>
        <v>2.0700000000000002E-3</v>
      </c>
      <c r="Y66" s="14">
        <f>Y48*Inputs!$H55</f>
        <v>2.0700000000000002E-3</v>
      </c>
      <c r="Z66" s="14">
        <f>Z48*Inputs!$H55</f>
        <v>2.0700000000000002E-3</v>
      </c>
      <c r="AA66" s="14">
        <f>AA48*Inputs!$H55</f>
        <v>2.0700000000000002E-3</v>
      </c>
      <c r="AB66" s="14">
        <f>AB48*Inputs!$H55</f>
        <v>2.0700000000000002E-3</v>
      </c>
      <c r="AC66" s="14">
        <f>AC48*Inputs!$H55</f>
        <v>2.0700000000000002E-3</v>
      </c>
      <c r="AD66" s="14">
        <f>AD48*Inputs!$H55</f>
        <v>2.0700000000000002E-3</v>
      </c>
      <c r="AE66" s="14">
        <f>AE48*Inputs!$H55</f>
        <v>2.0700000000000002E-3</v>
      </c>
      <c r="AF66" s="14">
        <f>AF48*Inputs!$H55</f>
        <v>2.0700000000000002E-3</v>
      </c>
      <c r="AG66" s="14">
        <f>AG48*Inputs!$H55</f>
        <v>2.0700000000000002E-3</v>
      </c>
      <c r="AH66" s="14">
        <f>AH48*Inputs!$H55</f>
        <v>2.0700000000000002E-3</v>
      </c>
    </row>
    <row r="67" spans="1:34" ht="15">
      <c r="A67" s="8" t="s">
        <v>344</v>
      </c>
      <c r="B67" s="34">
        <v>1</v>
      </c>
      <c r="C67" s="296">
        <f>C49*Inputs!$H51</f>
        <v>2.4300000000000003E-3</v>
      </c>
      <c r="D67" s="296">
        <f>D49*Inputs!$H51</f>
        <v>2.4300000000000003E-3</v>
      </c>
      <c r="E67" s="296">
        <f>E49*Inputs!$H51</f>
        <v>2.4300000000000003E-3</v>
      </c>
      <c r="F67" s="296">
        <f>F49*Inputs!$H51</f>
        <v>2.4300000000000003E-3</v>
      </c>
      <c r="G67" s="296">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296">
        <f>C50*Inputs!$H57</f>
        <v>47.889000000000003</v>
      </c>
      <c r="D68" s="296">
        <f>D50*Inputs!$H57</f>
        <v>67.472999999999999</v>
      </c>
      <c r="E68" s="296">
        <f>E50*Inputs!$H57</f>
        <v>98.592346372575406</v>
      </c>
      <c r="F68" s="296">
        <f>F50*Inputs!$H57</f>
        <v>112.53359144389343</v>
      </c>
      <c r="G68" s="296">
        <f>G50*Inputs!$H57</f>
        <v>132.41892204261862</v>
      </c>
      <c r="H68" s="14">
        <f>H50*Inputs!$H57</f>
        <v>132.82956067010699</v>
      </c>
      <c r="I68" s="14">
        <f>I50*Inputs!$H57</f>
        <v>142.12019286822985</v>
      </c>
      <c r="J68" s="14">
        <f>J50*Inputs!$H57</f>
        <v>147.44065153055209</v>
      </c>
      <c r="K68" s="14">
        <f>K50*Inputs!$H57</f>
        <v>147.44917073144649</v>
      </c>
      <c r="L68" s="14">
        <f>L50*Inputs!$H57</f>
        <v>147.4455560271133</v>
      </c>
      <c r="M68" s="14">
        <f>M50*Inputs!$H57</f>
        <v>147.437008072889</v>
      </c>
      <c r="N68" s="190">
        <f>N50*Inputs!$H57</f>
        <v>147.43472012935084</v>
      </c>
      <c r="O68" s="14">
        <f>O50*Inputs!$H57</f>
        <v>147.43375073137054</v>
      </c>
      <c r="P68" s="14">
        <f>P50*Inputs!$H57</f>
        <v>147.48178933043505</v>
      </c>
      <c r="Q68" s="14">
        <f>Q50*Inputs!$H57</f>
        <v>147.44944594189005</v>
      </c>
      <c r="R68" s="14">
        <f>R50*Inputs!$H57</f>
        <v>147.44691564885682</v>
      </c>
      <c r="S68" s="14">
        <f>S50*Inputs!$H57</f>
        <v>147.58936786053329</v>
      </c>
      <c r="T68" s="14">
        <f>T50*Inputs!$H57</f>
        <v>147.81195560270564</v>
      </c>
      <c r="U68" s="14">
        <f>U50*Inputs!$H57</f>
        <v>148.023982657559</v>
      </c>
      <c r="V68" s="14">
        <f>V50*Inputs!$H57</f>
        <v>148.12219581733942</v>
      </c>
      <c r="W68" s="14">
        <f>W50*Inputs!$H57</f>
        <v>148.16090601465311</v>
      </c>
      <c r="X68" s="187">
        <f>X50*Inputs!$H57</f>
        <v>148.33803474221691</v>
      </c>
      <c r="Y68" s="14">
        <f>Y50*Inputs!$H57</f>
        <v>148.553027497671</v>
      </c>
      <c r="Z68" s="14">
        <f>Z50*Inputs!$H57</f>
        <v>148.76545709914328</v>
      </c>
      <c r="AA68" s="14">
        <f>AA50*Inputs!$H57</f>
        <v>148.99103518762763</v>
      </c>
      <c r="AB68" s="14">
        <f>AB50*Inputs!$H57</f>
        <v>149.93540955562403</v>
      </c>
      <c r="AC68" s="14">
        <f>AC50*Inputs!$H57</f>
        <v>150.59002840274755</v>
      </c>
      <c r="AD68" s="14">
        <f>AD50*Inputs!$H57</f>
        <v>162.9938041697441</v>
      </c>
      <c r="AE68" s="14">
        <f>AE50*Inputs!$H57</f>
        <v>177.27945251926315</v>
      </c>
      <c r="AF68" s="14">
        <f>AF50*Inputs!$H57</f>
        <v>181.19396371595107</v>
      </c>
      <c r="AG68" s="14">
        <f>AG50*Inputs!$H57</f>
        <v>182.58736240688322</v>
      </c>
      <c r="AH68" s="14">
        <f>AH50*Inputs!$H57</f>
        <v>185.03002350575289</v>
      </c>
    </row>
    <row r="69" spans="1:34" s="20" customFormat="1" ht="15">
      <c r="A69" s="8" t="s">
        <v>128</v>
      </c>
      <c r="B69" s="38"/>
      <c r="C69" s="299">
        <f t="shared" ref="C69:AH69" si="25">SUMPRODUCT($B60:$B68,C60:C68)</f>
        <v>155.33343000000002</v>
      </c>
      <c r="D69" s="299">
        <f t="shared" si="25"/>
        <v>174.01742999999999</v>
      </c>
      <c r="E69" s="299">
        <f t="shared" si="25"/>
        <v>200.0834557343866</v>
      </c>
      <c r="F69" s="299">
        <f t="shared" si="25"/>
        <v>211.54378515143236</v>
      </c>
      <c r="G69" s="299">
        <f t="shared" si="25"/>
        <v>231.96070555999847</v>
      </c>
      <c r="H69" s="19">
        <f t="shared" si="25"/>
        <v>239.46634998431563</v>
      </c>
      <c r="I69" s="19">
        <f t="shared" si="25"/>
        <v>247.96651449744115</v>
      </c>
      <c r="J69" s="19">
        <f t="shared" si="25"/>
        <v>265.15571251989905</v>
      </c>
      <c r="K69" s="19">
        <f t="shared" si="25"/>
        <v>280.74507055395259</v>
      </c>
      <c r="L69" s="19">
        <f t="shared" si="25"/>
        <v>308.89148871532876</v>
      </c>
      <c r="M69" s="19">
        <f t="shared" si="25"/>
        <v>325.30872956356916</v>
      </c>
      <c r="N69" s="190">
        <f t="shared" si="25"/>
        <v>328.00705455703428</v>
      </c>
      <c r="O69" s="19">
        <f t="shared" si="25"/>
        <v>337.53479336008326</v>
      </c>
      <c r="P69" s="19">
        <f t="shared" si="25"/>
        <v>344.87282715897078</v>
      </c>
      <c r="Q69" s="19">
        <f t="shared" si="25"/>
        <v>351.86602928305524</v>
      </c>
      <c r="R69" s="19">
        <f t="shared" si="25"/>
        <v>361.96981789580343</v>
      </c>
      <c r="S69" s="19">
        <f t="shared" si="25"/>
        <v>368.07829214804798</v>
      </c>
      <c r="T69" s="19">
        <f t="shared" si="25"/>
        <v>383.02179095312181</v>
      </c>
      <c r="U69" s="19">
        <f t="shared" si="25"/>
        <v>391.33337652708354</v>
      </c>
      <c r="V69" s="19">
        <f t="shared" si="25"/>
        <v>395.32598993143051</v>
      </c>
      <c r="W69" s="19">
        <f t="shared" si="25"/>
        <v>399.10190201604087</v>
      </c>
      <c r="X69" s="182">
        <f t="shared" si="25"/>
        <v>404.22569244745023</v>
      </c>
      <c r="Y69" s="19">
        <f t="shared" si="25"/>
        <v>413.47934207858236</v>
      </c>
      <c r="Z69" s="19">
        <f t="shared" si="25"/>
        <v>434.36320648575361</v>
      </c>
      <c r="AA69" s="19">
        <f t="shared" si="25"/>
        <v>446.31013907846966</v>
      </c>
      <c r="AB69" s="19">
        <f t="shared" si="25"/>
        <v>460.01017302452431</v>
      </c>
      <c r="AC69" s="19">
        <f t="shared" si="25"/>
        <v>467.98429979716434</v>
      </c>
      <c r="AD69" s="19">
        <f t="shared" si="25"/>
        <v>486.99492164543733</v>
      </c>
      <c r="AE69" s="19">
        <f t="shared" si="25"/>
        <v>512.40307783018011</v>
      </c>
      <c r="AF69" s="19">
        <f t="shared" si="25"/>
        <v>523.60532347727167</v>
      </c>
      <c r="AG69" s="19">
        <f t="shared" si="25"/>
        <v>533.89935399959222</v>
      </c>
      <c r="AH69" s="19">
        <f t="shared" si="25"/>
        <v>543.344073094583</v>
      </c>
    </row>
    <row r="70" spans="1:34" s="20" customFormat="1" ht="15">
      <c r="A70" s="27" t="s">
        <v>329</v>
      </c>
      <c r="B70" s="39"/>
      <c r="C70" s="299">
        <f>SUM(C58:C68)</f>
        <v>1563.9220799999998</v>
      </c>
      <c r="D70" s="299">
        <f t="shared" ref="D70:AH70" si="26">SUM(D58:D68)</f>
        <v>1409.8060800000001</v>
      </c>
      <c r="E70" s="299">
        <f t="shared" si="26"/>
        <v>1800.5444918875239</v>
      </c>
      <c r="F70" s="299">
        <f t="shared" si="26"/>
        <v>1715.943617265134</v>
      </c>
      <c r="G70" s="299">
        <f t="shared" si="26"/>
        <v>1469.1904088979709</v>
      </c>
      <c r="H70" s="19">
        <f t="shared" si="26"/>
        <v>1503.011689269754</v>
      </c>
      <c r="I70" s="19">
        <f t="shared" si="26"/>
        <v>1532.3281875461605</v>
      </c>
      <c r="J70" s="19">
        <f t="shared" si="26"/>
        <v>1572.198574990613</v>
      </c>
      <c r="K70" s="19">
        <f t="shared" si="26"/>
        <v>1603.735107263984</v>
      </c>
      <c r="L70" s="19">
        <f t="shared" si="26"/>
        <v>1626.2092844944659</v>
      </c>
      <c r="M70" s="19">
        <f t="shared" si="26"/>
        <v>1642.6269594407645</v>
      </c>
      <c r="N70" s="182">
        <f t="shared" si="26"/>
        <v>1645.3248503361715</v>
      </c>
      <c r="O70" s="19">
        <f t="shared" si="26"/>
        <v>1661.6651662044953</v>
      </c>
      <c r="P70" s="19">
        <f t="shared" si="26"/>
        <v>1669.0027659053251</v>
      </c>
      <c r="Q70" s="19">
        <f t="shared" si="26"/>
        <v>1675.9958200414351</v>
      </c>
      <c r="R70" s="19">
        <f t="shared" si="26"/>
        <v>1686.0996086541832</v>
      </c>
      <c r="S70" s="19">
        <f t="shared" si="26"/>
        <v>1692.2080829064278</v>
      </c>
      <c r="T70" s="19">
        <f t="shared" si="26"/>
        <v>1707.1514238576626</v>
      </c>
      <c r="U70" s="19">
        <f t="shared" si="26"/>
        <v>1715.4630094316244</v>
      </c>
      <c r="V70" s="19">
        <f t="shared" si="26"/>
        <v>1719.4556228359713</v>
      </c>
      <c r="W70" s="19">
        <f t="shared" si="26"/>
        <v>1731.2296337817088</v>
      </c>
      <c r="X70" s="182">
        <f t="shared" si="26"/>
        <v>1736.3534242131179</v>
      </c>
      <c r="Y70" s="19">
        <f t="shared" si="26"/>
        <v>1747.342361098576</v>
      </c>
      <c r="Z70" s="19">
        <f t="shared" si="26"/>
        <v>1768.2262353716117</v>
      </c>
      <c r="AA70" s="19">
        <f t="shared" si="26"/>
        <v>1780.1731679643276</v>
      </c>
      <c r="AB70" s="19">
        <f t="shared" si="26"/>
        <v>1793.8732019103825</v>
      </c>
      <c r="AC70" s="19">
        <f t="shared" si="26"/>
        <v>1804.4006539955426</v>
      </c>
      <c r="AD70" s="19">
        <f t="shared" si="26"/>
        <v>1823.4117198077383</v>
      </c>
      <c r="AE70" s="19">
        <f t="shared" si="26"/>
        <v>1848.8195701506679</v>
      </c>
      <c r="AF70" s="19">
        <f t="shared" si="26"/>
        <v>1860.0213619679719</v>
      </c>
      <c r="AG70" s="19">
        <f t="shared" si="26"/>
        <v>1876.482751853702</v>
      </c>
      <c r="AH70" s="19">
        <f t="shared" si="26"/>
        <v>1885.9273328265836</v>
      </c>
    </row>
    <row r="71" spans="1:34" s="20" customFormat="1" ht="15">
      <c r="A71" s="27" t="s">
        <v>142</v>
      </c>
      <c r="B71" s="39"/>
      <c r="C71" s="299">
        <f>C53*Inputs!$H$60</f>
        <v>8.2170000000000005</v>
      </c>
      <c r="D71" s="299">
        <f>D53*Inputs!$H$60</f>
        <v>8.7119999999999997</v>
      </c>
      <c r="E71" s="299">
        <f>E53*Inputs!$H$60</f>
        <v>6.7838819727700805</v>
      </c>
      <c r="F71" s="299">
        <f>F53*Inputs!$H$60</f>
        <v>6.8027400272596728</v>
      </c>
      <c r="G71" s="299">
        <f>G53*Inputs!$H$60</f>
        <v>6.3015426040103826</v>
      </c>
      <c r="H71" s="19">
        <f>H53*Inputs!$H$60</f>
        <v>6.5438979759651188</v>
      </c>
      <c r="I71" s="19">
        <f>I53*Inputs!$H$60</f>
        <v>7.0877973467824784</v>
      </c>
      <c r="J71" s="19">
        <f>J53*Inputs!$H$60</f>
        <v>7.0467211575100279</v>
      </c>
      <c r="K71" s="19">
        <f>K53*Inputs!$H$60</f>
        <v>7.2577352226287024</v>
      </c>
      <c r="L71" s="19">
        <f>L53*Inputs!$H$60</f>
        <v>7.3042826403751979</v>
      </c>
      <c r="M71" s="19">
        <f>M53*Inputs!$H$60</f>
        <v>7.2901779565473186</v>
      </c>
      <c r="N71" s="190">
        <f>N53*Inputs!$H$60</f>
        <v>7.2952729769545499</v>
      </c>
      <c r="O71" s="19">
        <f>O53*Inputs!$H$60</f>
        <v>7.0803033607608228</v>
      </c>
      <c r="P71" s="19">
        <f>P53*Inputs!$H$60</f>
        <v>6.9888859243720187</v>
      </c>
      <c r="Q71" s="19">
        <f>Q53*Inputs!$H$60</f>
        <v>6.9914903293728932</v>
      </c>
      <c r="R71" s="19">
        <f>R53*Inputs!$H$60</f>
        <v>6.9909786976405011</v>
      </c>
      <c r="S71" s="19">
        <f>S53*Inputs!$H$60</f>
        <v>6.9937400479932235</v>
      </c>
      <c r="T71" s="19">
        <f>T53*Inputs!$H$60</f>
        <v>6.9705180923133323</v>
      </c>
      <c r="U71" s="19">
        <f>U53*Inputs!$H$60</f>
        <v>6.9599196451912348</v>
      </c>
      <c r="V71" s="19">
        <f>V53*Inputs!$H$60</f>
        <v>6.9497385389671589</v>
      </c>
      <c r="W71" s="19">
        <f>W53*Inputs!$H$60</f>
        <v>6.9428622197222714</v>
      </c>
      <c r="X71" s="182">
        <f>X53*Inputs!$H$60</f>
        <v>6.934769166605717</v>
      </c>
      <c r="Y71" s="19">
        <f>Y53*Inputs!$H$60</f>
        <v>6.9262310697417115</v>
      </c>
      <c r="Z71" s="19">
        <f>Z53*Inputs!$H$60</f>
        <v>6.90066173306358</v>
      </c>
      <c r="AA71" s="19">
        <f>AA53*Inputs!$H$60</f>
        <v>6.8923316604360725</v>
      </c>
      <c r="AB71" s="19">
        <f>AB53*Inputs!$H$60</f>
        <v>6.8845363146142171</v>
      </c>
      <c r="AC71" s="19">
        <f>AC53*Inputs!$H$60</f>
        <v>6.8785750884788328</v>
      </c>
      <c r="AD71" s="19">
        <f>AD53*Inputs!$H$60</f>
        <v>6.8744943407536123</v>
      </c>
      <c r="AE71" s="19">
        <f>AE53*Inputs!$H$60</f>
        <v>6.8653772936711706</v>
      </c>
      <c r="AF71" s="19">
        <f>AF53*Inputs!$H$60</f>
        <v>6.8573129548671128</v>
      </c>
      <c r="AG71" s="19">
        <f>AG53*Inputs!$H$60</f>
        <v>6.8501650015975786</v>
      </c>
      <c r="AH71" s="19">
        <f>AH53*Inputs!$H$60</f>
        <v>6.8420584623068601</v>
      </c>
    </row>
    <row r="72" spans="1:34" s="20" customFormat="1" ht="15">
      <c r="A72" s="27" t="s">
        <v>222</v>
      </c>
      <c r="B72" s="39"/>
      <c r="C72" s="299">
        <f>C54*Inputs!$H$61</f>
        <v>162.756</v>
      </c>
      <c r="D72" s="299">
        <f>D54*Inputs!$H$61</f>
        <v>167.21099999999998</v>
      </c>
      <c r="E72" s="299">
        <f>E54*Inputs!$H$61</f>
        <v>75.664625698540704</v>
      </c>
      <c r="F72" s="299">
        <f>F54*Inputs!$H$61</f>
        <v>90.625545677171615</v>
      </c>
      <c r="G72" s="299">
        <f>G54*Inputs!$H$61</f>
        <v>112.12777186341302</v>
      </c>
      <c r="H72" s="19">
        <f>H54*Inputs!$H$61</f>
        <v>109.87879223884671</v>
      </c>
      <c r="I72" s="19">
        <f>I54*Inputs!$H$61</f>
        <v>71.054393508677975</v>
      </c>
      <c r="J72" s="19">
        <f>J54*Inputs!$H$61</f>
        <v>76.81617731071151</v>
      </c>
      <c r="K72" s="19">
        <f>K54*Inputs!$H$61</f>
        <v>76.324892947130564</v>
      </c>
      <c r="L72" s="19">
        <f>L54*Inputs!$H$61</f>
        <v>84.260666091666053</v>
      </c>
      <c r="M72" s="19">
        <f>M54*Inputs!$H$61</f>
        <v>87.597916424060472</v>
      </c>
      <c r="N72" s="190">
        <f>N54*Inputs!$H$61</f>
        <v>91.373182019239664</v>
      </c>
      <c r="O72" s="19">
        <f>O54*Inputs!$H$61</f>
        <v>105.03732440011521</v>
      </c>
      <c r="P72" s="19">
        <f>P54*Inputs!$H$61</f>
        <v>117.76485593341341</v>
      </c>
      <c r="Q72" s="19">
        <f>Q54*Inputs!$H$61</f>
        <v>126.19789721914023</v>
      </c>
      <c r="R72" s="19">
        <f>R54*Inputs!$H$61</f>
        <v>129.52095235860102</v>
      </c>
      <c r="S72" s="19">
        <f>S54*Inputs!$H$61</f>
        <v>136.17688937578237</v>
      </c>
      <c r="T72" s="19">
        <f>T54*Inputs!$H$61</f>
        <v>145.30582183545232</v>
      </c>
      <c r="U72" s="19">
        <f>U54*Inputs!$H$61</f>
        <v>150.62277951519116</v>
      </c>
      <c r="V72" s="19">
        <f>V54*Inputs!$H$61</f>
        <v>154.3484019183438</v>
      </c>
      <c r="W72" s="19">
        <f>W54*Inputs!$H$61</f>
        <v>162.44472719592864</v>
      </c>
      <c r="X72" s="182">
        <f>X54*Inputs!$H$61</f>
        <v>169.62088501939229</v>
      </c>
      <c r="Y72" s="19">
        <f>Y54*Inputs!$H$61</f>
        <v>169.52018894049937</v>
      </c>
      <c r="Z72" s="19">
        <f>Z54*Inputs!$H$61</f>
        <v>176.39700708950855</v>
      </c>
      <c r="AA72" s="19">
        <f>AA54*Inputs!$H$61</f>
        <v>179.61734870997341</v>
      </c>
      <c r="AB72" s="19">
        <f>AB54*Inputs!$H$61</f>
        <v>181.25946041787387</v>
      </c>
      <c r="AC72" s="19">
        <f>AC54*Inputs!$H$61</f>
        <v>183.40783535381246</v>
      </c>
      <c r="AD72" s="19">
        <f>AD54*Inputs!$H$61</f>
        <v>182.23307975332148</v>
      </c>
      <c r="AE72" s="19">
        <f>AE54*Inputs!$H$61</f>
        <v>182.7830366671252</v>
      </c>
      <c r="AF72" s="19">
        <f>AF54*Inputs!$H$61</f>
        <v>185.72017584920351</v>
      </c>
      <c r="AG72" s="19">
        <f>AG54*Inputs!$H$61</f>
        <v>192.6557236673512</v>
      </c>
      <c r="AH72" s="19">
        <f>AH54*Inputs!$H$61</f>
        <v>198.82081270946767</v>
      </c>
    </row>
    <row r="73" spans="1:34" ht="15">
      <c r="A73" s="27" t="s">
        <v>58</v>
      </c>
      <c r="C73" s="296">
        <f>SUM(C70:C72)</f>
        <v>1734.89508</v>
      </c>
      <c r="D73" s="296">
        <f t="shared" ref="D73:AH73" si="27">SUM(D70:D72)</f>
        <v>1585.7290800000001</v>
      </c>
      <c r="E73" s="296">
        <f t="shared" si="27"/>
        <v>1882.9929995588348</v>
      </c>
      <c r="F73" s="296">
        <f t="shared" si="27"/>
        <v>1813.3719029695653</v>
      </c>
      <c r="G73" s="296">
        <f t="shared" si="27"/>
        <v>1587.6197233653943</v>
      </c>
      <c r="H73" s="14">
        <f t="shared" si="27"/>
        <v>1619.4343794845659</v>
      </c>
      <c r="I73" s="14">
        <f t="shared" si="27"/>
        <v>1610.470378401621</v>
      </c>
      <c r="J73" s="14">
        <f t="shared" si="27"/>
        <v>1656.0614734588346</v>
      </c>
      <c r="K73" s="14">
        <f t="shared" si="27"/>
        <v>1687.3177354337433</v>
      </c>
      <c r="L73" s="14">
        <f t="shared" si="27"/>
        <v>1717.7742332265072</v>
      </c>
      <c r="M73" s="14">
        <f t="shared" si="27"/>
        <v>1737.5150538213722</v>
      </c>
      <c r="N73" s="190">
        <f t="shared" si="27"/>
        <v>1743.9933053323657</v>
      </c>
      <c r="O73" s="14">
        <f t="shared" si="27"/>
        <v>1773.7827939653714</v>
      </c>
      <c r="P73" s="14">
        <f t="shared" si="27"/>
        <v>1793.7565077631104</v>
      </c>
      <c r="Q73" s="14">
        <f t="shared" si="27"/>
        <v>1809.1852075899483</v>
      </c>
      <c r="R73" s="14">
        <f t="shared" si="27"/>
        <v>1822.6115397104247</v>
      </c>
      <c r="S73" s="14">
        <f t="shared" si="27"/>
        <v>1835.3787123302034</v>
      </c>
      <c r="T73" s="14">
        <f t="shared" si="27"/>
        <v>1859.4277637854284</v>
      </c>
      <c r="U73" s="14">
        <f t="shared" si="27"/>
        <v>1873.045708592007</v>
      </c>
      <c r="V73" s="14">
        <f t="shared" si="27"/>
        <v>1880.7537632932824</v>
      </c>
      <c r="W73" s="14">
        <f t="shared" si="27"/>
        <v>1900.6172231973596</v>
      </c>
      <c r="X73" s="187">
        <f t="shared" si="27"/>
        <v>1912.909078399116</v>
      </c>
      <c r="Y73" s="14">
        <f t="shared" si="27"/>
        <v>1923.7887811088171</v>
      </c>
      <c r="Z73" s="14">
        <f t="shared" si="27"/>
        <v>1951.5239041941838</v>
      </c>
      <c r="AA73" s="14">
        <f t="shared" si="27"/>
        <v>1966.6828483347372</v>
      </c>
      <c r="AB73" s="14">
        <f t="shared" si="27"/>
        <v>1982.0171986428707</v>
      </c>
      <c r="AC73" s="14">
        <f t="shared" si="27"/>
        <v>1994.6870644378339</v>
      </c>
      <c r="AD73" s="14">
        <f t="shared" si="27"/>
        <v>2012.5192939018134</v>
      </c>
      <c r="AE73" s="14">
        <f t="shared" si="27"/>
        <v>2038.4679841114644</v>
      </c>
      <c r="AF73" s="14">
        <f t="shared" si="27"/>
        <v>2052.5988507720426</v>
      </c>
      <c r="AG73" s="14">
        <f t="shared" si="27"/>
        <v>2075.9886405226507</v>
      </c>
      <c r="AH73" s="14">
        <f t="shared" si="27"/>
        <v>2091.590203998358</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00">
        <f>'backup - EIA liq_fuelS_aeo2014'!E46</f>
        <v>273.77869168296451</v>
      </c>
      <c r="D78" s="300">
        <f>'backup - EIA liq_fuelS_aeo2014'!F46</f>
        <v>330.59007454663532</v>
      </c>
      <c r="E78" s="300">
        <f>'backup - EIA liq_fuelS_aeo2014'!G46</f>
        <v>346.41273999999999</v>
      </c>
      <c r="F78" s="300">
        <f>'backup - EIA liq_fuelS_aeo2014'!H46</f>
        <v>332.23648773503913</v>
      </c>
      <c r="G78" s="300">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55">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56">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295" t="e">
        <f>C78*Inputs!$C58</f>
        <v>#REF!</v>
      </c>
      <c r="D83" s="295" t="e">
        <f>D78*Inputs!$C58</f>
        <v>#REF!</v>
      </c>
      <c r="E83" s="295" t="e">
        <f>E78*Inputs!$C58</f>
        <v>#REF!</v>
      </c>
      <c r="F83" s="295" t="e">
        <f>F78*Inputs!$C58</f>
        <v>#REF!</v>
      </c>
      <c r="G83" s="295" t="e">
        <f>G78*Inputs!$C58</f>
        <v>#REF!</v>
      </c>
      <c r="H83" s="50" t="e">
        <f>H78*Inputs!$C58</f>
        <v>#REF!</v>
      </c>
      <c r="I83" s="50" t="e">
        <f>I78*Inputs!$C58</f>
        <v>#REF!</v>
      </c>
      <c r="J83" s="50" t="e">
        <f>J78*Inputs!$C58</f>
        <v>#REF!</v>
      </c>
      <c r="K83" s="50" t="e">
        <f>K78*Inputs!$C58</f>
        <v>#REF!</v>
      </c>
      <c r="L83" s="50" t="e">
        <f>L78*Inputs!$C58</f>
        <v>#REF!</v>
      </c>
      <c r="M83" s="50" t="e">
        <f>M78*Inputs!$C58</f>
        <v>#REF!</v>
      </c>
      <c r="N83" s="353"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9"/>
  <sheetViews>
    <sheetView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376" customWidth="1"/>
    <col min="6" max="6" width="9" style="376" customWidth="1"/>
    <col min="7" max="7" width="9.6640625" style="81" customWidth="1"/>
    <col min="8" max="8" width="10.83203125" style="376" customWidth="1"/>
    <col min="9" max="9" width="5.6640625" style="376" bestFit="1" customWidth="1"/>
    <col min="10" max="10" width="9.33203125" style="376" customWidth="1"/>
    <col min="11" max="11" width="6.5" style="376" customWidth="1"/>
    <col min="12" max="12" width="9.6640625" style="376" customWidth="1"/>
    <col min="13" max="13" width="5.6640625" style="376"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8"/>
      <c r="B1" s="538"/>
      <c r="C1" s="538"/>
      <c r="D1" s="538"/>
      <c r="E1" s="538"/>
      <c r="F1" s="538"/>
      <c r="G1" s="538"/>
      <c r="H1" s="538"/>
      <c r="I1" s="538"/>
      <c r="J1" s="538"/>
      <c r="K1" s="538"/>
      <c r="L1" s="538"/>
      <c r="M1" s="538"/>
      <c r="N1" s="538"/>
      <c r="O1" s="538"/>
      <c r="P1" s="538"/>
    </row>
    <row r="2" spans="1:16">
      <c r="A2" s="538"/>
      <c r="B2" s="538"/>
      <c r="C2" s="538"/>
      <c r="D2" s="538"/>
      <c r="E2" s="538"/>
      <c r="F2" s="538"/>
      <c r="G2" s="538"/>
      <c r="H2" s="538"/>
      <c r="I2" s="538"/>
      <c r="J2" s="538"/>
      <c r="K2" s="538"/>
      <c r="L2" s="538"/>
      <c r="M2" s="538"/>
      <c r="N2" s="538"/>
      <c r="O2" s="538"/>
      <c r="P2" s="538"/>
    </row>
    <row r="3" spans="1:16">
      <c r="A3" s="538"/>
      <c r="B3" s="538"/>
      <c r="C3" s="538"/>
      <c r="D3" s="538"/>
      <c r="E3" s="538"/>
      <c r="F3" s="538"/>
      <c r="G3" s="538"/>
      <c r="H3" s="538"/>
      <c r="I3" s="538"/>
      <c r="J3" s="538"/>
      <c r="K3" s="538"/>
      <c r="L3" s="538"/>
      <c r="M3" s="538"/>
      <c r="N3" s="538"/>
      <c r="O3" s="538"/>
      <c r="P3" s="538"/>
    </row>
    <row r="4" spans="1:16">
      <c r="A4" s="538"/>
      <c r="B4" s="538"/>
      <c r="C4" s="538"/>
      <c r="D4" s="538"/>
      <c r="E4" s="538"/>
      <c r="F4" s="538"/>
      <c r="G4" s="538"/>
      <c r="H4" s="538"/>
      <c r="I4" s="538"/>
      <c r="J4" s="538"/>
      <c r="K4" s="538"/>
      <c r="L4" s="538"/>
      <c r="M4" s="538"/>
      <c r="N4" s="538"/>
      <c r="O4" s="538"/>
      <c r="P4" s="538"/>
    </row>
    <row r="5" spans="1:16">
      <c r="A5" s="538"/>
      <c r="B5" s="538"/>
      <c r="C5" s="538"/>
      <c r="D5" s="538"/>
      <c r="E5" s="538"/>
      <c r="F5" s="538"/>
      <c r="G5" s="538"/>
      <c r="H5" s="538"/>
      <c r="I5" s="538"/>
      <c r="J5" s="538"/>
      <c r="K5" s="538"/>
      <c r="L5" s="538"/>
      <c r="M5" s="538"/>
      <c r="N5" s="538"/>
      <c r="O5" s="538"/>
      <c r="P5" s="538"/>
    </row>
    <row r="6" spans="1:16">
      <c r="A6" s="538"/>
      <c r="B6" s="538"/>
      <c r="C6" s="538"/>
      <c r="D6" s="538"/>
      <c r="E6" s="538"/>
      <c r="F6" s="538"/>
      <c r="G6" s="538"/>
      <c r="H6" s="538"/>
      <c r="I6" s="538"/>
      <c r="J6" s="538"/>
      <c r="K6" s="538"/>
      <c r="L6" s="538"/>
      <c r="M6" s="538"/>
      <c r="N6" s="538"/>
      <c r="O6" s="538"/>
      <c r="P6" s="538"/>
    </row>
    <row r="7" spans="1:16">
      <c r="A7" s="538"/>
      <c r="B7" s="538"/>
      <c r="C7" s="538"/>
      <c r="D7" s="538"/>
      <c r="E7" s="538"/>
      <c r="F7" s="538"/>
      <c r="G7" s="538"/>
      <c r="H7" s="538"/>
      <c r="I7" s="538"/>
      <c r="J7" s="538"/>
      <c r="K7" s="538"/>
      <c r="L7" s="538"/>
      <c r="M7" s="538"/>
      <c r="N7" s="538"/>
      <c r="O7" s="538"/>
      <c r="P7" s="538"/>
    </row>
    <row r="8" spans="1:16">
      <c r="A8" s="538"/>
      <c r="B8" s="538"/>
      <c r="C8" s="538"/>
      <c r="D8" s="538"/>
      <c r="E8" s="538"/>
      <c r="F8" s="538"/>
      <c r="G8" s="538"/>
      <c r="H8" s="538"/>
      <c r="I8" s="538"/>
      <c r="J8" s="538"/>
      <c r="K8" s="538"/>
      <c r="L8" s="538"/>
      <c r="M8" s="538"/>
      <c r="N8" s="538"/>
      <c r="O8" s="538"/>
      <c r="P8" s="538"/>
    </row>
    <row r="9" spans="1:16" ht="2.25" customHeight="1">
      <c r="A9" s="538"/>
      <c r="B9" s="538"/>
      <c r="C9" s="538"/>
      <c r="D9" s="538"/>
      <c r="E9" s="538"/>
      <c r="F9" s="538"/>
      <c r="G9" s="538"/>
      <c r="H9" s="538"/>
      <c r="I9" s="538"/>
      <c r="J9" s="538"/>
      <c r="K9" s="538"/>
      <c r="L9" s="538"/>
      <c r="M9" s="538"/>
      <c r="N9" s="538"/>
      <c r="O9" s="538"/>
      <c r="P9" s="538"/>
    </row>
    <row r="10" spans="1:16" ht="12" hidden="1" customHeight="1">
      <c r="A10" s="539" t="s">
        <v>212</v>
      </c>
      <c r="B10" s="541">
        <v>2000</v>
      </c>
      <c r="C10" s="543" t="s">
        <v>219</v>
      </c>
      <c r="D10" s="543" t="s">
        <v>556</v>
      </c>
      <c r="E10" s="546" t="s">
        <v>213</v>
      </c>
      <c r="F10" s="547"/>
      <c r="G10" s="541"/>
      <c r="H10" s="550" t="s">
        <v>756</v>
      </c>
      <c r="I10" s="551"/>
      <c r="J10" s="551"/>
      <c r="K10" s="551"/>
      <c r="L10" s="551"/>
      <c r="M10" s="551"/>
      <c r="N10" s="551"/>
      <c r="O10" s="552"/>
      <c r="P10" s="435"/>
    </row>
    <row r="11" spans="1:16" ht="55" customHeight="1">
      <c r="A11" s="540"/>
      <c r="B11" s="542"/>
      <c r="C11" s="544"/>
      <c r="D11" s="544"/>
      <c r="E11" s="548"/>
      <c r="F11" s="549"/>
      <c r="G11" s="542"/>
      <c r="H11" s="549" t="s">
        <v>214</v>
      </c>
      <c r="I11" s="542"/>
      <c r="J11" s="548" t="s">
        <v>215</v>
      </c>
      <c r="K11" s="542"/>
      <c r="L11" s="548" t="s">
        <v>216</v>
      </c>
      <c r="M11" s="549"/>
      <c r="N11" s="549"/>
      <c r="O11" s="542"/>
      <c r="P11" s="435"/>
    </row>
    <row r="12" spans="1:16" ht="89" customHeight="1" thickBot="1">
      <c r="A12" s="437" t="s">
        <v>217</v>
      </c>
      <c r="B12" s="437" t="s">
        <v>218</v>
      </c>
      <c r="C12" s="545"/>
      <c r="D12" s="545"/>
      <c r="E12" s="438" t="s">
        <v>757</v>
      </c>
      <c r="F12" s="439" t="s">
        <v>758</v>
      </c>
      <c r="G12" s="440" t="s">
        <v>308</v>
      </c>
      <c r="H12" s="441" t="s">
        <v>360</v>
      </c>
      <c r="I12" s="439" t="s">
        <v>759</v>
      </c>
      <c r="J12" s="438" t="s">
        <v>360</v>
      </c>
      <c r="K12" s="439" t="s">
        <v>759</v>
      </c>
      <c r="L12" s="438" t="s">
        <v>360</v>
      </c>
      <c r="M12" s="439" t="s">
        <v>759</v>
      </c>
      <c r="N12" s="440" t="s">
        <v>58</v>
      </c>
      <c r="O12" s="440" t="s">
        <v>557</v>
      </c>
      <c r="P12" s="553"/>
    </row>
    <row r="13" spans="1:16" ht="13" thickTop="1">
      <c r="A13" s="442" t="s">
        <v>558</v>
      </c>
      <c r="B13" s="442" t="s">
        <v>559</v>
      </c>
      <c r="C13" s="443">
        <v>0.85</v>
      </c>
      <c r="D13" s="444">
        <v>40</v>
      </c>
      <c r="E13" s="445">
        <v>4.29</v>
      </c>
      <c r="F13" s="446">
        <v>1.53</v>
      </c>
      <c r="G13" s="447">
        <v>0</v>
      </c>
      <c r="H13" s="448">
        <f t="shared" ref="H13:H31" si="0">E13/D13</f>
        <v>0.10725</v>
      </c>
      <c r="I13" s="447">
        <f t="shared" ref="I13:I31" si="1">F13+G13*8760/1000*C13</f>
        <v>1.53</v>
      </c>
      <c r="J13" s="449">
        <f t="shared" ref="J13:J31" si="2">H13/C13</f>
        <v>0.12617647058823531</v>
      </c>
      <c r="K13" s="447">
        <f t="shared" ref="K13:K31" si="3">I13/C13</f>
        <v>1.8</v>
      </c>
      <c r="L13" s="449">
        <f t="shared" ref="L13:M30" si="4">J13/8760*1000</f>
        <v>1.4403706688154716E-2</v>
      </c>
      <c r="M13" s="447">
        <f t="shared" si="4"/>
        <v>0.20547945205479454</v>
      </c>
      <c r="N13" s="450">
        <f t="shared" ref="N13:N31" si="5">SUM(L13:M13)</f>
        <v>0.21988315874294925</v>
      </c>
      <c r="O13" s="554">
        <f>AVERAGE(N13:N14)</f>
        <v>0.20532702121944668</v>
      </c>
      <c r="P13" s="553"/>
    </row>
    <row r="14" spans="1:16" ht="13" thickBot="1">
      <c r="A14" s="451" t="s">
        <v>560</v>
      </c>
      <c r="B14" s="451" t="s">
        <v>561</v>
      </c>
      <c r="C14" s="452">
        <v>0.85</v>
      </c>
      <c r="D14" s="453">
        <v>40</v>
      </c>
      <c r="E14" s="454">
        <v>8.5</v>
      </c>
      <c r="F14" s="455">
        <v>0.24</v>
      </c>
      <c r="G14" s="456">
        <v>0.13</v>
      </c>
      <c r="H14" s="457">
        <f t="shared" si="0"/>
        <v>0.21249999999999999</v>
      </c>
      <c r="I14" s="456">
        <f t="shared" si="1"/>
        <v>1.2079800000000001</v>
      </c>
      <c r="J14" s="458">
        <f t="shared" si="2"/>
        <v>0.25</v>
      </c>
      <c r="K14" s="456">
        <f t="shared" si="3"/>
        <v>1.4211529411764707</v>
      </c>
      <c r="L14" s="458">
        <f t="shared" si="4"/>
        <v>2.8538812785388126E-2</v>
      </c>
      <c r="M14" s="456">
        <f t="shared" si="4"/>
        <v>0.16223207091055603</v>
      </c>
      <c r="N14" s="459">
        <f t="shared" si="5"/>
        <v>0.19077088369594414</v>
      </c>
      <c r="O14" s="555"/>
      <c r="P14" s="553"/>
    </row>
    <row r="15" spans="1:16">
      <c r="A15" s="460" t="s">
        <v>562</v>
      </c>
      <c r="B15" s="460" t="s">
        <v>563</v>
      </c>
      <c r="C15" s="461">
        <v>0.9</v>
      </c>
      <c r="D15" s="462">
        <v>40</v>
      </c>
      <c r="E15" s="463">
        <f>36000/5600</f>
        <v>6.4285714285714288</v>
      </c>
      <c r="F15" s="464">
        <f>10000/5600</f>
        <v>1.7857142857142858</v>
      </c>
      <c r="G15" s="463">
        <v>0</v>
      </c>
      <c r="H15" s="465">
        <f t="shared" si="0"/>
        <v>0.16071428571428573</v>
      </c>
      <c r="I15" s="466">
        <f t="shared" si="1"/>
        <v>1.7857142857142858</v>
      </c>
      <c r="J15" s="467">
        <f t="shared" si="2"/>
        <v>0.17857142857142858</v>
      </c>
      <c r="K15" s="466">
        <f t="shared" si="3"/>
        <v>1.9841269841269842</v>
      </c>
      <c r="L15" s="467">
        <f t="shared" si="4"/>
        <v>2.0384866275277233E-2</v>
      </c>
      <c r="M15" s="466">
        <f t="shared" si="4"/>
        <v>0.22649851416974706</v>
      </c>
      <c r="N15" s="468">
        <f t="shared" si="5"/>
        <v>0.24688338044502428</v>
      </c>
      <c r="O15" s="556">
        <f>AVERAGE(N15:N17)</f>
        <v>0.24750247638375492</v>
      </c>
      <c r="P15" s="553"/>
    </row>
    <row r="16" spans="1:16">
      <c r="A16" s="469" t="s">
        <v>564</v>
      </c>
      <c r="B16" s="469" t="s">
        <v>312</v>
      </c>
      <c r="C16" s="470">
        <v>0.9</v>
      </c>
      <c r="D16" s="471">
        <v>40</v>
      </c>
      <c r="E16" s="472">
        <v>17.5</v>
      </c>
      <c r="F16" s="473">
        <v>1.7</v>
      </c>
      <c r="G16" s="472">
        <v>0</v>
      </c>
      <c r="H16" s="474">
        <f>E16/D16</f>
        <v>0.4375</v>
      </c>
      <c r="I16" s="475">
        <f>F16+G16*8760/1000*C16</f>
        <v>1.7</v>
      </c>
      <c r="J16" s="476">
        <f>H16/C16</f>
        <v>0.4861111111111111</v>
      </c>
      <c r="K16" s="475">
        <f>I16/C16</f>
        <v>1.8888888888888888</v>
      </c>
      <c r="L16" s="476">
        <f t="shared" si="4"/>
        <v>5.5492135971588023E-2</v>
      </c>
      <c r="M16" s="475">
        <f t="shared" si="4"/>
        <v>0.21562658548959918</v>
      </c>
      <c r="N16" s="477">
        <f>SUM(L16:M16)</f>
        <v>0.27111872146118721</v>
      </c>
      <c r="O16" s="557"/>
      <c r="P16" s="553"/>
    </row>
    <row r="17" spans="1:16" ht="13" thickBot="1">
      <c r="A17" s="478" t="s">
        <v>565</v>
      </c>
      <c r="B17" s="478" t="s">
        <v>559</v>
      </c>
      <c r="C17" s="479">
        <v>0.9</v>
      </c>
      <c r="D17" s="480">
        <v>40</v>
      </c>
      <c r="E17" s="481">
        <v>4</v>
      </c>
      <c r="F17" s="482">
        <v>1.67</v>
      </c>
      <c r="G17" s="481">
        <v>0</v>
      </c>
      <c r="H17" s="483">
        <f>E17/D17</f>
        <v>0.1</v>
      </c>
      <c r="I17" s="484">
        <f>F17+G17*8760/1000*C17</f>
        <v>1.67</v>
      </c>
      <c r="J17" s="485">
        <f>H17/C17</f>
        <v>0.11111111111111112</v>
      </c>
      <c r="K17" s="484">
        <f>I17/C17</f>
        <v>1.8555555555555554</v>
      </c>
      <c r="L17" s="485">
        <f t="shared" si="4"/>
        <v>1.2683916793505836E-2</v>
      </c>
      <c r="M17" s="484">
        <f t="shared" si="4"/>
        <v>0.21182141045154743</v>
      </c>
      <c r="N17" s="486">
        <f>SUM(L17:M17)</f>
        <v>0.22450532724505326</v>
      </c>
      <c r="O17" s="555"/>
      <c r="P17" s="553"/>
    </row>
    <row r="18" spans="1:16">
      <c r="A18" s="460" t="s">
        <v>566</v>
      </c>
      <c r="B18" s="460" t="s">
        <v>312</v>
      </c>
      <c r="C18" s="461">
        <v>0.85</v>
      </c>
      <c r="D18" s="462">
        <v>40</v>
      </c>
      <c r="E18" s="463">
        <v>21.3</v>
      </c>
      <c r="F18" s="464">
        <v>7.8</v>
      </c>
      <c r="G18" s="463">
        <v>0</v>
      </c>
      <c r="H18" s="465">
        <f>E18/D18</f>
        <v>0.53249999999999997</v>
      </c>
      <c r="I18" s="466">
        <f>F18+G18*8760/1000*C18</f>
        <v>7.8</v>
      </c>
      <c r="J18" s="467">
        <f>H18/C18</f>
        <v>0.62647058823529411</v>
      </c>
      <c r="K18" s="466">
        <f>I18/C18</f>
        <v>9.1764705882352935</v>
      </c>
      <c r="L18" s="467">
        <f t="shared" si="4"/>
        <v>7.1514907332796127E-2</v>
      </c>
      <c r="M18" s="466">
        <f t="shared" si="4"/>
        <v>1.0475423045930701</v>
      </c>
      <c r="N18" s="468">
        <f>SUM(L18:M18)</f>
        <v>1.1190572119258662</v>
      </c>
      <c r="O18" s="556">
        <f>AVERAGE(N18:N19)</f>
        <v>0.71885911899006172</v>
      </c>
      <c r="P18" s="553"/>
    </row>
    <row r="19" spans="1:16" ht="13" thickBot="1">
      <c r="A19" s="478" t="s">
        <v>567</v>
      </c>
      <c r="B19" s="478" t="s">
        <v>559</v>
      </c>
      <c r="C19" s="479">
        <v>0.85</v>
      </c>
      <c r="D19" s="480">
        <v>40</v>
      </c>
      <c r="E19" s="481">
        <v>3.71</v>
      </c>
      <c r="F19" s="482">
        <v>2.2799999999999998</v>
      </c>
      <c r="G19" s="481">
        <v>0</v>
      </c>
      <c r="H19" s="483">
        <f t="shared" si="0"/>
        <v>9.2749999999999999E-2</v>
      </c>
      <c r="I19" s="484">
        <f t="shared" si="1"/>
        <v>2.2799999999999998</v>
      </c>
      <c r="J19" s="485">
        <f t="shared" si="2"/>
        <v>0.10911764705882353</v>
      </c>
      <c r="K19" s="484">
        <f t="shared" si="3"/>
        <v>2.6823529411764704</v>
      </c>
      <c r="L19" s="485">
        <f t="shared" si="4"/>
        <v>1.2456352403975288E-2</v>
      </c>
      <c r="M19" s="484">
        <f t="shared" si="4"/>
        <v>0.30620467365028203</v>
      </c>
      <c r="N19" s="486">
        <f t="shared" si="5"/>
        <v>0.31866102605425733</v>
      </c>
      <c r="O19" s="555"/>
      <c r="P19" s="553"/>
    </row>
    <row r="20" spans="1:16" ht="13" thickBot="1">
      <c r="A20" s="487" t="s">
        <v>568</v>
      </c>
      <c r="B20" s="487" t="s">
        <v>559</v>
      </c>
      <c r="C20" s="488">
        <v>0.55000000000000004</v>
      </c>
      <c r="D20" s="489">
        <v>40</v>
      </c>
      <c r="E20" s="490">
        <v>5.71</v>
      </c>
      <c r="F20" s="491">
        <v>1.1399999999999999</v>
      </c>
      <c r="G20" s="490">
        <v>0</v>
      </c>
      <c r="H20" s="492">
        <f t="shared" si="0"/>
        <v>0.14274999999999999</v>
      </c>
      <c r="I20" s="493">
        <f t="shared" si="1"/>
        <v>1.1399999999999999</v>
      </c>
      <c r="J20" s="494">
        <f t="shared" si="2"/>
        <v>0.25954545454545452</v>
      </c>
      <c r="K20" s="493">
        <f t="shared" si="3"/>
        <v>2.0727272727272723</v>
      </c>
      <c r="L20" s="494">
        <f t="shared" si="4"/>
        <v>2.9628476546284761E-2</v>
      </c>
      <c r="M20" s="493">
        <f t="shared" si="4"/>
        <v>0.236612702366127</v>
      </c>
      <c r="N20" s="495">
        <f t="shared" si="5"/>
        <v>0.26624117891241178</v>
      </c>
      <c r="O20" s="493">
        <f>N20</f>
        <v>0.26624117891241178</v>
      </c>
      <c r="P20" s="435"/>
    </row>
    <row r="21" spans="1:16">
      <c r="A21" s="496" t="s">
        <v>309</v>
      </c>
      <c r="B21" s="496" t="s">
        <v>569</v>
      </c>
      <c r="C21" s="497">
        <v>0.2</v>
      </c>
      <c r="D21" s="498">
        <v>25</v>
      </c>
      <c r="E21" s="499">
        <v>37</v>
      </c>
      <c r="F21" s="500">
        <v>1</v>
      </c>
      <c r="G21" s="499">
        <v>0</v>
      </c>
      <c r="H21" s="501">
        <f>E21/D21</f>
        <v>1.48</v>
      </c>
      <c r="I21" s="502">
        <f>F21+G21*8760/1000*C21</f>
        <v>1</v>
      </c>
      <c r="J21" s="503">
        <f>H21/C21</f>
        <v>7.3999999999999995</v>
      </c>
      <c r="K21" s="502">
        <f>I21/C21</f>
        <v>5</v>
      </c>
      <c r="L21" s="503">
        <f>J21/8760*1000</f>
        <v>0.84474885844748848</v>
      </c>
      <c r="M21" s="502">
        <f>K21/8760*1000</f>
        <v>0.57077625570776247</v>
      </c>
      <c r="N21" s="504">
        <f>SUM(L21:M21)</f>
        <v>1.415525114155251</v>
      </c>
      <c r="O21" s="558">
        <f>N38</f>
        <v>0.79313246811604099</v>
      </c>
      <c r="P21" s="435"/>
    </row>
    <row r="22" spans="1:16">
      <c r="A22" s="505" t="s">
        <v>310</v>
      </c>
      <c r="B22" s="505" t="s">
        <v>221</v>
      </c>
      <c r="C22" s="506">
        <v>0.2</v>
      </c>
      <c r="D22" s="507">
        <v>25</v>
      </c>
      <c r="E22" s="508">
        <v>32.340000000000003</v>
      </c>
      <c r="F22" s="509">
        <v>0.37</v>
      </c>
      <c r="G22" s="508">
        <v>0</v>
      </c>
      <c r="H22" s="510">
        <f t="shared" si="0"/>
        <v>1.2936000000000001</v>
      </c>
      <c r="I22" s="511">
        <f t="shared" si="1"/>
        <v>0.37</v>
      </c>
      <c r="J22" s="512">
        <f t="shared" si="2"/>
        <v>6.468</v>
      </c>
      <c r="K22" s="511">
        <f t="shared" si="3"/>
        <v>1.8499999999999999</v>
      </c>
      <c r="L22" s="512">
        <f t="shared" si="4"/>
        <v>0.73835616438356166</v>
      </c>
      <c r="M22" s="511">
        <f t="shared" si="4"/>
        <v>0.21118721461187212</v>
      </c>
      <c r="N22" s="513">
        <f t="shared" si="5"/>
        <v>0.94954337899543373</v>
      </c>
      <c r="O22" s="559"/>
      <c r="P22" s="435"/>
    </row>
    <row r="23" spans="1:16" ht="13" thickBot="1">
      <c r="A23" s="478" t="s">
        <v>311</v>
      </c>
      <c r="B23" s="478" t="s">
        <v>559</v>
      </c>
      <c r="C23" s="479">
        <v>0.2</v>
      </c>
      <c r="D23" s="478">
        <v>25</v>
      </c>
      <c r="E23" s="481">
        <v>7.14</v>
      </c>
      <c r="F23" s="482">
        <v>0.12</v>
      </c>
      <c r="G23" s="514">
        <v>0</v>
      </c>
      <c r="H23" s="483">
        <f t="shared" si="0"/>
        <v>0.28559999999999997</v>
      </c>
      <c r="I23" s="481">
        <f t="shared" si="1"/>
        <v>0.12</v>
      </c>
      <c r="J23" s="482">
        <f t="shared" si="2"/>
        <v>1.4279999999999997</v>
      </c>
      <c r="K23" s="481">
        <f t="shared" si="3"/>
        <v>0.6</v>
      </c>
      <c r="L23" s="482">
        <f t="shared" si="4"/>
        <v>0.16301369863013696</v>
      </c>
      <c r="M23" s="481">
        <f t="shared" si="4"/>
        <v>6.8493150684931503E-2</v>
      </c>
      <c r="N23" s="515">
        <f t="shared" si="5"/>
        <v>0.23150684931506846</v>
      </c>
      <c r="O23" s="560"/>
      <c r="P23" s="435"/>
    </row>
    <row r="24" spans="1:16">
      <c r="A24" s="460" t="s">
        <v>434</v>
      </c>
      <c r="B24" s="460" t="s">
        <v>438</v>
      </c>
      <c r="C24" s="516">
        <v>0.4</v>
      </c>
      <c r="D24" s="462">
        <v>25</v>
      </c>
      <c r="E24" s="463">
        <f>10310/1000</f>
        <v>10.31</v>
      </c>
      <c r="F24" s="464">
        <v>1</v>
      </c>
      <c r="G24" s="463">
        <v>0</v>
      </c>
      <c r="H24" s="501">
        <f t="shared" si="0"/>
        <v>0.41240000000000004</v>
      </c>
      <c r="I24" s="502">
        <f t="shared" si="1"/>
        <v>1</v>
      </c>
      <c r="J24" s="503">
        <f t="shared" si="2"/>
        <v>1.0310000000000001</v>
      </c>
      <c r="K24" s="502">
        <f t="shared" si="3"/>
        <v>2.5</v>
      </c>
      <c r="L24" s="503">
        <f t="shared" si="4"/>
        <v>0.11769406392694066</v>
      </c>
      <c r="M24" s="502">
        <f t="shared" si="4"/>
        <v>0.28538812785388123</v>
      </c>
      <c r="N24" s="504">
        <f t="shared" si="5"/>
        <v>0.40308219178082189</v>
      </c>
      <c r="O24" s="556">
        <f>AVERAGE(N24:N25,N26)</f>
        <v>0.23028919330289191</v>
      </c>
      <c r="P24" s="435"/>
    </row>
    <row r="25" spans="1:16">
      <c r="A25" s="517" t="s">
        <v>435</v>
      </c>
      <c r="B25" s="517" t="s">
        <v>437</v>
      </c>
      <c r="C25" s="518">
        <v>0.4</v>
      </c>
      <c r="D25" s="519">
        <v>25</v>
      </c>
      <c r="E25" s="472">
        <v>4.5</v>
      </c>
      <c r="F25" s="473">
        <v>0.38</v>
      </c>
      <c r="G25" s="475">
        <v>0</v>
      </c>
      <c r="H25" s="520">
        <f t="shared" si="0"/>
        <v>0.18</v>
      </c>
      <c r="I25" s="475">
        <f t="shared" si="1"/>
        <v>0.38</v>
      </c>
      <c r="J25" s="476">
        <f t="shared" si="2"/>
        <v>0.44999999999999996</v>
      </c>
      <c r="K25" s="475">
        <f t="shared" si="3"/>
        <v>0.95</v>
      </c>
      <c r="L25" s="476">
        <f t="shared" si="4"/>
        <v>5.1369863013698627E-2</v>
      </c>
      <c r="M25" s="475">
        <f t="shared" si="4"/>
        <v>0.10844748858447488</v>
      </c>
      <c r="N25" s="477">
        <f t="shared" si="5"/>
        <v>0.15981735159817351</v>
      </c>
      <c r="O25" s="557"/>
      <c r="P25" s="435"/>
    </row>
    <row r="26" spans="1:16" ht="13" thickBot="1">
      <c r="A26" s="521" t="s">
        <v>436</v>
      </c>
      <c r="B26" s="521" t="s">
        <v>559</v>
      </c>
      <c r="C26" s="522">
        <v>0.4</v>
      </c>
      <c r="D26" s="521">
        <v>25</v>
      </c>
      <c r="E26" s="484">
        <v>5.71</v>
      </c>
      <c r="F26" s="485">
        <v>0.22</v>
      </c>
      <c r="G26" s="514">
        <v>0</v>
      </c>
      <c r="H26" s="523">
        <f t="shared" si="0"/>
        <v>0.22839999999999999</v>
      </c>
      <c r="I26" s="484">
        <f t="shared" si="1"/>
        <v>0.22</v>
      </c>
      <c r="J26" s="485">
        <f t="shared" si="2"/>
        <v>0.57099999999999995</v>
      </c>
      <c r="K26" s="484">
        <f t="shared" si="3"/>
        <v>0.54999999999999993</v>
      </c>
      <c r="L26" s="485">
        <f t="shared" si="4"/>
        <v>6.5182648401826485E-2</v>
      </c>
      <c r="M26" s="484">
        <f t="shared" si="4"/>
        <v>6.2785388127853878E-2</v>
      </c>
      <c r="N26" s="486">
        <f t="shared" si="5"/>
        <v>0.12796803652968036</v>
      </c>
      <c r="O26" s="555"/>
      <c r="P26" s="435"/>
    </row>
    <row r="27" spans="1:16">
      <c r="A27" s="524" t="s">
        <v>570</v>
      </c>
      <c r="B27" s="524" t="s">
        <v>362</v>
      </c>
      <c r="C27" s="516">
        <v>0.35</v>
      </c>
      <c r="D27" s="462">
        <v>25</v>
      </c>
      <c r="E27" s="463">
        <v>10.1</v>
      </c>
      <c r="F27" s="464">
        <v>0.4</v>
      </c>
      <c r="G27" s="466">
        <v>0</v>
      </c>
      <c r="H27" s="525">
        <f t="shared" si="0"/>
        <v>0.40399999999999997</v>
      </c>
      <c r="I27" s="466">
        <f t="shared" si="1"/>
        <v>0.4</v>
      </c>
      <c r="J27" s="467">
        <f t="shared" si="2"/>
        <v>1.1542857142857144</v>
      </c>
      <c r="K27" s="466">
        <f t="shared" si="3"/>
        <v>1.142857142857143</v>
      </c>
      <c r="L27" s="467">
        <f t="shared" si="4"/>
        <v>0.13176777560339206</v>
      </c>
      <c r="M27" s="466">
        <f t="shared" si="4"/>
        <v>0.13046314416177432</v>
      </c>
      <c r="N27" s="468">
        <f t="shared" si="5"/>
        <v>0.26223091976516638</v>
      </c>
      <c r="O27" s="556">
        <f>AVERAGE(N27,N28,N29:N31)</f>
        <v>0.16974559686888452</v>
      </c>
      <c r="P27" s="435"/>
    </row>
    <row r="28" spans="1:16">
      <c r="A28" s="517" t="s">
        <v>220</v>
      </c>
      <c r="B28" s="517" t="s">
        <v>221</v>
      </c>
      <c r="C28" s="518">
        <v>0.35</v>
      </c>
      <c r="D28" s="471">
        <v>25</v>
      </c>
      <c r="E28" s="472">
        <v>3.8</v>
      </c>
      <c r="F28" s="473">
        <v>0.14399999999999999</v>
      </c>
      <c r="G28" s="475">
        <v>0</v>
      </c>
      <c r="H28" s="520">
        <f t="shared" si="0"/>
        <v>0.152</v>
      </c>
      <c r="I28" s="475">
        <f t="shared" si="1"/>
        <v>0.14399999999999999</v>
      </c>
      <c r="J28" s="476">
        <f t="shared" si="2"/>
        <v>0.43428571428571427</v>
      </c>
      <c r="K28" s="475">
        <f t="shared" si="3"/>
        <v>0.41142857142857142</v>
      </c>
      <c r="L28" s="476">
        <f t="shared" si="4"/>
        <v>4.9575994781474238E-2</v>
      </c>
      <c r="M28" s="475">
        <f t="shared" si="4"/>
        <v>4.6966731898238752E-2</v>
      </c>
      <c r="N28" s="477">
        <f t="shared" si="5"/>
        <v>9.654272667971299E-2</v>
      </c>
      <c r="O28" s="557"/>
      <c r="P28" s="435"/>
    </row>
    <row r="29" spans="1:16">
      <c r="A29" s="517" t="s">
        <v>361</v>
      </c>
      <c r="B29" s="517" t="s">
        <v>571</v>
      </c>
      <c r="C29" s="518">
        <v>0.35</v>
      </c>
      <c r="D29" s="519">
        <v>25</v>
      </c>
      <c r="E29" s="475">
        <v>10.96</v>
      </c>
      <c r="F29" s="476">
        <v>0.17499999999999999</v>
      </c>
      <c r="G29" s="475">
        <v>0</v>
      </c>
      <c r="H29" s="520">
        <f t="shared" si="0"/>
        <v>0.43840000000000001</v>
      </c>
      <c r="I29" s="475">
        <f t="shared" si="1"/>
        <v>0.17499999999999999</v>
      </c>
      <c r="J29" s="476">
        <f t="shared" si="2"/>
        <v>1.2525714285714287</v>
      </c>
      <c r="K29" s="475">
        <f t="shared" si="3"/>
        <v>0.5</v>
      </c>
      <c r="L29" s="476">
        <f t="shared" si="4"/>
        <v>0.14298760600130464</v>
      </c>
      <c r="M29" s="475">
        <f t="shared" si="4"/>
        <v>5.7077625570776253E-2</v>
      </c>
      <c r="N29" s="477">
        <f t="shared" si="5"/>
        <v>0.20006523157208089</v>
      </c>
      <c r="O29" s="557"/>
      <c r="P29" s="435"/>
    </row>
    <row r="30" spans="1:16">
      <c r="A30" s="517" t="s">
        <v>572</v>
      </c>
      <c r="B30" s="517" t="s">
        <v>312</v>
      </c>
      <c r="C30" s="518">
        <v>0.35</v>
      </c>
      <c r="D30" s="519">
        <v>25</v>
      </c>
      <c r="E30" s="475">
        <v>7.4</v>
      </c>
      <c r="F30" s="476">
        <v>0.2</v>
      </c>
      <c r="G30" s="475">
        <v>0</v>
      </c>
      <c r="H30" s="520">
        <f t="shared" si="0"/>
        <v>0.29600000000000004</v>
      </c>
      <c r="I30" s="475">
        <f t="shared" si="1"/>
        <v>0.2</v>
      </c>
      <c r="J30" s="476">
        <f t="shared" si="2"/>
        <v>0.84571428571428586</v>
      </c>
      <c r="K30" s="475">
        <f t="shared" si="3"/>
        <v>0.57142857142857151</v>
      </c>
      <c r="L30" s="476">
        <f t="shared" si="4"/>
        <v>9.6542726679713003E-2</v>
      </c>
      <c r="M30" s="475">
        <f t="shared" si="4"/>
        <v>6.523157208088716E-2</v>
      </c>
      <c r="N30" s="477">
        <f t="shared" si="5"/>
        <v>0.16177429876060018</v>
      </c>
      <c r="O30" s="557"/>
      <c r="P30" s="435"/>
    </row>
    <row r="31" spans="1:16" ht="13" thickBot="1">
      <c r="A31" s="521" t="s">
        <v>573</v>
      </c>
      <c r="B31" s="521" t="s">
        <v>559</v>
      </c>
      <c r="C31" s="522">
        <v>0.35</v>
      </c>
      <c r="D31" s="526">
        <v>25</v>
      </c>
      <c r="E31" s="484">
        <v>2.57</v>
      </c>
      <c r="F31" s="485">
        <v>0.28999999999999998</v>
      </c>
      <c r="G31" s="484">
        <v>0</v>
      </c>
      <c r="H31" s="523">
        <f t="shared" si="0"/>
        <v>0.10279999999999999</v>
      </c>
      <c r="I31" s="484">
        <f t="shared" si="1"/>
        <v>0.28999999999999998</v>
      </c>
      <c r="J31" s="485">
        <f t="shared" si="2"/>
        <v>0.29371428571428571</v>
      </c>
      <c r="K31" s="484">
        <f t="shared" si="3"/>
        <v>0.82857142857142851</v>
      </c>
      <c r="L31" s="485">
        <f>J31/8760*1000</f>
        <v>3.3529028049575992E-2</v>
      </c>
      <c r="M31" s="484">
        <f>K31/8760*1000</f>
        <v>9.4585779517286361E-2</v>
      </c>
      <c r="N31" s="486">
        <f t="shared" si="5"/>
        <v>0.12811480756686236</v>
      </c>
      <c r="O31" s="555"/>
      <c r="P31" s="435"/>
    </row>
    <row r="32" spans="1:16" ht="23" thickBot="1">
      <c r="A32" s="487" t="s">
        <v>431</v>
      </c>
      <c r="B32" s="487" t="s">
        <v>432</v>
      </c>
      <c r="C32" s="488">
        <v>0.8</v>
      </c>
      <c r="D32" s="489">
        <v>40</v>
      </c>
      <c r="E32" s="490">
        <v>20.48</v>
      </c>
      <c r="F32" s="491">
        <v>0.31</v>
      </c>
      <c r="G32" s="490">
        <v>0.06</v>
      </c>
      <c r="H32" s="492">
        <v>0.51200000000000001</v>
      </c>
      <c r="I32" s="493">
        <v>0.73048000000000002</v>
      </c>
      <c r="J32" s="494">
        <v>0.64</v>
      </c>
      <c r="K32" s="493">
        <v>0.91310000000000002</v>
      </c>
      <c r="L32" s="494">
        <v>7.3059360730593603E-2</v>
      </c>
      <c r="M32" s="493">
        <v>0.10423515981735161</v>
      </c>
      <c r="N32" s="495">
        <v>0.1772945205479452</v>
      </c>
      <c r="O32" s="493">
        <f>N32</f>
        <v>0.1772945205479452</v>
      </c>
      <c r="P32" s="435"/>
    </row>
    <row r="33" spans="1:16" ht="13" thickBot="1">
      <c r="A33" s="487" t="s">
        <v>225</v>
      </c>
      <c r="B33" s="487" t="s">
        <v>433</v>
      </c>
      <c r="C33" s="488">
        <v>0.9</v>
      </c>
      <c r="D33" s="489">
        <v>40</v>
      </c>
      <c r="E33" s="490">
        <v>15.2</v>
      </c>
      <c r="F33" s="491">
        <v>0.7</v>
      </c>
      <c r="G33" s="490">
        <v>0</v>
      </c>
      <c r="H33" s="527">
        <f>E33/D33</f>
        <v>0.38</v>
      </c>
      <c r="I33" s="493">
        <f>F33+G33*8760/1000*C33</f>
        <v>0.7</v>
      </c>
      <c r="J33" s="494">
        <f>H33/C33</f>
        <v>0.42222222222222222</v>
      </c>
      <c r="K33" s="493">
        <f>I33/C33</f>
        <v>0.77777777777777768</v>
      </c>
      <c r="L33" s="494">
        <f t="shared" ref="L33:M35" si="6">J33/8760*1000</f>
        <v>4.8198883815322169E-2</v>
      </c>
      <c r="M33" s="493">
        <f t="shared" si="6"/>
        <v>8.8787417554540837E-2</v>
      </c>
      <c r="N33" s="495">
        <f>SUM(L33:M33)</f>
        <v>0.13698630136986301</v>
      </c>
      <c r="O33" s="493">
        <f>N33</f>
        <v>0.13698630136986301</v>
      </c>
      <c r="P33" s="435"/>
    </row>
    <row r="34" spans="1:16" ht="13" thickBot="1">
      <c r="A34" s="528" t="s">
        <v>142</v>
      </c>
      <c r="B34" s="528" t="s">
        <v>223</v>
      </c>
      <c r="C34" s="529">
        <v>0.8</v>
      </c>
      <c r="D34" s="530">
        <v>40</v>
      </c>
      <c r="E34" s="493">
        <v>8.5</v>
      </c>
      <c r="F34" s="494">
        <v>0.18</v>
      </c>
      <c r="G34" s="493">
        <v>5.8999999999999997E-2</v>
      </c>
      <c r="H34" s="527">
        <f>E34/D34</f>
        <v>0.21249999999999999</v>
      </c>
      <c r="I34" s="493">
        <v>0.59</v>
      </c>
      <c r="J34" s="494">
        <f>H34/C34</f>
        <v>0.265625</v>
      </c>
      <c r="K34" s="493">
        <f>I34/C34</f>
        <v>0.73749999999999993</v>
      </c>
      <c r="L34" s="494">
        <f t="shared" si="6"/>
        <v>3.0322488584474887E-2</v>
      </c>
      <c r="M34" s="493">
        <f t="shared" si="6"/>
        <v>8.4189497716894962E-2</v>
      </c>
      <c r="N34" s="495">
        <f>SUM(L34:M34)</f>
        <v>0.11451198630136986</v>
      </c>
      <c r="O34" s="493">
        <f>N34</f>
        <v>0.11451198630136986</v>
      </c>
      <c r="P34" s="435"/>
    </row>
    <row r="35" spans="1:16" ht="13" thickBot="1">
      <c r="A35" s="528" t="s">
        <v>222</v>
      </c>
      <c r="B35" s="528" t="s">
        <v>312</v>
      </c>
      <c r="C35" s="529">
        <v>0.85</v>
      </c>
      <c r="D35" s="530">
        <v>40</v>
      </c>
      <c r="E35" s="493">
        <v>1.02</v>
      </c>
      <c r="F35" s="494">
        <v>0.1</v>
      </c>
      <c r="G35" s="493">
        <v>0.09</v>
      </c>
      <c r="H35" s="527">
        <f>E35/D35</f>
        <v>2.5500000000000002E-2</v>
      </c>
      <c r="I35" s="493">
        <f>F35+G35*8760/1000*C35</f>
        <v>0.77013999999999994</v>
      </c>
      <c r="J35" s="494">
        <f>H35/C35</f>
        <v>3.0000000000000002E-2</v>
      </c>
      <c r="K35" s="493">
        <f>I35/C35</f>
        <v>0.90604705882352932</v>
      </c>
      <c r="L35" s="494">
        <f t="shared" si="6"/>
        <v>3.4246575342465756E-3</v>
      </c>
      <c r="M35" s="493">
        <f t="shared" si="6"/>
        <v>0.10343002954606499</v>
      </c>
      <c r="N35" s="495">
        <f>SUM(L35:M35)</f>
        <v>0.10685468708031157</v>
      </c>
      <c r="O35" s="493">
        <f>N35</f>
        <v>0.10685468708031157</v>
      </c>
      <c r="P35" s="435"/>
    </row>
    <row r="36" spans="1:16">
      <c r="A36" s="531" t="s">
        <v>427</v>
      </c>
      <c r="B36" s="531" t="s">
        <v>429</v>
      </c>
      <c r="C36" s="532">
        <v>1</v>
      </c>
      <c r="D36" s="533">
        <v>20</v>
      </c>
      <c r="E36" s="561" t="s">
        <v>0</v>
      </c>
      <c r="F36" s="562"/>
      <c r="G36" s="562"/>
      <c r="H36" s="562"/>
      <c r="I36" s="562"/>
      <c r="J36" s="562"/>
      <c r="K36" s="562"/>
      <c r="L36" s="562"/>
      <c r="M36" s="563"/>
      <c r="N36" s="534">
        <v>0.17</v>
      </c>
      <c r="O36" s="564">
        <f>AVERAGE(N36,N37)</f>
        <v>0.38</v>
      </c>
      <c r="P36" s="435"/>
    </row>
    <row r="37" spans="1:16">
      <c r="A37" s="517" t="s">
        <v>428</v>
      </c>
      <c r="B37" s="517" t="s">
        <v>430</v>
      </c>
      <c r="C37" s="535">
        <v>1</v>
      </c>
      <c r="D37" s="519">
        <v>20</v>
      </c>
      <c r="E37" s="566" t="s">
        <v>0</v>
      </c>
      <c r="F37" s="567"/>
      <c r="G37" s="567"/>
      <c r="H37" s="567"/>
      <c r="I37" s="567"/>
      <c r="J37" s="567"/>
      <c r="K37" s="567"/>
      <c r="L37" s="567"/>
      <c r="M37" s="568"/>
      <c r="N37" s="477">
        <v>0.59</v>
      </c>
      <c r="O37" s="565"/>
      <c r="P37" s="435"/>
    </row>
    <row r="38" spans="1:16">
      <c r="A38" s="81" t="s">
        <v>754</v>
      </c>
      <c r="B38" s="81" t="s">
        <v>755</v>
      </c>
      <c r="C38" s="536">
        <v>0.2</v>
      </c>
      <c r="D38" s="81">
        <v>25</v>
      </c>
      <c r="E38" s="376">
        <f>(97031+32490+15112+20185)/B39</f>
        <v>14.698366579021558</v>
      </c>
      <c r="F38" s="376">
        <f>(8989)/B39</f>
        <v>0.80163342097844159</v>
      </c>
      <c r="G38" s="81">
        <v>0</v>
      </c>
      <c r="H38" s="376">
        <f>E38/D38</f>
        <v>0.58793466316086229</v>
      </c>
      <c r="I38" s="376">
        <f>F38</f>
        <v>0.80163342097844159</v>
      </c>
      <c r="J38" s="376">
        <f>H38/C38</f>
        <v>2.9396733158043111</v>
      </c>
      <c r="K38" s="376">
        <f>I38/C38</f>
        <v>4.0081671048922081</v>
      </c>
      <c r="L38" s="376">
        <f>J38/8760*1000</f>
        <v>0.33557914563976154</v>
      </c>
      <c r="M38" s="376">
        <f>K38/8760*1000</f>
        <v>0.4575533224762795</v>
      </c>
      <c r="N38" s="81">
        <f>L38+M38</f>
        <v>0.79313246811604099</v>
      </c>
      <c r="P38" s="435"/>
    </row>
    <row r="39" spans="1:16">
      <c r="B39" s="81">
        <f>173807/15.5</f>
        <v>11213.354838709678</v>
      </c>
      <c r="P39" s="435"/>
    </row>
    <row r="40" spans="1:16" ht="14">
      <c r="A40"/>
      <c r="B40"/>
      <c r="C40"/>
      <c r="D40"/>
      <c r="E40"/>
      <c r="F40"/>
      <c r="G40"/>
      <c r="H40"/>
      <c r="I40"/>
      <c r="J40"/>
      <c r="K40"/>
      <c r="L40"/>
      <c r="M40"/>
      <c r="N40"/>
      <c r="O40"/>
      <c r="P40" s="435"/>
    </row>
    <row r="41" spans="1:16" ht="14">
      <c r="A41"/>
      <c r="B41"/>
      <c r="C41"/>
      <c r="D41"/>
      <c r="E41"/>
      <c r="F41"/>
      <c r="G41"/>
      <c r="H41"/>
      <c r="I41"/>
      <c r="J41"/>
      <c r="K41"/>
      <c r="L41"/>
      <c r="M41"/>
      <c r="N41"/>
      <c r="O41"/>
      <c r="P41" s="435"/>
    </row>
    <row r="42" spans="1:16" ht="14">
      <c r="A42"/>
      <c r="B42"/>
      <c r="C42"/>
      <c r="D42"/>
      <c r="E42"/>
      <c r="F42"/>
      <c r="G42"/>
      <c r="H42"/>
      <c r="I42"/>
      <c r="J42"/>
      <c r="K42"/>
      <c r="L42"/>
      <c r="M42"/>
      <c r="N42"/>
      <c r="O42"/>
      <c r="P42" s="435"/>
    </row>
    <row r="43" spans="1:16" ht="14">
      <c r="A43"/>
      <c r="B43"/>
      <c r="C43"/>
      <c r="D43"/>
      <c r="E43"/>
      <c r="F43"/>
      <c r="G43"/>
      <c r="H43"/>
      <c r="I43"/>
      <c r="J43"/>
      <c r="K43"/>
      <c r="L43"/>
      <c r="M43"/>
      <c r="N43"/>
      <c r="O43"/>
      <c r="P43" s="435"/>
    </row>
    <row r="44" spans="1:16" ht="14">
      <c r="A44"/>
      <c r="B44"/>
      <c r="C44"/>
      <c r="D44"/>
      <c r="E44"/>
      <c r="F44"/>
      <c r="G44"/>
      <c r="H44"/>
      <c r="I44"/>
      <c r="J44"/>
      <c r="K44"/>
      <c r="L44"/>
      <c r="M44"/>
      <c r="N44"/>
      <c r="O44"/>
      <c r="P44" s="435"/>
    </row>
    <row r="45" spans="1:16" ht="14">
      <c r="A45"/>
      <c r="B45"/>
      <c r="C45"/>
      <c r="D45"/>
      <c r="E45"/>
      <c r="F45"/>
      <c r="G45"/>
      <c r="H45"/>
      <c r="I45"/>
      <c r="J45"/>
      <c r="K45"/>
      <c r="L45"/>
      <c r="M45"/>
      <c r="N45"/>
      <c r="O45"/>
      <c r="P45" s="435"/>
    </row>
    <row r="46" spans="1:16">
      <c r="A46" s="435"/>
      <c r="B46" s="435"/>
      <c r="C46" s="435"/>
      <c r="D46" s="435"/>
      <c r="E46" s="435"/>
      <c r="F46" s="435"/>
      <c r="G46" s="435"/>
      <c r="H46" s="435"/>
      <c r="I46" s="435"/>
      <c r="J46" s="435"/>
      <c r="K46" s="435"/>
      <c r="L46" s="435"/>
      <c r="M46" s="435"/>
      <c r="N46" s="435"/>
      <c r="O46" s="435"/>
      <c r="P46" s="435"/>
    </row>
    <row r="47" spans="1:16">
      <c r="A47" s="435"/>
      <c r="B47" s="435"/>
      <c r="C47" s="435"/>
      <c r="D47" s="435"/>
      <c r="E47" s="435"/>
      <c r="F47" s="435"/>
      <c r="G47" s="435"/>
      <c r="H47" s="435"/>
      <c r="I47" s="435"/>
      <c r="J47" s="435"/>
      <c r="K47" s="435"/>
      <c r="L47" s="435"/>
      <c r="M47" s="435"/>
      <c r="N47" s="436"/>
      <c r="O47" s="435"/>
      <c r="P47" s="435"/>
    </row>
    <row r="49" s="81" customFormat="1"/>
    <row r="50" s="81" customFormat="1"/>
    <row r="51" s="81" customFormat="1"/>
    <row r="52" s="81" customFormat="1"/>
    <row r="53" s="81" customFormat="1"/>
    <row r="54" s="81" customFormat="1"/>
    <row r="55" s="81" customFormat="1"/>
    <row r="56" s="81" customFormat="1"/>
    <row r="57" s="81" customFormat="1"/>
    <row r="58" s="81" customFormat="1"/>
    <row r="59" s="81" customFormat="1"/>
  </sheetData>
  <mergeCells count="20">
    <mergeCell ref="O21:O23"/>
    <mergeCell ref="O24:O26"/>
    <mergeCell ref="O27:O31"/>
    <mergeCell ref="E36:M36"/>
    <mergeCell ref="O36:O37"/>
    <mergeCell ref="E37:M37"/>
    <mergeCell ref="A1:P9"/>
    <mergeCell ref="A10:A11"/>
    <mergeCell ref="B10:B11"/>
    <mergeCell ref="C10:C12"/>
    <mergeCell ref="D10:D12"/>
    <mergeCell ref="E10:G11"/>
    <mergeCell ref="H10:O10"/>
    <mergeCell ref="H11:I11"/>
    <mergeCell ref="J11:K11"/>
    <mergeCell ref="L11:O11"/>
    <mergeCell ref="P12:P19"/>
    <mergeCell ref="O13:O14"/>
    <mergeCell ref="O15:O17"/>
    <mergeCell ref="O18:O19"/>
  </mergeCells>
  <pageMargins left="0.75" right="0.75" top="1" bottom="1" header="0.5" footer="0.5"/>
  <pageSetup orientation="portrait" horizontalDpi="4294967293" vertic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9"/>
      <c r="C1" s="569"/>
      <c r="D1" s="569"/>
      <c r="E1" s="569"/>
      <c r="F1" s="569"/>
      <c r="G1" s="569"/>
      <c r="H1" s="569"/>
      <c r="I1" s="569"/>
      <c r="J1" s="569"/>
      <c r="K1" s="569"/>
      <c r="L1" s="569"/>
    </row>
    <row r="2" spans="1:12">
      <c r="B2" s="569"/>
      <c r="C2" s="569"/>
      <c r="D2" s="569"/>
      <c r="E2" s="569"/>
      <c r="F2" s="569"/>
      <c r="G2" s="569"/>
      <c r="H2" s="569"/>
      <c r="I2" s="569"/>
      <c r="J2" s="569"/>
      <c r="K2" s="569"/>
      <c r="L2" s="569"/>
    </row>
    <row r="3" spans="1:12">
      <c r="B3" s="569"/>
      <c r="C3" s="569"/>
      <c r="D3" s="569"/>
      <c r="E3" s="569"/>
      <c r="F3" s="569"/>
      <c r="G3" s="569"/>
      <c r="H3" s="569"/>
      <c r="I3" s="569"/>
      <c r="J3" s="569"/>
      <c r="K3" s="569"/>
      <c r="L3" s="569"/>
    </row>
    <row r="4" spans="1:12">
      <c r="B4" s="569"/>
      <c r="C4" s="569"/>
      <c r="D4" s="569"/>
      <c r="E4" s="569"/>
      <c r="F4" s="569"/>
      <c r="G4" s="569"/>
      <c r="H4" s="569"/>
      <c r="I4" s="569"/>
      <c r="J4" s="569"/>
      <c r="K4" s="569"/>
      <c r="L4" s="569"/>
    </row>
    <row r="5" spans="1:12">
      <c r="B5" s="569"/>
      <c r="C5" s="569"/>
      <c r="D5" s="569"/>
      <c r="E5" s="569"/>
      <c r="F5" s="569"/>
      <c r="G5" s="569"/>
      <c r="H5" s="569"/>
      <c r="I5" s="569"/>
      <c r="J5" s="569"/>
      <c r="K5" s="569"/>
      <c r="L5" s="569"/>
    </row>
    <row r="6" spans="1:12">
      <c r="B6" s="569"/>
      <c r="C6" s="569"/>
      <c r="D6" s="569"/>
      <c r="E6" s="569"/>
      <c r="F6" s="569"/>
      <c r="G6" s="569"/>
      <c r="H6" s="569"/>
      <c r="I6" s="569"/>
      <c r="J6" s="569"/>
      <c r="K6" s="569"/>
      <c r="L6" s="569"/>
    </row>
    <row r="7" spans="1:12">
      <c r="B7" s="569"/>
      <c r="C7" s="569"/>
      <c r="D7" s="569"/>
      <c r="E7" s="569"/>
      <c r="F7" s="569"/>
      <c r="G7" s="569"/>
      <c r="H7" s="569"/>
      <c r="I7" s="569"/>
      <c r="J7" s="569"/>
      <c r="K7" s="569"/>
      <c r="L7" s="569"/>
    </row>
    <row r="8" spans="1:12">
      <c r="B8" s="569"/>
      <c r="C8" s="569"/>
      <c r="D8" s="569"/>
      <c r="E8" s="569"/>
      <c r="F8" s="569"/>
      <c r="G8" s="569"/>
      <c r="H8" s="569"/>
      <c r="I8" s="569"/>
      <c r="J8" s="569"/>
      <c r="K8" s="569"/>
      <c r="L8" s="569"/>
    </row>
    <row r="9" spans="1:12" ht="48" customHeight="1">
      <c r="B9" s="569"/>
      <c r="C9" s="569"/>
      <c r="D9" s="569"/>
      <c r="E9" s="569"/>
      <c r="F9" s="569"/>
      <c r="G9" s="569"/>
      <c r="H9" s="569"/>
      <c r="I9" s="569"/>
      <c r="J9" s="569"/>
      <c r="K9" s="569"/>
      <c r="L9" s="569"/>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2" zoomScale="125" zoomScaleNormal="125" zoomScalePageLayoutView="125" workbookViewId="0">
      <pane xSplit="1" topLeftCell="B1" activePane="topRight" state="frozen"/>
      <selection activeCell="A33" sqref="A33"/>
      <selection pane="topRight" activeCell="G51" sqref="G51"/>
    </sheetView>
  </sheetViews>
  <sheetFormatPr baseColWidth="10" defaultColWidth="12.5" defaultRowHeight="16" x14ac:dyDescent="0"/>
  <cols>
    <col min="1" max="1" width="47.33203125" style="5" customWidth="1"/>
    <col min="2" max="2" width="13.6640625" style="309" bestFit="1" customWidth="1"/>
    <col min="3" max="6" width="13.1640625" style="309" bestFit="1" customWidth="1"/>
    <col min="7" max="7" width="13.1640625" style="264" bestFit="1" customWidth="1"/>
    <col min="8" max="19" width="14.5" style="264" bestFit="1" customWidth="1"/>
    <col min="20" max="21" width="16.5" style="264" bestFit="1" customWidth="1"/>
    <col min="22" max="37" width="12.5" style="264"/>
    <col min="38" max="16384" width="12.5" style="5"/>
  </cols>
  <sheetData>
    <row r="1" spans="1:37">
      <c r="A1" s="233" t="s">
        <v>63</v>
      </c>
    </row>
    <row r="2" spans="1:37">
      <c r="A2" s="237" t="s">
        <v>701</v>
      </c>
    </row>
    <row r="3" spans="1:37">
      <c r="A3" s="237" t="s">
        <v>653</v>
      </c>
    </row>
    <row r="4" spans="1:37">
      <c r="A4" s="237" t="s">
        <v>588</v>
      </c>
    </row>
    <row r="6" spans="1:37">
      <c r="A6" s="6" t="s">
        <v>64</v>
      </c>
    </row>
    <row r="7" spans="1:37">
      <c r="A7" s="6" t="s">
        <v>65</v>
      </c>
    </row>
    <row r="8" spans="1:37">
      <c r="A8" s="78" t="s">
        <v>280</v>
      </c>
    </row>
    <row r="10" spans="1:37">
      <c r="AK10" s="265"/>
    </row>
    <row r="11" spans="1:37">
      <c r="B11" s="329" t="s">
        <v>7</v>
      </c>
      <c r="C11" s="329" t="s">
        <v>8</v>
      </c>
      <c r="D11" s="329" t="s">
        <v>9</v>
      </c>
      <c r="E11" s="329" t="s">
        <v>10</v>
      </c>
      <c r="F11" s="329" t="s">
        <v>11</v>
      </c>
      <c r="G11" s="284" t="s">
        <v>12</v>
      </c>
      <c r="H11" s="284" t="s">
        <v>13</v>
      </c>
      <c r="I11" s="284" t="s">
        <v>14</v>
      </c>
      <c r="J11" s="284" t="s">
        <v>15</v>
      </c>
      <c r="K11" s="284" t="s">
        <v>16</v>
      </c>
      <c r="L11" s="284" t="s">
        <v>17</v>
      </c>
      <c r="M11" s="284" t="s">
        <v>18</v>
      </c>
      <c r="N11" s="284" t="s">
        <v>19</v>
      </c>
      <c r="O11" s="284" t="s">
        <v>20</v>
      </c>
      <c r="P11" s="284" t="s">
        <v>21</v>
      </c>
      <c r="Q11" s="284" t="s">
        <v>22</v>
      </c>
      <c r="R11" s="284" t="s">
        <v>23</v>
      </c>
      <c r="S11" s="284" t="s">
        <v>24</v>
      </c>
      <c r="T11" s="284" t="s">
        <v>25</v>
      </c>
      <c r="U11" s="284" t="s">
        <v>26</v>
      </c>
      <c r="V11" s="284" t="s">
        <v>27</v>
      </c>
      <c r="W11" s="284" t="s">
        <v>28</v>
      </c>
      <c r="X11" s="284" t="s">
        <v>29</v>
      </c>
      <c r="Y11" s="284" t="s">
        <v>30</v>
      </c>
      <c r="Z11" s="284" t="s">
        <v>31</v>
      </c>
      <c r="AA11" s="284" t="s">
        <v>578</v>
      </c>
      <c r="AB11" s="284" t="s">
        <v>579</v>
      </c>
      <c r="AC11" s="284" t="s">
        <v>580</v>
      </c>
      <c r="AD11" s="284" t="s">
        <v>581</v>
      </c>
      <c r="AE11" s="284" t="s">
        <v>582</v>
      </c>
      <c r="AF11" s="284" t="s">
        <v>583</v>
      </c>
      <c r="AG11" s="284" t="s">
        <v>584</v>
      </c>
      <c r="AH11" s="284" t="s">
        <v>585</v>
      </c>
      <c r="AI11" s="284" t="s">
        <v>586</v>
      </c>
      <c r="AJ11" s="284" t="s">
        <v>587</v>
      </c>
      <c r="AK11" s="284" t="s">
        <v>590</v>
      </c>
    </row>
    <row r="14" spans="1:37">
      <c r="A14" s="6" t="s">
        <v>66</v>
      </c>
    </row>
    <row r="16" spans="1:37">
      <c r="A16" s="6" t="s">
        <v>32</v>
      </c>
    </row>
    <row r="17" spans="1:38" s="216" customFormat="1">
      <c r="A17" s="215" t="s">
        <v>67</v>
      </c>
      <c r="B17" s="309"/>
      <c r="C17" s="309"/>
      <c r="D17" s="309"/>
      <c r="E17" s="309"/>
      <c r="F17" s="309"/>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row>
    <row r="18" spans="1:38" s="216" customFormat="1">
      <c r="A18" s="215"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16" customFormat="1">
      <c r="A19" s="215"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16" customFormat="1">
      <c r="A20" s="215"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16" customFormat="1">
      <c r="A21" s="215"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16" customFormat="1">
      <c r="A22" s="215"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16" customFormat="1">
      <c r="A23" s="215"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16" customFormat="1">
      <c r="A24" s="215"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16" customFormat="1">
      <c r="A25" s="215"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16" customFormat="1">
      <c r="A26" s="215"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16" customFormat="1">
      <c r="A27" s="215"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16" customFormat="1">
      <c r="A28" s="215"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16" customFormat="1">
      <c r="A29" s="215"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16" customFormat="1">
      <c r="A30" s="215"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16" customFormat="1">
      <c r="A31" s="215"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16" customFormat="1">
      <c r="A32" s="215"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16" customFormat="1">
      <c r="A33" s="215"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16"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18" t="s">
        <v>752</v>
      </c>
    </row>
    <row r="35" spans="1:44" s="216" customFormat="1">
      <c r="A35" s="215" t="s">
        <v>750</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20"/>
    </row>
    <row r="36" spans="1:44" s="216" customFormat="1">
      <c r="A36" s="409" t="s">
        <v>716</v>
      </c>
      <c r="G36" s="407">
        <v>120.72598600000001</v>
      </c>
      <c r="H36" s="407">
        <v>121.06158400000001</v>
      </c>
      <c r="I36" s="407">
        <v>112.142273</v>
      </c>
      <c r="J36" s="407">
        <v>116.45523</v>
      </c>
      <c r="K36" s="407">
        <v>126.13446500000001</v>
      </c>
      <c r="L36" s="407">
        <v>125.40347299999999</v>
      </c>
      <c r="M36" s="407">
        <v>129.15868</v>
      </c>
      <c r="N36" s="407">
        <v>129.98703799999998</v>
      </c>
      <c r="O36" s="407">
        <v>129.736031</v>
      </c>
      <c r="P36" s="407">
        <v>129.82670200000001</v>
      </c>
      <c r="Q36" s="407">
        <v>126.001102</v>
      </c>
      <c r="R36" s="407">
        <v>124.37423700000001</v>
      </c>
      <c r="S36" s="407">
        <v>124.420585</v>
      </c>
      <c r="T36" s="407">
        <v>124.41148000000001</v>
      </c>
      <c r="U36" s="407">
        <v>124.460621</v>
      </c>
      <c r="V36" s="407">
        <v>124.04736299999999</v>
      </c>
      <c r="W36" s="407">
        <v>123.85875300000001</v>
      </c>
      <c r="X36" s="407">
        <v>123.67757</v>
      </c>
      <c r="Y36" s="407">
        <v>123.55519900000002</v>
      </c>
      <c r="Z36" s="407">
        <v>123.411175</v>
      </c>
      <c r="AA36" s="407">
        <v>123.259231</v>
      </c>
      <c r="AB36" s="407">
        <v>122.804199</v>
      </c>
      <c r="AC36" s="407">
        <v>122.655957</v>
      </c>
      <c r="AD36" s="407">
        <v>122.517231</v>
      </c>
      <c r="AE36" s="407">
        <v>122.411145</v>
      </c>
      <c r="AF36" s="407">
        <v>122.33852399999999</v>
      </c>
      <c r="AG36" s="407">
        <v>122.176277</v>
      </c>
      <c r="AH36" s="407">
        <v>122.03276400000001</v>
      </c>
      <c r="AI36" s="407">
        <v>121.905559</v>
      </c>
      <c r="AJ36" s="407">
        <v>121.76129499999999</v>
      </c>
      <c r="AK36" s="411">
        <v>0.03</v>
      </c>
      <c r="AL36" s="423" t="s">
        <v>68</v>
      </c>
      <c r="AM36" s="426">
        <v>5.6759992277893596E-4</v>
      </c>
    </row>
    <row r="37" spans="1:44" s="216" customFormat="1">
      <c r="A37" s="409" t="s">
        <v>717</v>
      </c>
      <c r="G37" s="407">
        <v>0.62127200000000005</v>
      </c>
      <c r="H37" s="407">
        <v>0.59678000000000009</v>
      </c>
      <c r="I37" s="407">
        <v>0.89980700000000002</v>
      </c>
      <c r="J37" s="407">
        <v>0.91695899999999997</v>
      </c>
      <c r="K37" s="407">
        <v>0.95265</v>
      </c>
      <c r="L37" s="407">
        <v>0.95290999999999992</v>
      </c>
      <c r="M37" s="407">
        <v>0.96764600000000001</v>
      </c>
      <c r="N37" s="407">
        <v>0.97380100000000003</v>
      </c>
      <c r="O37" s="407">
        <v>0.97239200000000003</v>
      </c>
      <c r="P37" s="407">
        <v>0.97311999999999999</v>
      </c>
      <c r="Q37" s="407">
        <v>0.95820799999999995</v>
      </c>
      <c r="R37" s="407">
        <v>0.95167100000000004</v>
      </c>
      <c r="S37" s="407">
        <v>0.95186300000000001</v>
      </c>
      <c r="T37" s="407">
        <v>0.95210400000000006</v>
      </c>
      <c r="U37" s="407">
        <v>0.95268299999999995</v>
      </c>
      <c r="V37" s="407">
        <v>0.951658</v>
      </c>
      <c r="W37" s="407">
        <v>0.95044600000000001</v>
      </c>
      <c r="X37" s="407">
        <v>0.94969800000000004</v>
      </c>
      <c r="Y37" s="407">
        <v>0.94920400000000005</v>
      </c>
      <c r="Z37" s="407">
        <v>0.94862599999999997</v>
      </c>
      <c r="AA37" s="407">
        <v>0.94799899999999993</v>
      </c>
      <c r="AB37" s="407">
        <v>0.94740899999999995</v>
      </c>
      <c r="AC37" s="407">
        <v>0.946828</v>
      </c>
      <c r="AD37" s="407">
        <v>0.94627399999999995</v>
      </c>
      <c r="AE37" s="407">
        <v>0.94586000000000003</v>
      </c>
      <c r="AF37" s="407">
        <v>0.94559100000000007</v>
      </c>
      <c r="AG37" s="407">
        <v>0.94483800000000007</v>
      </c>
      <c r="AH37" s="407">
        <v>0.94430499999999995</v>
      </c>
      <c r="AI37" s="407">
        <v>0.94387900000000002</v>
      </c>
      <c r="AJ37" s="407">
        <v>0.94330599999999998</v>
      </c>
      <c r="AK37" s="411">
        <v>-3.7999999999999999E-2</v>
      </c>
      <c r="AL37" s="424" t="s">
        <v>69</v>
      </c>
      <c r="AM37" s="426">
        <v>0</v>
      </c>
    </row>
    <row r="38" spans="1:44" s="216" customFormat="1">
      <c r="A38" s="409" t="s">
        <v>718</v>
      </c>
      <c r="G38" s="407">
        <v>33.117148999999998</v>
      </c>
      <c r="H38" s="407">
        <v>39.665295</v>
      </c>
      <c r="I38" s="407">
        <v>49.076461999999999</v>
      </c>
      <c r="J38" s="407">
        <v>48.092121000000006</v>
      </c>
      <c r="K38" s="407">
        <v>31.099326999999999</v>
      </c>
      <c r="L38" s="407">
        <v>33.621164</v>
      </c>
      <c r="M38" s="407">
        <v>33.406137000000001</v>
      </c>
      <c r="N38" s="407">
        <v>36.879492999999997</v>
      </c>
      <c r="O38" s="407">
        <v>38.340152000000003</v>
      </c>
      <c r="P38" s="407">
        <v>39.992522999999998</v>
      </c>
      <c r="Q38" s="407">
        <v>45.973090999999997</v>
      </c>
      <c r="R38" s="407">
        <v>51.54372</v>
      </c>
      <c r="S38" s="407">
        <v>55.234722000000005</v>
      </c>
      <c r="T38" s="407">
        <v>56.689168000000002</v>
      </c>
      <c r="U38" s="407">
        <v>59.602361000000002</v>
      </c>
      <c r="V38" s="407">
        <v>63.597943000000001</v>
      </c>
      <c r="W38" s="407">
        <v>65.925087000000005</v>
      </c>
      <c r="X38" s="407">
        <v>67.555729999999997</v>
      </c>
      <c r="Y38" s="407">
        <v>71.099356999999998</v>
      </c>
      <c r="Z38" s="407">
        <v>74.240241999999995</v>
      </c>
      <c r="AA38" s="407">
        <v>74.196168999999998</v>
      </c>
      <c r="AB38" s="407">
        <v>77.206038000000007</v>
      </c>
      <c r="AC38" s="407">
        <v>78.615527999999998</v>
      </c>
      <c r="AD38" s="407">
        <v>79.334253000000004</v>
      </c>
      <c r="AE38" s="407">
        <v>80.274561000000006</v>
      </c>
      <c r="AF38" s="407">
        <v>79.760390000000001</v>
      </c>
      <c r="AG38" s="407">
        <v>80.001097000000001</v>
      </c>
      <c r="AH38" s="407">
        <v>81.286634000000006</v>
      </c>
      <c r="AI38" s="407">
        <v>84.322208000000003</v>
      </c>
      <c r="AJ38" s="407">
        <v>87.020565000000005</v>
      </c>
      <c r="AK38" s="411">
        <v>-4.0000000000000001E-3</v>
      </c>
      <c r="AL38" s="424" t="s">
        <v>76</v>
      </c>
      <c r="AM38" s="426">
        <v>2.3078349783977728E-2</v>
      </c>
    </row>
    <row r="39" spans="1:44" s="216" customFormat="1">
      <c r="A39" s="409" t="s">
        <v>719</v>
      </c>
      <c r="G39" s="407">
        <v>4.806</v>
      </c>
      <c r="H39" s="407">
        <v>9.3339999999999996</v>
      </c>
      <c r="I39" s="407">
        <v>7.8059539999999998</v>
      </c>
      <c r="J39" s="407">
        <v>7.8757409999999997</v>
      </c>
      <c r="K39" s="407">
        <v>8.1149930000000001</v>
      </c>
      <c r="L39" s="407">
        <v>8.1847829999999995</v>
      </c>
      <c r="M39" s="407">
        <v>8.1847829999999995</v>
      </c>
      <c r="N39" s="407">
        <v>8.1847829999999995</v>
      </c>
      <c r="O39" s="407">
        <v>8.1847829999999995</v>
      </c>
      <c r="P39" s="407">
        <v>8.1847829999999995</v>
      </c>
      <c r="Q39" s="407">
        <v>8.1847829999999995</v>
      </c>
      <c r="R39" s="407">
        <v>8.1847829999999995</v>
      </c>
      <c r="S39" s="407">
        <v>8.1847829999999995</v>
      </c>
      <c r="T39" s="407">
        <v>8.1847829999999995</v>
      </c>
      <c r="U39" s="407">
        <v>8.1847829999999995</v>
      </c>
      <c r="V39" s="407">
        <v>8.1847829999999995</v>
      </c>
      <c r="W39" s="407">
        <v>8.1847829999999995</v>
      </c>
      <c r="X39" s="407">
        <v>8.1847829999999995</v>
      </c>
      <c r="Y39" s="407">
        <v>8.1847829999999995</v>
      </c>
      <c r="Z39" s="407">
        <v>8.1847829999999995</v>
      </c>
      <c r="AA39" s="407">
        <v>8.1847829999999995</v>
      </c>
      <c r="AB39" s="407">
        <v>8.1847829999999995</v>
      </c>
      <c r="AC39" s="407">
        <v>8.1847829999999995</v>
      </c>
      <c r="AD39" s="407">
        <v>8.1847829999999995</v>
      </c>
      <c r="AE39" s="407">
        <v>8.1847829999999995</v>
      </c>
      <c r="AF39" s="407">
        <v>8.1847829999999995</v>
      </c>
      <c r="AG39" s="407">
        <v>8.1847829999999995</v>
      </c>
      <c r="AH39" s="407">
        <v>8.1847829999999995</v>
      </c>
      <c r="AI39" s="407">
        <v>8.1847829999999995</v>
      </c>
      <c r="AJ39" s="407">
        <v>8.1847829999999995</v>
      </c>
      <c r="AK39" s="411">
        <v>-5.0000000000000001E-3</v>
      </c>
      <c r="AL39" s="424" t="s">
        <v>738</v>
      </c>
      <c r="AM39" s="426">
        <v>0</v>
      </c>
    </row>
    <row r="40" spans="1:44" s="216" customFormat="1">
      <c r="A40" s="409" t="s">
        <v>720</v>
      </c>
      <c r="G40" s="407">
        <v>0.23122799999999999</v>
      </c>
      <c r="H40" s="407">
        <v>0.33035000000000003</v>
      </c>
      <c r="I40" s="407">
        <v>1.3511999999999996E-2</v>
      </c>
      <c r="J40" s="407">
        <v>1.3511999999999996E-2</v>
      </c>
      <c r="K40" s="407">
        <v>1.3511999999999996E-2</v>
      </c>
      <c r="L40" s="407">
        <v>1.3511999999999996E-2</v>
      </c>
      <c r="M40" s="407">
        <v>1.4013999999999999E-2</v>
      </c>
      <c r="N40" s="407">
        <v>1.4280000000000001E-2</v>
      </c>
      <c r="O40" s="407">
        <v>1.4343999999999996E-2</v>
      </c>
      <c r="P40" s="407">
        <v>1.4366000000000004E-2</v>
      </c>
      <c r="Q40" s="407">
        <v>1.6367000000000007E-2</v>
      </c>
      <c r="R40" s="407">
        <v>1.7008000000000009E-2</v>
      </c>
      <c r="S40" s="407">
        <v>1.7030000000000003E-2</v>
      </c>
      <c r="T40" s="407">
        <v>1.721099999999999E-2</v>
      </c>
      <c r="U40" s="407">
        <v>1.7351000000000005E-2</v>
      </c>
      <c r="V40" s="407">
        <v>1.7553000000000013E-2</v>
      </c>
      <c r="W40" s="407">
        <v>1.7667999999999989E-2</v>
      </c>
      <c r="X40" s="407">
        <v>1.772E-2</v>
      </c>
      <c r="Y40" s="407">
        <v>1.7791000000000001E-2</v>
      </c>
      <c r="Z40" s="407">
        <v>1.7880999999999994E-2</v>
      </c>
      <c r="AA40" s="407">
        <v>1.8125000000000002E-2</v>
      </c>
      <c r="AB40" s="407">
        <v>1.8248E-2</v>
      </c>
      <c r="AC40" s="407">
        <v>1.8317E-2</v>
      </c>
      <c r="AD40" s="407">
        <v>1.8393999999999994E-2</v>
      </c>
      <c r="AE40" s="407">
        <v>1.8472999999999989E-2</v>
      </c>
      <c r="AF40" s="407">
        <v>1.8757999999999997E-2</v>
      </c>
      <c r="AG40" s="407">
        <v>1.8873000000000001E-2</v>
      </c>
      <c r="AH40" s="407">
        <v>1.8983E-2</v>
      </c>
      <c r="AI40" s="407">
        <v>1.9057999999999992E-2</v>
      </c>
      <c r="AJ40" s="407">
        <v>1.915E-2</v>
      </c>
      <c r="AK40" s="411">
        <v>1E-3</v>
      </c>
      <c r="AL40" s="425" t="s">
        <v>225</v>
      </c>
      <c r="AM40" s="426">
        <v>0</v>
      </c>
    </row>
    <row r="41" spans="1:44" s="216" customFormat="1">
      <c r="A41" s="409" t="s">
        <v>721</v>
      </c>
      <c r="G41" s="407">
        <v>189.425432</v>
      </c>
      <c r="H41" s="407">
        <v>183.10309899999999</v>
      </c>
      <c r="I41" s="407">
        <v>161.279922</v>
      </c>
      <c r="J41" s="407">
        <v>164.29767899999999</v>
      </c>
      <c r="K41" s="407">
        <v>168.61283700000001</v>
      </c>
      <c r="L41" s="407">
        <v>173.02721199999999</v>
      </c>
      <c r="M41" s="407">
        <v>176.08523199999999</v>
      </c>
      <c r="N41" s="407">
        <v>176.71988099999999</v>
      </c>
      <c r="O41" s="407">
        <v>177.47684099999998</v>
      </c>
      <c r="P41" s="407">
        <v>177.56408199999998</v>
      </c>
      <c r="Q41" s="407">
        <v>178.673936</v>
      </c>
      <c r="R41" s="407">
        <v>179.277254</v>
      </c>
      <c r="S41" s="407">
        <v>180.167452</v>
      </c>
      <c r="T41" s="407">
        <v>181.21535600000001</v>
      </c>
      <c r="U41" s="407">
        <v>181.79784500000002</v>
      </c>
      <c r="V41" s="407">
        <v>183.08373800000001</v>
      </c>
      <c r="W41" s="407">
        <v>184.00170700000001</v>
      </c>
      <c r="X41" s="407">
        <v>184.451977</v>
      </c>
      <c r="Y41" s="407">
        <v>185.28033300000001</v>
      </c>
      <c r="Z41" s="407">
        <v>185.749101</v>
      </c>
      <c r="AA41" s="407">
        <v>187.159041</v>
      </c>
      <c r="AB41" s="407">
        <v>189.09426199999999</v>
      </c>
      <c r="AC41" s="407">
        <v>190.77137400000001</v>
      </c>
      <c r="AD41" s="407">
        <v>192.64729300000002</v>
      </c>
      <c r="AE41" s="407">
        <v>193.64615900000001</v>
      </c>
      <c r="AF41" s="407">
        <v>197.26296000000002</v>
      </c>
      <c r="AG41" s="407">
        <v>201.09660399999999</v>
      </c>
      <c r="AH41" s="407">
        <v>202.52672700000002</v>
      </c>
      <c r="AI41" s="407">
        <v>204.05673200000001</v>
      </c>
      <c r="AJ41" s="407">
        <v>204.829328</v>
      </c>
      <c r="AK41" s="411">
        <v>2.1000000000000001E-2</v>
      </c>
      <c r="AL41" s="425" t="s">
        <v>379</v>
      </c>
      <c r="AM41" s="426">
        <v>7.0750672437128737E-2</v>
      </c>
    </row>
    <row r="42" spans="1:44" s="216" customFormat="1">
      <c r="A42" s="409" t="s">
        <v>722</v>
      </c>
      <c r="G42" s="407">
        <v>0</v>
      </c>
      <c r="H42" s="407">
        <v>0</v>
      </c>
      <c r="I42" s="407">
        <v>0</v>
      </c>
      <c r="J42" s="407">
        <v>0</v>
      </c>
      <c r="K42" s="407">
        <v>1.5115E-2</v>
      </c>
      <c r="L42" s="407">
        <v>0.11178200000000001</v>
      </c>
      <c r="M42" s="407">
        <v>0.223165</v>
      </c>
      <c r="N42" s="407">
        <v>0.32806600000000002</v>
      </c>
      <c r="O42" s="407">
        <v>0.338565</v>
      </c>
      <c r="P42" s="407">
        <v>0.34898499999999999</v>
      </c>
      <c r="Q42" s="407">
        <v>0.35950199999999999</v>
      </c>
      <c r="R42" s="407">
        <v>0.37012299999999998</v>
      </c>
      <c r="S42" s="407">
        <v>0.38046400000000002</v>
      </c>
      <c r="T42" s="407">
        <v>0.39595599999999997</v>
      </c>
      <c r="U42" s="407">
        <v>0.41773399999999999</v>
      </c>
      <c r="V42" s="407">
        <v>0.44779800000000003</v>
      </c>
      <c r="W42" s="407">
        <v>0.48069200000000001</v>
      </c>
      <c r="X42" s="407">
        <v>0.51378699999999999</v>
      </c>
      <c r="Y42" s="407">
        <v>0.54720600000000008</v>
      </c>
      <c r="Z42" s="407">
        <v>0.579071</v>
      </c>
      <c r="AA42" s="407">
        <v>0.60809800000000003</v>
      </c>
      <c r="AB42" s="407">
        <v>0.637741</v>
      </c>
      <c r="AC42" s="407">
        <v>0.67019300000000004</v>
      </c>
      <c r="AD42" s="407">
        <v>0.70581099999999997</v>
      </c>
      <c r="AE42" s="407">
        <v>0.73983899999999991</v>
      </c>
      <c r="AF42" s="407">
        <v>0.77408199999999994</v>
      </c>
      <c r="AG42" s="407">
        <v>0.852321</v>
      </c>
      <c r="AH42" s="407">
        <v>0.93569100000000005</v>
      </c>
      <c r="AI42" s="407">
        <v>1.0207109999999999</v>
      </c>
      <c r="AJ42" s="407">
        <v>1.1066560000000001</v>
      </c>
      <c r="AK42" s="407" t="s">
        <v>41</v>
      </c>
      <c r="AL42" s="425" t="s">
        <v>739</v>
      </c>
      <c r="AM42" s="426">
        <v>0</v>
      </c>
    </row>
    <row r="43" spans="1:44" s="216" customFormat="1">
      <c r="A43" s="410" t="s">
        <v>723</v>
      </c>
      <c r="G43" s="408">
        <v>348.92707900000005</v>
      </c>
      <c r="H43" s="408">
        <v>354.091095</v>
      </c>
      <c r="I43" s="408">
        <v>331.21792600000003</v>
      </c>
      <c r="J43" s="408">
        <v>337.65123699999998</v>
      </c>
      <c r="K43" s="408">
        <v>334.94289400000002</v>
      </c>
      <c r="L43" s="408">
        <v>341.31483500000002</v>
      </c>
      <c r="M43" s="408">
        <v>348.03964999999994</v>
      </c>
      <c r="N43" s="408">
        <v>353.08734099999998</v>
      </c>
      <c r="O43" s="408">
        <v>355.06312600000001</v>
      </c>
      <c r="P43" s="408">
        <v>356.90457900000001</v>
      </c>
      <c r="Q43" s="408">
        <v>360.16699200000005</v>
      </c>
      <c r="R43" s="408">
        <v>364.71881100000002</v>
      </c>
      <c r="S43" s="408">
        <v>369.35690399999999</v>
      </c>
      <c r="T43" s="408">
        <v>371.86606600000005</v>
      </c>
      <c r="U43" s="408">
        <v>375.43338800000004</v>
      </c>
      <c r="V43" s="408">
        <v>380.33083399999998</v>
      </c>
      <c r="W43" s="408">
        <v>383.41915900000004</v>
      </c>
      <c r="X43" s="408">
        <v>385.35127199999999</v>
      </c>
      <c r="Y43" s="408">
        <v>389.63385099999999</v>
      </c>
      <c r="Z43" s="408">
        <v>393.13087399999995</v>
      </c>
      <c r="AA43" s="408">
        <v>394.37347399999999</v>
      </c>
      <c r="AB43" s="408">
        <v>398.89269300000001</v>
      </c>
      <c r="AC43" s="408">
        <v>401.86298400000004</v>
      </c>
      <c r="AD43" s="408">
        <v>404.35404199999999</v>
      </c>
      <c r="AE43" s="408">
        <v>406.22083200000003</v>
      </c>
      <c r="AF43" s="408">
        <v>409.28509500000001</v>
      </c>
      <c r="AG43" s="408">
        <v>413.27477199999998</v>
      </c>
      <c r="AH43" s="408">
        <v>415.92989399999999</v>
      </c>
      <c r="AI43" s="408">
        <v>420.45294200000001</v>
      </c>
      <c r="AJ43" s="408">
        <v>423.86506700000001</v>
      </c>
      <c r="AK43" s="412">
        <v>1E-3</v>
      </c>
      <c r="AL43" s="425" t="s">
        <v>740</v>
      </c>
      <c r="AM43" s="426">
        <v>0.18378483473293478</v>
      </c>
    </row>
    <row r="44" spans="1:44" s="216" customFormat="1">
      <c r="A44" s="215"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417" t="s">
        <v>58</v>
      </c>
      <c r="AM44" s="426">
        <v>3.2629548102127565E-2</v>
      </c>
    </row>
    <row r="45" spans="1:44" s="216" customFormat="1">
      <c r="A45" s="215"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16" customFormat="1">
      <c r="A46" s="215"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18" customFormat="1">
      <c r="B47" s="329" t="s">
        <v>7</v>
      </c>
      <c r="C47" s="329" t="s">
        <v>8</v>
      </c>
      <c r="D47" s="329" t="s">
        <v>9</v>
      </c>
      <c r="E47" s="329" t="s">
        <v>10</v>
      </c>
      <c r="F47" s="329" t="s">
        <v>11</v>
      </c>
      <c r="G47" s="288" t="s">
        <v>12</v>
      </c>
      <c r="H47" s="288" t="s">
        <v>13</v>
      </c>
      <c r="I47" s="288" t="s">
        <v>14</v>
      </c>
      <c r="J47" s="288" t="s">
        <v>15</v>
      </c>
      <c r="K47" s="288" t="s">
        <v>16</v>
      </c>
      <c r="L47" s="288" t="s">
        <v>17</v>
      </c>
      <c r="M47" s="288" t="s">
        <v>18</v>
      </c>
      <c r="N47" s="288" t="s">
        <v>19</v>
      </c>
      <c r="O47" s="288" t="s">
        <v>20</v>
      </c>
      <c r="P47" s="288" t="s">
        <v>21</v>
      </c>
      <c r="Q47" s="288" t="s">
        <v>22</v>
      </c>
      <c r="R47" s="288" t="s">
        <v>23</v>
      </c>
      <c r="S47" s="288" t="s">
        <v>24</v>
      </c>
      <c r="T47" s="288" t="s">
        <v>25</v>
      </c>
      <c r="U47" s="288" t="s">
        <v>26</v>
      </c>
      <c r="V47" s="288" t="s">
        <v>27</v>
      </c>
      <c r="W47" s="288" t="s">
        <v>28</v>
      </c>
      <c r="X47" s="288" t="s">
        <v>29</v>
      </c>
      <c r="Y47" s="288" t="s">
        <v>30</v>
      </c>
      <c r="Z47" s="288" t="s">
        <v>31</v>
      </c>
      <c r="AA47" s="288" t="s">
        <v>578</v>
      </c>
      <c r="AB47" s="288" t="s">
        <v>579</v>
      </c>
      <c r="AC47" s="288" t="s">
        <v>580</v>
      </c>
      <c r="AD47" s="288" t="s">
        <v>581</v>
      </c>
      <c r="AE47" s="288" t="s">
        <v>582</v>
      </c>
      <c r="AF47" s="288" t="s">
        <v>583</v>
      </c>
      <c r="AG47" s="288" t="s">
        <v>584</v>
      </c>
      <c r="AH47" s="288" t="s">
        <v>585</v>
      </c>
      <c r="AI47" s="288" t="s">
        <v>586</v>
      </c>
      <c r="AJ47" s="288" t="s">
        <v>587</v>
      </c>
      <c r="AK47" s="288" t="s">
        <v>590</v>
      </c>
    </row>
    <row r="48" spans="1:44" s="220" customFormat="1">
      <c r="A48" s="219" t="s">
        <v>751</v>
      </c>
      <c r="B48" s="330"/>
      <c r="C48" s="330"/>
      <c r="D48" s="330"/>
      <c r="E48" s="330"/>
      <c r="F48" s="330"/>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M48" s="220" t="s">
        <v>747</v>
      </c>
      <c r="AN48" s="220">
        <v>2006</v>
      </c>
      <c r="AO48" s="220">
        <v>2007</v>
      </c>
      <c r="AP48" s="220">
        <v>2008</v>
      </c>
      <c r="AQ48" s="220">
        <v>2009</v>
      </c>
      <c r="AR48" s="220">
        <v>2010</v>
      </c>
    </row>
    <row r="49" spans="1:44" s="220" customFormat="1">
      <c r="A49" s="219" t="s">
        <v>68</v>
      </c>
      <c r="B49" s="413">
        <f>AN51</f>
        <v>8.2000000000000003E-2</v>
      </c>
      <c r="C49" s="413">
        <f t="shared" ref="C49:F49" si="0">AO51</f>
        <v>8.4000000000000005E-2</v>
      </c>
      <c r="D49" s="413">
        <f t="shared" si="0"/>
        <v>0.09</v>
      </c>
      <c r="E49" s="413">
        <f t="shared" si="0"/>
        <v>8.3000000000000004E-2</v>
      </c>
      <c r="F49" s="413">
        <f t="shared" si="0"/>
        <v>8.7999999999999995E-2</v>
      </c>
      <c r="G49" s="392">
        <f t="shared" ref="G49:AJ49" si="1">G36*$AM36</f>
        <v>6.8524060331010911E-2</v>
      </c>
      <c r="H49" s="392">
        <f t="shared" si="1"/>
        <v>6.8714545729895674E-2</v>
      </c>
      <c r="I49" s="392">
        <f t="shared" si="1"/>
        <v>6.365194549505436E-2</v>
      </c>
      <c r="J49" s="392">
        <f t="shared" si="1"/>
        <v>6.609997955520322E-2</v>
      </c>
      <c r="K49" s="392">
        <f t="shared" si="1"/>
        <v>7.159391259376241E-2</v>
      </c>
      <c r="L49" s="392">
        <f t="shared" si="1"/>
        <v>7.1179001591010371E-2</v>
      </c>
      <c r="M49" s="392">
        <f t="shared" si="1"/>
        <v>7.3310456794229303E-2</v>
      </c>
      <c r="N49" s="392">
        <f t="shared" si="1"/>
        <v>7.3780632731062598E-2</v>
      </c>
      <c r="O49" s="392">
        <f t="shared" si="1"/>
        <v>7.3638161177245642E-2</v>
      </c>
      <c r="P49" s="392">
        <f t="shared" si="1"/>
        <v>7.3689626029843941E-2</v>
      </c>
      <c r="Q49" s="392">
        <f t="shared" si="1"/>
        <v>7.1518215765260837E-2</v>
      </c>
      <c r="R49" s="392">
        <f t="shared" si="1"/>
        <v>7.059480731688908E-2</v>
      </c>
      <c r="S49" s="392">
        <f t="shared" si="1"/>
        <v>7.0621114438110033E-2</v>
      </c>
      <c r="T49" s="392">
        <f t="shared" si="1"/>
        <v>7.0615946440813149E-2</v>
      </c>
      <c r="U49" s="392">
        <f t="shared" si="1"/>
        <v>7.0643838868618414E-2</v>
      </c>
      <c r="V49" s="392">
        <f t="shared" si="1"/>
        <v>7.0409273659730626E-2</v>
      </c>
      <c r="W49" s="392">
        <f t="shared" si="1"/>
        <v>7.0302218638295305E-2</v>
      </c>
      <c r="X49" s="392">
        <f t="shared" si="1"/>
        <v>7.0199379181486443E-2</v>
      </c>
      <c r="Y49" s="392">
        <f t="shared" si="1"/>
        <v>7.0129921411336074E-2</v>
      </c>
      <c r="Z49" s="392">
        <f t="shared" si="1"/>
        <v>7.0048173400057756E-2</v>
      </c>
      <c r="AA49" s="392">
        <f t="shared" si="1"/>
        <v>6.9961929997391023E-2</v>
      </c>
      <c r="AB49" s="392">
        <f t="shared" si="1"/>
        <v>6.9703653869329085E-2</v>
      </c>
      <c r="AC49" s="392">
        <f t="shared" si="1"/>
        <v>6.9619511721576488E-2</v>
      </c>
      <c r="AD49" s="392">
        <f t="shared" si="1"/>
        <v>6.9540770854689057E-2</v>
      </c>
      <c r="AE49" s="392">
        <f t="shared" si="1"/>
        <v>6.9480556449281139E-2</v>
      </c>
      <c r="AF49" s="392">
        <f t="shared" si="1"/>
        <v>6.9439336775289004E-2</v>
      </c>
      <c r="AG49" s="392">
        <f t="shared" si="1"/>
        <v>6.9347245390617887E-2</v>
      </c>
      <c r="AH49" s="392">
        <f t="shared" si="1"/>
        <v>6.9265787422900127E-2</v>
      </c>
      <c r="AI49" s="392">
        <f t="shared" si="1"/>
        <v>6.9193585874723018E-2</v>
      </c>
      <c r="AJ49" s="392">
        <f t="shared" si="1"/>
        <v>6.911170163946323E-2</v>
      </c>
      <c r="AK49"/>
    </row>
    <row r="50" spans="1:44" s="220" customFormat="1">
      <c r="A50" s="219" t="s">
        <v>69</v>
      </c>
      <c r="B50" s="413">
        <f t="shared" ref="B50:B51" si="2">AN52</f>
        <v>0</v>
      </c>
      <c r="C50" s="413">
        <f t="shared" ref="C50:C51" si="3">AO52</f>
        <v>0</v>
      </c>
      <c r="D50" s="413">
        <f t="shared" ref="D50:D51" si="4">AP52</f>
        <v>0</v>
      </c>
      <c r="E50" s="413">
        <f t="shared" ref="E50:E51" si="5">AQ52</f>
        <v>0</v>
      </c>
      <c r="F50" s="413">
        <f t="shared" ref="F50:F51" si="6">AR52</f>
        <v>0</v>
      </c>
      <c r="G50" s="392">
        <f t="shared" ref="G50:AJ50" si="7">G37*$AM37</f>
        <v>0</v>
      </c>
      <c r="H50" s="392">
        <f t="shared" si="7"/>
        <v>0</v>
      </c>
      <c r="I50" s="392">
        <f t="shared" si="7"/>
        <v>0</v>
      </c>
      <c r="J50" s="392">
        <f t="shared" si="7"/>
        <v>0</v>
      </c>
      <c r="K50" s="392">
        <f t="shared" si="7"/>
        <v>0</v>
      </c>
      <c r="L50" s="392">
        <f t="shared" si="7"/>
        <v>0</v>
      </c>
      <c r="M50" s="392">
        <f t="shared" si="7"/>
        <v>0</v>
      </c>
      <c r="N50" s="392">
        <f t="shared" si="7"/>
        <v>0</v>
      </c>
      <c r="O50" s="392">
        <f t="shared" si="7"/>
        <v>0</v>
      </c>
      <c r="P50" s="392">
        <f t="shared" si="7"/>
        <v>0</v>
      </c>
      <c r="Q50" s="392">
        <f t="shared" si="7"/>
        <v>0</v>
      </c>
      <c r="R50" s="392">
        <f t="shared" si="7"/>
        <v>0</v>
      </c>
      <c r="S50" s="392">
        <f t="shared" si="7"/>
        <v>0</v>
      </c>
      <c r="T50" s="392">
        <f t="shared" si="7"/>
        <v>0</v>
      </c>
      <c r="U50" s="392">
        <f t="shared" si="7"/>
        <v>0</v>
      </c>
      <c r="V50" s="392">
        <f t="shared" si="7"/>
        <v>0</v>
      </c>
      <c r="W50" s="392">
        <f t="shared" si="7"/>
        <v>0</v>
      </c>
      <c r="X50" s="392">
        <f t="shared" si="7"/>
        <v>0</v>
      </c>
      <c r="Y50" s="392">
        <f t="shared" si="7"/>
        <v>0</v>
      </c>
      <c r="Z50" s="392">
        <f t="shared" si="7"/>
        <v>0</v>
      </c>
      <c r="AA50" s="392">
        <f t="shared" si="7"/>
        <v>0</v>
      </c>
      <c r="AB50" s="392">
        <f t="shared" si="7"/>
        <v>0</v>
      </c>
      <c r="AC50" s="392">
        <f t="shared" si="7"/>
        <v>0</v>
      </c>
      <c r="AD50" s="392">
        <f t="shared" si="7"/>
        <v>0</v>
      </c>
      <c r="AE50" s="392">
        <f t="shared" si="7"/>
        <v>0</v>
      </c>
      <c r="AF50" s="392">
        <f t="shared" si="7"/>
        <v>0</v>
      </c>
      <c r="AG50" s="392">
        <f t="shared" si="7"/>
        <v>0</v>
      </c>
      <c r="AH50" s="392">
        <f t="shared" si="7"/>
        <v>0</v>
      </c>
      <c r="AI50" s="392">
        <f t="shared" si="7"/>
        <v>0</v>
      </c>
      <c r="AJ50" s="392">
        <f t="shared" si="7"/>
        <v>0</v>
      </c>
      <c r="AK50"/>
      <c r="AM50" s="220" t="s">
        <v>744</v>
      </c>
      <c r="AN50" s="220">
        <v>1.381</v>
      </c>
      <c r="AO50" s="220">
        <v>1.7410000000000001</v>
      </c>
      <c r="AP50" s="220">
        <v>1.79</v>
      </c>
      <c r="AQ50" s="220">
        <v>1.726</v>
      </c>
      <c r="AR50" s="220">
        <v>1.778</v>
      </c>
    </row>
    <row r="51" spans="1:44" s="220" customFormat="1">
      <c r="A51" s="219" t="s">
        <v>76</v>
      </c>
      <c r="B51" s="413">
        <f t="shared" si="2"/>
        <v>1.298</v>
      </c>
      <c r="C51" s="413">
        <f t="shared" si="3"/>
        <v>1.657</v>
      </c>
      <c r="D51" s="413">
        <f t="shared" si="4"/>
        <v>1.7</v>
      </c>
      <c r="E51" s="413">
        <f t="shared" si="5"/>
        <v>1.6439999999999999</v>
      </c>
      <c r="F51" s="413">
        <f t="shared" si="6"/>
        <v>1.6890000000000001</v>
      </c>
      <c r="G51" s="392">
        <f t="shared" ref="G51:AJ51" si="8">G38*$AM38</f>
        <v>0.7642891484701082</v>
      </c>
      <c r="H51" s="392">
        <f t="shared" si="8"/>
        <v>0.91540955229466281</v>
      </c>
      <c r="I51" s="392">
        <f t="shared" si="8"/>
        <v>1.1326037561960911</v>
      </c>
      <c r="J51" s="392">
        <f t="shared" si="8"/>
        <v>1.1098867902913809</v>
      </c>
      <c r="K51" s="392">
        <f t="shared" si="8"/>
        <v>0.71772114655230268</v>
      </c>
      <c r="L51" s="392">
        <f t="shared" si="8"/>
        <v>0.77592098293647982</v>
      </c>
      <c r="M51" s="392">
        <f t="shared" si="8"/>
        <v>0.77095851461748044</v>
      </c>
      <c r="N51" s="392">
        <f t="shared" si="8"/>
        <v>0.85111783930975804</v>
      </c>
      <c r="O51" s="392">
        <f t="shared" si="8"/>
        <v>0.8848274386268733</v>
      </c>
      <c r="P51" s="392">
        <f t="shared" si="8"/>
        <v>0.92296143453777424</v>
      </c>
      <c r="Q51" s="392">
        <f t="shared" si="8"/>
        <v>1.0609830747486384</v>
      </c>
      <c r="R51" s="392">
        <f t="shared" si="8"/>
        <v>1.1895439993274084</v>
      </c>
      <c r="S51" s="392">
        <f t="shared" si="8"/>
        <v>1.27472623453677</v>
      </c>
      <c r="T51" s="392">
        <f t="shared" si="8"/>
        <v>1.3082924480666771</v>
      </c>
      <c r="U51" s="392">
        <f t="shared" si="8"/>
        <v>1.3755241351089127</v>
      </c>
      <c r="V51" s="392">
        <f t="shared" si="8"/>
        <v>1.4677355740954778</v>
      </c>
      <c r="W51" s="392">
        <f t="shared" si="8"/>
        <v>1.5214422173251629</v>
      </c>
      <c r="X51" s="392">
        <f t="shared" si="8"/>
        <v>1.5590747668519576</v>
      </c>
      <c r="Y51" s="392">
        <f t="shared" si="8"/>
        <v>1.6408558302619054</v>
      </c>
      <c r="Z51" s="392">
        <f t="shared" si="8"/>
        <v>1.7133422729231542</v>
      </c>
      <c r="AA51" s="392">
        <f t="shared" si="8"/>
        <v>1.712325140813125</v>
      </c>
      <c r="AB51" s="392">
        <f t="shared" si="8"/>
        <v>1.7817879503990763</v>
      </c>
      <c r="AC51" s="392">
        <f t="shared" si="8"/>
        <v>1.8143166536360951</v>
      </c>
      <c r="AD51" s="392">
        <f t="shared" si="8"/>
        <v>1.8309036405845844</v>
      </c>
      <c r="AE51" s="392">
        <f t="shared" si="8"/>
        <v>1.8526043975132571</v>
      </c>
      <c r="AF51" s="392">
        <f t="shared" si="8"/>
        <v>1.8407381793264794</v>
      </c>
      <c r="AG51" s="392">
        <f t="shared" si="8"/>
        <v>1.8462932996679313</v>
      </c>
      <c r="AH51" s="392">
        <f t="shared" si="8"/>
        <v>1.8759613722141768</v>
      </c>
      <c r="AI51" s="392">
        <f t="shared" si="8"/>
        <v>1.9460174107813251</v>
      </c>
      <c r="AJ51" s="392">
        <f t="shared" si="8"/>
        <v>2.0082910374693701</v>
      </c>
      <c r="AK51"/>
      <c r="AM51" s="220" t="s">
        <v>68</v>
      </c>
      <c r="AN51" s="220">
        <v>8.2000000000000003E-2</v>
      </c>
      <c r="AO51" s="220">
        <v>8.4000000000000005E-2</v>
      </c>
      <c r="AP51" s="220">
        <v>0.09</v>
      </c>
      <c r="AQ51" s="220">
        <v>8.3000000000000004E-2</v>
      </c>
      <c r="AR51" s="220">
        <v>8.7999999999999995E-2</v>
      </c>
    </row>
    <row r="52" spans="1:44" s="220" customFormat="1">
      <c r="A52" s="219" t="s">
        <v>71</v>
      </c>
      <c r="B52" s="414">
        <f>AN55</f>
        <v>0</v>
      </c>
      <c r="C52" s="414">
        <f t="shared" ref="C52:F52" si="9">AO55</f>
        <v>0</v>
      </c>
      <c r="D52" s="414">
        <f t="shared" si="9"/>
        <v>0</v>
      </c>
      <c r="E52" s="414">
        <f t="shared" si="9"/>
        <v>0</v>
      </c>
      <c r="F52" s="414">
        <f t="shared" si="9"/>
        <v>0</v>
      </c>
      <c r="G52" s="392">
        <f>G39*$AM40</f>
        <v>0</v>
      </c>
      <c r="H52" s="392">
        <f t="shared" ref="H52:AJ52" si="10">H39*$AM40</f>
        <v>0</v>
      </c>
      <c r="I52" s="392">
        <f t="shared" si="10"/>
        <v>0</v>
      </c>
      <c r="J52" s="392">
        <f t="shared" si="10"/>
        <v>0</v>
      </c>
      <c r="K52" s="392">
        <f t="shared" si="10"/>
        <v>0</v>
      </c>
      <c r="L52" s="392">
        <f t="shared" si="10"/>
        <v>0</v>
      </c>
      <c r="M52" s="392">
        <f t="shared" si="10"/>
        <v>0</v>
      </c>
      <c r="N52" s="392">
        <f t="shared" si="10"/>
        <v>0</v>
      </c>
      <c r="O52" s="392">
        <f t="shared" si="10"/>
        <v>0</v>
      </c>
      <c r="P52" s="392">
        <f t="shared" si="10"/>
        <v>0</v>
      </c>
      <c r="Q52" s="392">
        <f t="shared" si="10"/>
        <v>0</v>
      </c>
      <c r="R52" s="392">
        <f t="shared" si="10"/>
        <v>0</v>
      </c>
      <c r="S52" s="392">
        <f t="shared" si="10"/>
        <v>0</v>
      </c>
      <c r="T52" s="392">
        <f t="shared" si="10"/>
        <v>0</v>
      </c>
      <c r="U52" s="392">
        <f t="shared" si="10"/>
        <v>0</v>
      </c>
      <c r="V52" s="392">
        <f t="shared" si="10"/>
        <v>0</v>
      </c>
      <c r="W52" s="392">
        <f t="shared" si="10"/>
        <v>0</v>
      </c>
      <c r="X52" s="392">
        <f t="shared" si="10"/>
        <v>0</v>
      </c>
      <c r="Y52" s="392">
        <f t="shared" si="10"/>
        <v>0</v>
      </c>
      <c r="Z52" s="392">
        <f t="shared" si="10"/>
        <v>0</v>
      </c>
      <c r="AA52" s="392">
        <f t="shared" si="10"/>
        <v>0</v>
      </c>
      <c r="AB52" s="392">
        <f t="shared" si="10"/>
        <v>0</v>
      </c>
      <c r="AC52" s="392">
        <f t="shared" si="10"/>
        <v>0</v>
      </c>
      <c r="AD52" s="392">
        <f t="shared" si="10"/>
        <v>0</v>
      </c>
      <c r="AE52" s="392">
        <f t="shared" si="10"/>
        <v>0</v>
      </c>
      <c r="AF52" s="392">
        <f t="shared" si="10"/>
        <v>0</v>
      </c>
      <c r="AG52" s="392">
        <f t="shared" si="10"/>
        <v>0</v>
      </c>
      <c r="AH52" s="392">
        <f t="shared" si="10"/>
        <v>0</v>
      </c>
      <c r="AI52" s="392">
        <f t="shared" si="10"/>
        <v>0</v>
      </c>
      <c r="AJ52" s="392">
        <f t="shared" si="10"/>
        <v>0</v>
      </c>
      <c r="AK52"/>
      <c r="AM52" s="220" t="s">
        <v>69</v>
      </c>
      <c r="AN52" s="220">
        <v>0</v>
      </c>
      <c r="AO52" s="220">
        <v>0</v>
      </c>
      <c r="AP52" s="220">
        <v>0</v>
      </c>
      <c r="AQ52" s="220">
        <v>0</v>
      </c>
      <c r="AR52" s="220">
        <v>0</v>
      </c>
    </row>
    <row r="53" spans="1:44" s="220" customFormat="1">
      <c r="A53" s="219" t="s">
        <v>326</v>
      </c>
      <c r="B53" s="415"/>
      <c r="C53" s="415"/>
      <c r="D53" s="415"/>
      <c r="E53" s="415"/>
      <c r="F53" s="415"/>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c r="AM53" s="220" t="s">
        <v>742</v>
      </c>
      <c r="AN53" s="220">
        <v>1.298</v>
      </c>
      <c r="AO53" s="220">
        <v>1.657</v>
      </c>
      <c r="AP53" s="220">
        <v>1.7</v>
      </c>
      <c r="AQ53" s="220">
        <v>1.6439999999999999</v>
      </c>
      <c r="AR53" s="220">
        <v>1.6890000000000001</v>
      </c>
    </row>
    <row r="54" spans="1:44" s="220" customFormat="1">
      <c r="A54" s="219" t="s">
        <v>624</v>
      </c>
      <c r="B54" s="414">
        <f>AN56</f>
        <v>11.932</v>
      </c>
      <c r="C54" s="414">
        <f t="shared" ref="C54:F54" si="11">AO56</f>
        <v>9.6750000000000007</v>
      </c>
      <c r="D54" s="414">
        <f t="shared" si="11"/>
        <v>10.111000000000001</v>
      </c>
      <c r="E54" s="414">
        <f t="shared" si="11"/>
        <v>11.302</v>
      </c>
      <c r="F54" s="414">
        <f t="shared" si="11"/>
        <v>10.167999999999999</v>
      </c>
      <c r="G54" s="392">
        <f>EIA_RE_aeo2014!G79</f>
        <v>13.027964844931391</v>
      </c>
      <c r="H54" s="392">
        <f>EIA_RE_aeo2014!H79</f>
        <v>12.394073858539457</v>
      </c>
      <c r="I54" s="392">
        <f>EIA_RE_aeo2014!I79</f>
        <v>10.546144275667496</v>
      </c>
      <c r="J54" s="392">
        <f>EIA_RE_aeo2014!J79</f>
        <v>10.780287084912681</v>
      </c>
      <c r="K54" s="392">
        <f>EIA_RE_aeo2014!K79</f>
        <v>10.991049244812995</v>
      </c>
      <c r="L54" s="392">
        <f>EIA_RE_aeo2014!L79</f>
        <v>11.253011796757846</v>
      </c>
      <c r="M54" s="392">
        <f>EIA_RE_aeo2014!M79</f>
        <v>11.448434301395746</v>
      </c>
      <c r="N54" s="392">
        <f>EIA_RE_aeo2014!N79</f>
        <v>11.551864083930544</v>
      </c>
      <c r="O54" s="392">
        <f>EIA_RE_aeo2014!O79</f>
        <v>11.637915572609183</v>
      </c>
      <c r="P54" s="392">
        <f>EIA_RE_aeo2014!P79</f>
        <v>11.652157894954522</v>
      </c>
      <c r="Q54" s="392">
        <f>EIA_RE_aeo2014!Q79</f>
        <v>11.751211500928845</v>
      </c>
      <c r="R54" s="392">
        <f>EIA_RE_aeo2014!R79</f>
        <v>11.787025630996668</v>
      </c>
      <c r="S54" s="392">
        <f>EIA_RE_aeo2014!S79</f>
        <v>11.820330118023699</v>
      </c>
      <c r="T54" s="392">
        <f>EIA_RE_aeo2014!T79</f>
        <v>11.869937239368907</v>
      </c>
      <c r="U54" s="392">
        <f>EIA_RE_aeo2014!U79</f>
        <v>11.899089055142804</v>
      </c>
      <c r="V54" s="392">
        <f>EIA_RE_aeo2014!V79</f>
        <v>11.974370199740671</v>
      </c>
      <c r="W54" s="392">
        <f>EIA_RE_aeo2014!W79</f>
        <v>12.014919913414328</v>
      </c>
      <c r="X54" s="392">
        <f>EIA_RE_aeo2014!X79</f>
        <v>12.034169627405785</v>
      </c>
      <c r="Y54" s="392">
        <f>EIA_RE_aeo2014!Y79</f>
        <v>12.112934159340526</v>
      </c>
      <c r="Z54" s="392">
        <f>EIA_RE_aeo2014!Z79</f>
        <v>12.138364032019359</v>
      </c>
      <c r="AA54" s="392">
        <f>EIA_RE_aeo2014!AA79</f>
        <v>12.195680539328089</v>
      </c>
      <c r="AB54" s="392">
        <f>EIA_RE_aeo2014!AB79</f>
        <v>12.298645799948481</v>
      </c>
      <c r="AC54" s="392">
        <f>EIA_RE_aeo2014!AC79</f>
        <v>12.355457326681684</v>
      </c>
      <c r="AD54" s="392">
        <f>EIA_RE_aeo2014!AD79</f>
        <v>12.422399057981071</v>
      </c>
      <c r="AE54" s="392">
        <f>EIA_RE_aeo2014!AE79</f>
        <v>12.482446171316763</v>
      </c>
      <c r="AF54" s="392">
        <f>EIA_RE_aeo2014!AF79</f>
        <v>12.596926278721226</v>
      </c>
      <c r="AG54" s="392">
        <f>EIA_RE_aeo2014!AG79</f>
        <v>12.747906412054032</v>
      </c>
      <c r="AH54" s="392">
        <f>EIA_RE_aeo2014!AH79</f>
        <v>12.810143453227086</v>
      </c>
      <c r="AI54" s="392">
        <f>EIA_RE_aeo2014!AI79</f>
        <v>12.909880902394823</v>
      </c>
      <c r="AJ54" s="392">
        <f>EIA_RE_aeo2014!AJ79</f>
        <v>12.962711288095335</v>
      </c>
      <c r="AK54"/>
      <c r="AM54" s="220" t="s">
        <v>745</v>
      </c>
      <c r="AN54" s="220">
        <v>0</v>
      </c>
      <c r="AO54" s="220">
        <v>0</v>
      </c>
      <c r="AP54" s="220">
        <v>0</v>
      </c>
      <c r="AQ54" s="220">
        <v>0</v>
      </c>
      <c r="AR54" s="220">
        <v>0</v>
      </c>
    </row>
    <row r="55" spans="1:44" s="220" customFormat="1">
      <c r="A55" s="219" t="s">
        <v>625</v>
      </c>
      <c r="B55" s="414">
        <f>AN58</f>
        <v>7.2999999999999995E-2</v>
      </c>
      <c r="C55" s="414">
        <f t="shared" ref="C55:F55" si="12">AO58</f>
        <v>6.9000000000000006E-2</v>
      </c>
      <c r="D55" s="414">
        <f t="shared" si="12"/>
        <v>7.0000000000000007E-2</v>
      </c>
      <c r="E55" s="414">
        <f t="shared" si="12"/>
        <v>7.1999999999999995E-2</v>
      </c>
      <c r="F55" s="414">
        <f t="shared" si="12"/>
        <v>7.9000000000000001E-2</v>
      </c>
      <c r="G55" s="392">
        <f>G40*$AM43</f>
        <v>4.2496199765627039E-2</v>
      </c>
      <c r="H55" s="392">
        <f t="shared" ref="H55:AJ55" si="13">H40*$AM43</f>
        <v>6.0713320154025009E-2</v>
      </c>
      <c r="I55" s="392">
        <f t="shared" si="13"/>
        <v>2.483300686911414E-3</v>
      </c>
      <c r="J55" s="392">
        <f t="shared" si="13"/>
        <v>2.483300686911414E-3</v>
      </c>
      <c r="K55" s="392">
        <f t="shared" si="13"/>
        <v>2.483300686911414E-3</v>
      </c>
      <c r="L55" s="392">
        <f t="shared" si="13"/>
        <v>2.483300686911414E-3</v>
      </c>
      <c r="M55" s="392">
        <f t="shared" si="13"/>
        <v>2.5755606739473478E-3</v>
      </c>
      <c r="N55" s="392">
        <f t="shared" si="13"/>
        <v>2.6244474399863089E-3</v>
      </c>
      <c r="O55" s="392">
        <f t="shared" si="13"/>
        <v>2.6362096694092156E-3</v>
      </c>
      <c r="P55" s="392">
        <f t="shared" si="13"/>
        <v>2.6402529357733417E-3</v>
      </c>
      <c r="Q55" s="392">
        <f t="shared" si="13"/>
        <v>3.0080063900739446E-3</v>
      </c>
      <c r="R55" s="392">
        <f t="shared" si="13"/>
        <v>3.1258124691377564E-3</v>
      </c>
      <c r="S55" s="392">
        <f t="shared" si="13"/>
        <v>3.1298557355018799E-3</v>
      </c>
      <c r="T55" s="392">
        <f t="shared" si="13"/>
        <v>3.1631207905885388E-3</v>
      </c>
      <c r="U55" s="392">
        <f t="shared" si="13"/>
        <v>3.1888506674511521E-3</v>
      </c>
      <c r="V55" s="392">
        <f t="shared" si="13"/>
        <v>3.2259752040672066E-3</v>
      </c>
      <c r="W55" s="392">
        <f t="shared" si="13"/>
        <v>3.2471104600614899E-3</v>
      </c>
      <c r="X55" s="392">
        <f t="shared" si="13"/>
        <v>3.256667271467604E-3</v>
      </c>
      <c r="Y55" s="392">
        <f t="shared" si="13"/>
        <v>3.269715994733643E-3</v>
      </c>
      <c r="Z55" s="392">
        <f t="shared" si="13"/>
        <v>3.2862566298596059E-3</v>
      </c>
      <c r="AA55" s="392">
        <f t="shared" si="13"/>
        <v>3.3311001295344431E-3</v>
      </c>
      <c r="AB55" s="392">
        <f t="shared" si="13"/>
        <v>3.353705664206594E-3</v>
      </c>
      <c r="AC55" s="392">
        <f t="shared" si="13"/>
        <v>3.3663868178031662E-3</v>
      </c>
      <c r="AD55" s="392">
        <f t="shared" si="13"/>
        <v>3.3805382500776012E-3</v>
      </c>
      <c r="AE55" s="392">
        <f t="shared" si="13"/>
        <v>3.3950572520215021E-3</v>
      </c>
      <c r="AF55" s="392">
        <f t="shared" si="13"/>
        <v>3.4474359299203898E-3</v>
      </c>
      <c r="AG55" s="392">
        <f t="shared" si="13"/>
        <v>3.4685711859146783E-3</v>
      </c>
      <c r="AH55" s="392">
        <f t="shared" si="13"/>
        <v>3.4887875177353009E-3</v>
      </c>
      <c r="AI55" s="392">
        <f t="shared" si="13"/>
        <v>3.5025713803402696E-3</v>
      </c>
      <c r="AJ55" s="392">
        <f t="shared" si="13"/>
        <v>3.519479585135701E-3</v>
      </c>
      <c r="AK55"/>
      <c r="AM55" s="220" t="s">
        <v>225</v>
      </c>
      <c r="AN55" s="220">
        <v>0</v>
      </c>
      <c r="AO55" s="220">
        <v>0</v>
      </c>
      <c r="AP55" s="220">
        <v>0</v>
      </c>
      <c r="AQ55" s="220">
        <v>0</v>
      </c>
      <c r="AR55" s="220">
        <v>0</v>
      </c>
    </row>
    <row r="56" spans="1:44" s="220" customFormat="1">
      <c r="A56" s="219" t="s">
        <v>82</v>
      </c>
      <c r="B56" s="414">
        <f>AN59</f>
        <v>13.385999999999999</v>
      </c>
      <c r="C56" s="414">
        <f t="shared" ref="C56" si="14">AO59</f>
        <v>11.484</v>
      </c>
      <c r="D56" s="414">
        <f t="shared" ref="D56" si="15">AP59</f>
        <v>11.971</v>
      </c>
      <c r="E56" s="414">
        <f t="shared" ref="E56" si="16">AQ59</f>
        <v>13.1</v>
      </c>
      <c r="F56" s="414">
        <f t="shared" ref="F56" si="17">AR59</f>
        <v>12.025</v>
      </c>
      <c r="G56" s="434">
        <f>G58</f>
        <v>13.903274253498138</v>
      </c>
      <c r="H56" s="434">
        <f t="shared" ref="H56:AJ56" si="18">H58</f>
        <v>13.438911276718041</v>
      </c>
      <c r="I56" s="434">
        <f t="shared" si="18"/>
        <v>11.744883278045553</v>
      </c>
      <c r="J56" s="434">
        <f t="shared" si="18"/>
        <v>11.958757155446177</v>
      </c>
      <c r="K56" s="434">
        <f t="shared" si="18"/>
        <v>11.782847604645973</v>
      </c>
      <c r="L56" s="434">
        <f t="shared" si="18"/>
        <v>12.102595081972249</v>
      </c>
      <c r="M56" s="434">
        <f t="shared" si="18"/>
        <v>12.295278833481403</v>
      </c>
      <c r="N56" s="434">
        <f t="shared" si="18"/>
        <v>12.479387003411352</v>
      </c>
      <c r="O56" s="434">
        <f t="shared" si="18"/>
        <v>12.599017382082712</v>
      </c>
      <c r="P56" s="434">
        <f t="shared" si="18"/>
        <v>12.651449208457914</v>
      </c>
      <c r="Q56" s="434">
        <f t="shared" si="18"/>
        <v>12.886720797832817</v>
      </c>
      <c r="R56" s="434">
        <f t="shared" si="18"/>
        <v>13.050290250110104</v>
      </c>
      <c r="S56" s="434">
        <f t="shared" si="18"/>
        <v>13.168807322734081</v>
      </c>
      <c r="T56" s="434">
        <f t="shared" si="18"/>
        <v>13.252008754666987</v>
      </c>
      <c r="U56" s="434">
        <f t="shared" si="18"/>
        <v>13.348445879787786</v>
      </c>
      <c r="V56" s="434">
        <f t="shared" si="18"/>
        <v>13.515741022699947</v>
      </c>
      <c r="W56" s="434">
        <f t="shared" si="18"/>
        <v>13.609911459837846</v>
      </c>
      <c r="X56" s="434">
        <f t="shared" si="18"/>
        <v>13.666700440710695</v>
      </c>
      <c r="Y56" s="434">
        <f t="shared" si="18"/>
        <v>13.827189627008501</v>
      </c>
      <c r="Z56" s="434">
        <f t="shared" si="18"/>
        <v>13.925040734972431</v>
      </c>
      <c r="AA56" s="434">
        <f t="shared" si="18"/>
        <v>13.98129871026814</v>
      </c>
      <c r="AB56" s="434">
        <f t="shared" si="18"/>
        <v>14.153491109881093</v>
      </c>
      <c r="AC56" s="434">
        <f t="shared" si="18"/>
        <v>14.242759878857157</v>
      </c>
      <c r="AD56" s="434">
        <f t="shared" si="18"/>
        <v>14.326224007670422</v>
      </c>
      <c r="AE56" s="434">
        <f t="shared" si="18"/>
        <v>14.407926182531323</v>
      </c>
      <c r="AF56" s="434">
        <f t="shared" si="18"/>
        <v>14.510551230752915</v>
      </c>
      <c r="AG56" s="434">
        <f t="shared" si="18"/>
        <v>14.667015528298496</v>
      </c>
      <c r="AH56" s="434">
        <f t="shared" si="18"/>
        <v>14.758859400381898</v>
      </c>
      <c r="AI56" s="434">
        <f t="shared" si="18"/>
        <v>14.928594470431211</v>
      </c>
      <c r="AJ56" s="434">
        <f t="shared" si="18"/>
        <v>15.043633506789304</v>
      </c>
      <c r="AK56"/>
      <c r="AM56" s="220" t="s">
        <v>379</v>
      </c>
      <c r="AN56" s="220">
        <v>11.932</v>
      </c>
      <c r="AO56" s="220">
        <v>9.6750000000000007</v>
      </c>
      <c r="AP56" s="220">
        <v>10.111000000000001</v>
      </c>
      <c r="AQ56" s="220">
        <v>11.302</v>
      </c>
      <c r="AR56" s="220">
        <v>10.167999999999999</v>
      </c>
    </row>
    <row r="57" spans="1:44" s="220" customFormat="1">
      <c r="B57" s="396"/>
      <c r="C57" s="396"/>
      <c r="D57" s="396"/>
      <c r="E57" s="396"/>
      <c r="F57" s="396"/>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M57" s="220" t="s">
        <v>746</v>
      </c>
      <c r="AN57" s="220">
        <v>0</v>
      </c>
      <c r="AO57" s="220">
        <v>0</v>
      </c>
      <c r="AP57" s="220">
        <v>0</v>
      </c>
      <c r="AQ57" s="220">
        <v>0</v>
      </c>
      <c r="AR57" s="220">
        <v>0</v>
      </c>
    </row>
    <row r="58" spans="1:44" s="220" customFormat="1">
      <c r="A58" s="219" t="s">
        <v>83</v>
      </c>
      <c r="B58" s="391">
        <f>SUM(B49:B52,B54,B55)</f>
        <v>13.385000000000002</v>
      </c>
      <c r="C58" s="391">
        <f t="shared" ref="C58:AJ58" si="19">SUM(C49:C52,C54,C55)</f>
        <v>11.485000000000001</v>
      </c>
      <c r="D58" s="391">
        <f t="shared" si="19"/>
        <v>11.971</v>
      </c>
      <c r="E58" s="391">
        <f t="shared" si="19"/>
        <v>13.100999999999999</v>
      </c>
      <c r="F58" s="391">
        <f t="shared" si="19"/>
        <v>12.024000000000001</v>
      </c>
      <c r="G58" s="391">
        <f t="shared" si="19"/>
        <v>13.903274253498138</v>
      </c>
      <c r="H58" s="391">
        <f t="shared" si="19"/>
        <v>13.438911276718041</v>
      </c>
      <c r="I58" s="391">
        <f t="shared" si="19"/>
        <v>11.744883278045553</v>
      </c>
      <c r="J58" s="391">
        <f t="shared" si="19"/>
        <v>11.958757155446177</v>
      </c>
      <c r="K58" s="391">
        <f t="shared" si="19"/>
        <v>11.782847604645973</v>
      </c>
      <c r="L58" s="391">
        <f t="shared" si="19"/>
        <v>12.102595081972249</v>
      </c>
      <c r="M58" s="391">
        <f t="shared" si="19"/>
        <v>12.295278833481403</v>
      </c>
      <c r="N58" s="391">
        <f t="shared" si="19"/>
        <v>12.479387003411352</v>
      </c>
      <c r="O58" s="391">
        <f t="shared" si="19"/>
        <v>12.599017382082712</v>
      </c>
      <c r="P58" s="391">
        <f t="shared" si="19"/>
        <v>12.651449208457914</v>
      </c>
      <c r="Q58" s="391">
        <f t="shared" si="19"/>
        <v>12.886720797832817</v>
      </c>
      <c r="R58" s="391">
        <f t="shared" si="19"/>
        <v>13.050290250110104</v>
      </c>
      <c r="S58" s="391">
        <f t="shared" si="19"/>
        <v>13.168807322734081</v>
      </c>
      <c r="T58" s="391">
        <f t="shared" si="19"/>
        <v>13.252008754666987</v>
      </c>
      <c r="U58" s="391">
        <f t="shared" si="19"/>
        <v>13.348445879787786</v>
      </c>
      <c r="V58" s="391">
        <f t="shared" si="19"/>
        <v>13.515741022699947</v>
      </c>
      <c r="W58" s="391">
        <f t="shared" si="19"/>
        <v>13.609911459837846</v>
      </c>
      <c r="X58" s="391">
        <f t="shared" si="19"/>
        <v>13.666700440710695</v>
      </c>
      <c r="Y58" s="391">
        <f t="shared" si="19"/>
        <v>13.827189627008501</v>
      </c>
      <c r="Z58" s="391">
        <f t="shared" si="19"/>
        <v>13.925040734972431</v>
      </c>
      <c r="AA58" s="391">
        <f t="shared" si="19"/>
        <v>13.98129871026814</v>
      </c>
      <c r="AB58" s="391">
        <f t="shared" si="19"/>
        <v>14.153491109881093</v>
      </c>
      <c r="AC58" s="391">
        <f t="shared" si="19"/>
        <v>14.242759878857157</v>
      </c>
      <c r="AD58" s="391">
        <f t="shared" si="19"/>
        <v>14.326224007670422</v>
      </c>
      <c r="AE58" s="391">
        <f t="shared" si="19"/>
        <v>14.407926182531323</v>
      </c>
      <c r="AF58" s="391">
        <f t="shared" si="19"/>
        <v>14.510551230752915</v>
      </c>
      <c r="AG58" s="391">
        <f t="shared" si="19"/>
        <v>14.667015528298496</v>
      </c>
      <c r="AH58" s="391">
        <f t="shared" si="19"/>
        <v>14.758859400381898</v>
      </c>
      <c r="AI58" s="391">
        <f t="shared" si="19"/>
        <v>14.928594470431211</v>
      </c>
      <c r="AJ58" s="391">
        <f t="shared" si="19"/>
        <v>15.043633506789304</v>
      </c>
      <c r="AK58" s="398">
        <v>8.9999999999999993E-3</v>
      </c>
      <c r="AM58" s="220" t="s">
        <v>740</v>
      </c>
      <c r="AN58" s="220">
        <v>7.2999999999999995E-2</v>
      </c>
      <c r="AO58" s="220">
        <v>6.9000000000000006E-2</v>
      </c>
      <c r="AP58" s="220">
        <v>7.0000000000000007E-2</v>
      </c>
      <c r="AQ58" s="220">
        <v>7.1999999999999995E-2</v>
      </c>
      <c r="AR58" s="220">
        <v>7.9000000000000001E-2</v>
      </c>
    </row>
    <row r="59" spans="1:44">
      <c r="A59" s="6" t="s">
        <v>84</v>
      </c>
      <c r="B59" s="331">
        <v>3906.17822265625</v>
      </c>
      <c r="C59" s="331">
        <v>4003.6083984375</v>
      </c>
      <c r="D59" s="331">
        <v>4006.09130859375</v>
      </c>
      <c r="E59" s="331">
        <v>3992.21752929688</v>
      </c>
      <c r="F59" s="331">
        <v>4046.56079101563</v>
      </c>
      <c r="G59" s="213">
        <v>3975.9853520000001</v>
      </c>
      <c r="H59" s="213">
        <v>3914.8715820000002</v>
      </c>
      <c r="I59" s="213">
        <v>3921.3237300000001</v>
      </c>
      <c r="J59" s="213">
        <v>3939.0678710000002</v>
      </c>
      <c r="K59" s="213">
        <v>4009.0505370000001</v>
      </c>
      <c r="L59" s="213">
        <v>4063.0170899999998</v>
      </c>
      <c r="M59" s="213">
        <v>4119.9077150000003</v>
      </c>
      <c r="N59" s="213">
        <v>4166.5869140000004</v>
      </c>
      <c r="O59" s="213">
        <v>4198.9038090000004</v>
      </c>
      <c r="P59" s="213">
        <v>4219.6909180000002</v>
      </c>
      <c r="Q59" s="213">
        <v>4252.6411129999997</v>
      </c>
      <c r="R59" s="213">
        <v>4292.3344729999999</v>
      </c>
      <c r="S59" s="213">
        <v>4339.8535160000001</v>
      </c>
      <c r="T59" s="213">
        <v>4382.0117190000001</v>
      </c>
      <c r="U59" s="213">
        <v>4415.9643550000001</v>
      </c>
      <c r="V59" s="213">
        <v>4450.7382809999999</v>
      </c>
      <c r="W59" s="213">
        <v>4486.6025390000004</v>
      </c>
      <c r="X59" s="213">
        <v>4519.0146480000003</v>
      </c>
      <c r="Y59" s="213">
        <v>4546.845703</v>
      </c>
      <c r="Z59" s="213">
        <v>4573.2431640000004</v>
      </c>
      <c r="AA59" s="213">
        <v>4595.8320309999999</v>
      </c>
      <c r="AB59" s="213">
        <v>4620.3847660000001</v>
      </c>
      <c r="AC59" s="213">
        <v>4650.2163090000004</v>
      </c>
      <c r="AD59" s="213">
        <v>4684.017578</v>
      </c>
      <c r="AE59" s="213">
        <v>4715.7373049999997</v>
      </c>
      <c r="AF59" s="213">
        <v>4746.6293949999999</v>
      </c>
      <c r="AG59" s="213">
        <v>4780.0688479999999</v>
      </c>
      <c r="AH59" s="213">
        <v>4817.2851559999999</v>
      </c>
      <c r="AI59" s="213">
        <v>4853.5073240000002</v>
      </c>
      <c r="AJ59" s="213">
        <v>4888.0634769999997</v>
      </c>
      <c r="AK59" s="214">
        <v>8.0000000000000002E-3</v>
      </c>
      <c r="AM59" s="5" t="s">
        <v>58</v>
      </c>
      <c r="AN59" s="5">
        <v>13.385999999999999</v>
      </c>
      <c r="AO59" s="5">
        <v>11.484</v>
      </c>
      <c r="AP59" s="5">
        <v>11.971</v>
      </c>
      <c r="AQ59" s="5">
        <v>13.1</v>
      </c>
      <c r="AR59" s="5">
        <v>12.025</v>
      </c>
    </row>
    <row r="60" spans="1:44" s="239" customFormat="1">
      <c r="A60" s="238" t="s">
        <v>331</v>
      </c>
      <c r="B60" s="332"/>
      <c r="C60" s="332"/>
      <c r="D60" s="332"/>
      <c r="E60" s="332">
        <f>E49/SUM(E49,E51)</f>
        <v>4.8060220034742335E-2</v>
      </c>
      <c r="F60" s="332">
        <f t="shared" ref="F60:AJ60" si="20">F49/SUM(F49,F51)</f>
        <v>4.9521665728756326E-2</v>
      </c>
      <c r="G60" s="289">
        <f t="shared" si="20"/>
        <v>8.2280227555054153E-2</v>
      </c>
      <c r="H60" s="289">
        <f t="shared" si="20"/>
        <v>6.9823049621309974E-2</v>
      </c>
      <c r="I60" s="289">
        <f t="shared" si="20"/>
        <v>5.3209314200191205E-2</v>
      </c>
      <c r="J60" s="289">
        <f t="shared" si="20"/>
        <v>5.6208097956600672E-2</v>
      </c>
      <c r="K60" s="289">
        <f t="shared" si="20"/>
        <v>9.0703847296689843E-2</v>
      </c>
      <c r="L60" s="289">
        <f t="shared" si="20"/>
        <v>8.4026682671601988E-2</v>
      </c>
      <c r="M60" s="289">
        <f t="shared" si="20"/>
        <v>8.6833058274836547E-2</v>
      </c>
      <c r="N60" s="289">
        <f t="shared" si="20"/>
        <v>7.9771601923250085E-2</v>
      </c>
      <c r="O60" s="289">
        <f t="shared" si="20"/>
        <v>7.6829216606516745E-2</v>
      </c>
      <c r="P60" s="289">
        <f t="shared" si="20"/>
        <v>7.3937237359558733E-2</v>
      </c>
      <c r="Q60" s="289">
        <f t="shared" si="20"/>
        <v>6.3150670435711168E-2</v>
      </c>
      <c r="R60" s="289">
        <f t="shared" si="20"/>
        <v>5.6021453307100677E-2</v>
      </c>
      <c r="S60" s="289">
        <f t="shared" si="20"/>
        <v>5.2492848402252032E-2</v>
      </c>
      <c r="T60" s="289">
        <f t="shared" si="20"/>
        <v>5.1211484912335535E-2</v>
      </c>
      <c r="U60" s="289">
        <f t="shared" si="20"/>
        <v>4.8848985829993218E-2</v>
      </c>
      <c r="V60" s="289">
        <f t="shared" si="20"/>
        <v>4.5775450707706083E-2</v>
      </c>
      <c r="W60" s="289">
        <f t="shared" si="20"/>
        <v>4.4166775174396926E-2</v>
      </c>
      <c r="X60" s="289">
        <f t="shared" si="20"/>
        <v>4.3086290513104024E-2</v>
      </c>
      <c r="Y60" s="289">
        <f t="shared" si="20"/>
        <v>4.0988021871458148E-2</v>
      </c>
      <c r="Z60" s="289">
        <f t="shared" si="20"/>
        <v>3.9278091650919729E-2</v>
      </c>
      <c r="AA60" s="289">
        <f t="shared" si="20"/>
        <v>3.9254018694965344E-2</v>
      </c>
      <c r="AB60" s="289">
        <f t="shared" si="20"/>
        <v>3.7647296757184943E-2</v>
      </c>
      <c r="AC60" s="289">
        <f t="shared" si="20"/>
        <v>3.6954283803113358E-2</v>
      </c>
      <c r="AD60" s="289">
        <f t="shared" si="20"/>
        <v>3.659184685229671E-2</v>
      </c>
      <c r="AE60" s="289">
        <f t="shared" si="20"/>
        <v>3.6148535633683199E-2</v>
      </c>
      <c r="AF60" s="289">
        <f t="shared" si="20"/>
        <v>3.6352295108675901E-2</v>
      </c>
      <c r="AG60" s="289">
        <f t="shared" si="20"/>
        <v>3.6200552117933153E-2</v>
      </c>
      <c r="AH60" s="289">
        <f t="shared" si="20"/>
        <v>3.560807131431535E-2</v>
      </c>
      <c r="AI60" s="289">
        <f t="shared" si="20"/>
        <v>3.4335653184475366E-2</v>
      </c>
      <c r="AJ60" s="289">
        <f t="shared" si="20"/>
        <v>3.3268321225527434E-2</v>
      </c>
      <c r="AK60" s="289"/>
      <c r="AL60" s="239" t="s">
        <v>0</v>
      </c>
    </row>
    <row r="61" spans="1:44" s="230" customFormat="1">
      <c r="A61" s="227" t="s">
        <v>107</v>
      </c>
      <c r="B61" s="323">
        <f>B54/B58</f>
        <v>0.89144564811355986</v>
      </c>
      <c r="C61" s="323">
        <f t="shared" ref="C61:AJ61" si="21">C54/C58</f>
        <v>0.84240313452329119</v>
      </c>
      <c r="D61" s="323">
        <f t="shared" si="21"/>
        <v>0.84462450923064081</v>
      </c>
      <c r="E61" s="323">
        <f t="shared" si="21"/>
        <v>0.86268223799709953</v>
      </c>
      <c r="F61" s="323">
        <f t="shared" si="21"/>
        <v>0.84564204923486352</v>
      </c>
      <c r="G61" s="274">
        <f t="shared" si="21"/>
        <v>0.93704293013233819</v>
      </c>
      <c r="H61" s="274">
        <f t="shared" si="21"/>
        <v>0.92225282266810626</v>
      </c>
      <c r="I61" s="274">
        <f t="shared" si="21"/>
        <v>0.89793521365862927</v>
      </c>
      <c r="J61" s="274">
        <f t="shared" si="21"/>
        <v>0.90145547273724802</v>
      </c>
      <c r="K61" s="274">
        <f t="shared" si="21"/>
        <v>0.9328007637541903</v>
      </c>
      <c r="L61" s="274">
        <f t="shared" si="21"/>
        <v>0.92980156078427156</v>
      </c>
      <c r="M61" s="274">
        <f t="shared" si="21"/>
        <v>0.93112441421177006</v>
      </c>
      <c r="N61" s="274">
        <f t="shared" si="21"/>
        <v>0.92567560255746051</v>
      </c>
      <c r="O61" s="274">
        <f t="shared" si="21"/>
        <v>0.92371612957369764</v>
      </c>
      <c r="P61" s="274">
        <f t="shared" si="21"/>
        <v>0.92101368807335271</v>
      </c>
      <c r="Q61" s="274">
        <f t="shared" si="21"/>
        <v>0.91188531863785449</v>
      </c>
      <c r="R61" s="274">
        <f t="shared" si="21"/>
        <v>0.90320026643830564</v>
      </c>
      <c r="S61" s="274">
        <f t="shared" si="21"/>
        <v>0.89760065800473621</v>
      </c>
      <c r="T61" s="274">
        <f t="shared" si="21"/>
        <v>0.89570852684417734</v>
      </c>
      <c r="U61" s="274">
        <f t="shared" si="21"/>
        <v>0.89142130569375144</v>
      </c>
      <c r="V61" s="274">
        <f t="shared" si="21"/>
        <v>0.88595735739753267</v>
      </c>
      <c r="W61" s="274">
        <f t="shared" si="21"/>
        <v>0.8828066184610931</v>
      </c>
      <c r="X61" s="274">
        <f t="shared" si="21"/>
        <v>0.88054682105697668</v>
      </c>
      <c r="Y61" s="274">
        <f t="shared" si="21"/>
        <v>0.87602285685591974</v>
      </c>
      <c r="Z61" s="274">
        <f t="shared" si="21"/>
        <v>0.87169325124731067</v>
      </c>
      <c r="AA61" s="274">
        <f t="shared" si="21"/>
        <v>0.8722852427415303</v>
      </c>
      <c r="AB61" s="274">
        <f t="shared" si="21"/>
        <v>0.86894785918665163</v>
      </c>
      <c r="AC61" s="274">
        <f t="shared" si="21"/>
        <v>0.86749039032967878</v>
      </c>
      <c r="AD61" s="274">
        <f t="shared" si="21"/>
        <v>0.86710908968964728</v>
      </c>
      <c r="AE61" s="274">
        <f t="shared" si="21"/>
        <v>0.86635966989134916</v>
      </c>
      <c r="AF61" s="274">
        <f t="shared" si="21"/>
        <v>0.86812182930886517</v>
      </c>
      <c r="AG61" s="274">
        <f t="shared" si="21"/>
        <v>0.86915476345260967</v>
      </c>
      <c r="AH61" s="274">
        <f t="shared" si="21"/>
        <v>0.86796297096614483</v>
      </c>
      <c r="AI61" s="274">
        <f t="shared" si="21"/>
        <v>0.8647753764070143</v>
      </c>
      <c r="AJ61" s="274">
        <f t="shared" si="21"/>
        <v>0.86167422798788385</v>
      </c>
      <c r="AK61" s="274"/>
    </row>
    <row r="62" spans="1:44" s="240" customFormat="1">
      <c r="A62" s="229" t="s">
        <v>108</v>
      </c>
      <c r="B62" s="333">
        <f>(B54-EIA_RE_aeo2014!B73)/B56</f>
        <v>5.1546391752577282E-2</v>
      </c>
      <c r="C62" s="333">
        <f>(C54-EIA_RE_aeo2014!C73)/C56</f>
        <v>5.6861720654824144E-2</v>
      </c>
      <c r="D62" s="333">
        <f>(D54-EIA_RE_aeo2014!D73)/D56</f>
        <v>6.248433714810802E-2</v>
      </c>
      <c r="E62" s="333">
        <f>(E54-EIA_RE_aeo2014!E73)/E56</f>
        <v>6.6259541984732856E-2</v>
      </c>
      <c r="F62" s="333">
        <f>(F54-EIA_RE_aeo2014!F73)/F56</f>
        <v>8.4324324324324268E-2</v>
      </c>
      <c r="G62" s="290">
        <f>(G54-EIA_RE_aeo2014!G73)/G56</f>
        <v>8.4346168325684381E-2</v>
      </c>
      <c r="H62" s="290">
        <f>(H54-EIA_RE_aeo2014!H73)/H56</f>
        <v>9.3040378992911718E-2</v>
      </c>
      <c r="I62" s="290">
        <f>(I54-EIA_RE_aeo2014!I73)/I56</f>
        <v>0.11762311925906314</v>
      </c>
      <c r="J62" s="290">
        <f>(J54-EIA_RE_aeo2014!J73)/J56</f>
        <v>0.11879846380588314</v>
      </c>
      <c r="K62" s="290">
        <f>(K54-EIA_RE_aeo2014!K73)/K56</f>
        <v>0.12537284056014283</v>
      </c>
      <c r="L62" s="290">
        <f>(L54-EIA_RE_aeo2014!L73)/L56</f>
        <v>0.12982362913502124</v>
      </c>
      <c r="M62" s="290">
        <f>(M54-EIA_RE_aeo2014!M73)/M56</f>
        <v>0.13407569896297283</v>
      </c>
      <c r="N62" s="290">
        <f>(N54-EIA_RE_aeo2014!N73)/N56</f>
        <v>0.14375261261439953</v>
      </c>
      <c r="O62" s="290">
        <f>(O54-EIA_RE_aeo2014!O73)/O56</f>
        <v>0.14921741130205962</v>
      </c>
      <c r="P62" s="290">
        <f>(P54-EIA_RE_aeo2014!P73)/P56</f>
        <v>0.14972500504718311</v>
      </c>
      <c r="Q62" s="290">
        <f>(Q54-EIA_RE_aeo2014!Q73)/Q56</f>
        <v>0.15076204406281099</v>
      </c>
      <c r="R62" s="290">
        <f>(R54-EIA_RE_aeo2014!R73)/R56</f>
        <v>0.15161698908116716</v>
      </c>
      <c r="S62" s="290">
        <f>(S54-EIA_RE_aeo2014!S73)/S56</f>
        <v>0.15278158820942786</v>
      </c>
      <c r="T62" s="290">
        <f>(T54-EIA_RE_aeo2014!T73)/T56</f>
        <v>0.15556573023017667</v>
      </c>
      <c r="U62" s="290">
        <f>(U54-EIA_RE_aeo2014!U73)/U56</f>
        <v>0.15662574156862066</v>
      </c>
      <c r="V62" s="290">
        <f>(V54-EIA_RE_aeo2014!V73)/V56</f>
        <v>0.16025703251920093</v>
      </c>
      <c r="W62" s="290">
        <f>(W54-EIA_RE_aeo2014!W73)/W56</f>
        <v>0.16212759860936454</v>
      </c>
      <c r="X62" s="290">
        <f>(X54-EIA_RE_aeo2014!X73)/X56</f>
        <v>0.16286242505402365</v>
      </c>
      <c r="Y62" s="290">
        <f>(Y54-EIA_RE_aeo2014!Y73)/Y56</f>
        <v>0.16238378094279904</v>
      </c>
      <c r="Z62" s="290">
        <f>(Z54-EIA_RE_aeo2014!Z73)/Z56</f>
        <v>0.16306890926520656</v>
      </c>
      <c r="AA62" s="290">
        <f>(AA54-EIA_RE_aeo2014!AK73)/AA56</f>
        <v>0.8722852427415303</v>
      </c>
      <c r="AB62" s="290">
        <f>(AB54-EIA_RE_aeo2014!AL73)/AB56</f>
        <v>0.86894785918665163</v>
      </c>
      <c r="AC62" s="290">
        <f>(AC54-EIA_RE_aeo2014!AM73)/AC56</f>
        <v>0.86749039032967878</v>
      </c>
      <c r="AD62" s="290">
        <f>(AD54-EIA_RE_aeo2014!AN73)/AD56</f>
        <v>8.2394290173675291E-2</v>
      </c>
      <c r="AE62" s="290">
        <f>(AE54-EIA_RE_aeo2014!AO73)/AE56</f>
        <v>0.24017656167008472</v>
      </c>
      <c r="AF62" s="290">
        <f>(AF54-EIA_RE_aeo2014!AP73)/AF56</f>
        <v>0.22286722449712379</v>
      </c>
      <c r="AG62" s="290">
        <f>(AG54-EIA_RE_aeo2014!AQ73)/AG56</f>
        <v>0.15776259373214604</v>
      </c>
      <c r="AH62" s="290">
        <f>(AH54-EIA_RE_aeo2014!AR73)/AH56</f>
        <v>0.24772533933973789</v>
      </c>
      <c r="AI62" s="290">
        <f>(AI54-EIA_RE_aeo2014!AS73)/AI56</f>
        <v>0.8647753764070143</v>
      </c>
      <c r="AJ62" s="290">
        <f>(AJ54-EIA_RE_aeo2014!AT73)/AJ56</f>
        <v>0.86167422798788385</v>
      </c>
      <c r="AK62" s="290"/>
    </row>
    <row r="63" spans="1:44" s="383" customFormat="1">
      <c r="A63" s="383" t="s">
        <v>109</v>
      </c>
      <c r="C63" s="384"/>
      <c r="D63" s="384"/>
      <c r="E63" s="384"/>
      <c r="F63" s="384">
        <v>42094.619140625</v>
      </c>
      <c r="G63" s="385">
        <v>102605.04540000002</v>
      </c>
      <c r="H63" s="385">
        <v>163360.96875</v>
      </c>
      <c r="I63" s="385">
        <v>225974.68357199998</v>
      </c>
      <c r="J63" s="385">
        <v>289591.77345600002</v>
      </c>
      <c r="K63" s="385">
        <v>358569.27243000007</v>
      </c>
      <c r="L63" s="385">
        <v>428005.66654200002</v>
      </c>
      <c r="M63" s="385">
        <v>499509.19281199999</v>
      </c>
      <c r="N63" s="385">
        <v>571413.594774</v>
      </c>
      <c r="O63" s="385">
        <v>642582.21966400009</v>
      </c>
      <c r="P63" s="385">
        <v>712804.27253000019</v>
      </c>
      <c r="Q63" s="385">
        <v>785931.55672200024</v>
      </c>
      <c r="R63" s="385">
        <v>861455.63087200013</v>
      </c>
      <c r="S63" s="385">
        <v>939930.84375000035</v>
      </c>
      <c r="T63" s="385">
        <v>1018634.9062500005</v>
      </c>
      <c r="U63" s="385">
        <v>1096613.15925</v>
      </c>
      <c r="V63" s="386"/>
      <c r="W63" s="386"/>
      <c r="X63" s="386"/>
      <c r="Y63" s="386"/>
      <c r="Z63" s="386"/>
      <c r="AA63" s="386"/>
      <c r="AB63" s="386"/>
      <c r="AC63" s="386"/>
      <c r="AD63" s="386"/>
      <c r="AE63" s="386"/>
      <c r="AF63" s="386"/>
      <c r="AG63" s="386"/>
      <c r="AH63" s="386"/>
      <c r="AI63" s="386"/>
      <c r="AJ63" s="386"/>
      <c r="AK63" s="386"/>
    </row>
    <row r="64" spans="1:44" s="387" customFormat="1">
      <c r="A64" s="387" t="s">
        <v>110</v>
      </c>
      <c r="C64" s="388"/>
      <c r="D64" s="388"/>
      <c r="E64" s="388"/>
      <c r="F64" s="388"/>
      <c r="G64" s="389">
        <f>G63/1000/G58</f>
        <v>7.3799195447924113</v>
      </c>
      <c r="H64" s="389">
        <f t="shared" ref="H64:O64" si="22">H63/1000/H58</f>
        <v>12.155818681012596</v>
      </c>
      <c r="I64" s="389">
        <f t="shared" si="22"/>
        <v>19.240266439634134</v>
      </c>
      <c r="J64" s="389">
        <f t="shared" si="22"/>
        <v>24.215875420140634</v>
      </c>
      <c r="K64" s="389">
        <f t="shared" si="22"/>
        <v>30.431461431158315</v>
      </c>
      <c r="L64" s="389">
        <f t="shared" si="22"/>
        <v>35.364784465072916</v>
      </c>
      <c r="M64" s="389">
        <f t="shared" si="22"/>
        <v>40.626097185513295</v>
      </c>
      <c r="N64" s="389">
        <f t="shared" si="22"/>
        <v>45.788594793782657</v>
      </c>
      <c r="O64" s="389">
        <f t="shared" si="22"/>
        <v>51.002566325357066</v>
      </c>
      <c r="P64" s="389">
        <f t="shared" ref="P64" si="23">P63/1000/P58</f>
        <v>56.341709221222409</v>
      </c>
      <c r="Q64" s="389">
        <f t="shared" ref="Q64" si="24">Q63/1000/Q58</f>
        <v>60.987707350202832</v>
      </c>
      <c r="R64" s="389">
        <f t="shared" ref="R64" si="25">R63/1000/R58</f>
        <v>66.010457573135753</v>
      </c>
      <c r="S64" s="389">
        <f t="shared" ref="S64" si="26">S63/1000/S58</f>
        <v>71.375548348052973</v>
      </c>
      <c r="T64" s="389">
        <f t="shared" ref="T64" si="27">T63/1000/T58</f>
        <v>76.866452860685413</v>
      </c>
      <c r="U64" s="389">
        <f t="shared" ref="U64" si="28">U63/1000/U58</f>
        <v>82.152871512217871</v>
      </c>
      <c r="V64" s="389"/>
      <c r="W64" s="389"/>
      <c r="X64" s="389"/>
      <c r="Y64" s="389"/>
      <c r="Z64" s="389"/>
      <c r="AA64" s="389"/>
      <c r="AB64" s="389"/>
      <c r="AC64" s="389"/>
      <c r="AD64" s="389"/>
      <c r="AE64" s="389"/>
      <c r="AF64" s="389"/>
      <c r="AG64" s="389"/>
      <c r="AH64" s="389"/>
      <c r="AI64" s="389"/>
      <c r="AJ64" s="389"/>
      <c r="AK64" s="389"/>
    </row>
    <row r="65" spans="1:38" s="387" customFormat="1">
      <c r="A65" s="387" t="s">
        <v>113</v>
      </c>
      <c r="D65" s="388"/>
      <c r="E65" s="388"/>
      <c r="F65" s="388"/>
      <c r="G65" s="389"/>
      <c r="H65" s="389">
        <f t="shared" ref="H65:U65" si="29">(H64-G64)/G64</f>
        <v>0.64714785943571218</v>
      </c>
      <c r="I65" s="389">
        <f t="shared" si="29"/>
        <v>0.58280301348089825</v>
      </c>
      <c r="J65" s="389">
        <f t="shared" si="29"/>
        <v>0.25860395416650556</v>
      </c>
      <c r="K65" s="389">
        <f t="shared" si="29"/>
        <v>0.25667401665967043</v>
      </c>
      <c r="L65" s="389">
        <f t="shared" si="29"/>
        <v>0.16211259012567322</v>
      </c>
      <c r="M65" s="389">
        <f t="shared" si="29"/>
        <v>0.14877265053422209</v>
      </c>
      <c r="N65" s="389">
        <f t="shared" si="29"/>
        <v>0.12707343224960918</v>
      </c>
      <c r="O65" s="389">
        <f t="shared" si="29"/>
        <v>0.11387052944202561</v>
      </c>
      <c r="P65" s="389">
        <f t="shared" si="29"/>
        <v>0.10468380868926726</v>
      </c>
      <c r="Q65" s="389">
        <f t="shared" si="29"/>
        <v>8.2461078891628667E-2</v>
      </c>
      <c r="R65" s="389">
        <f t="shared" si="29"/>
        <v>8.2356764029369853E-2</v>
      </c>
      <c r="S65" s="389">
        <f t="shared" si="29"/>
        <v>8.1276376079850859E-2</v>
      </c>
      <c r="T65" s="389">
        <f t="shared" si="29"/>
        <v>7.6929769924243593E-2</v>
      </c>
      <c r="U65" s="389">
        <f t="shared" si="29"/>
        <v>6.8774067942405107E-2</v>
      </c>
      <c r="V65" s="389"/>
      <c r="W65" s="389"/>
      <c r="X65" s="389"/>
      <c r="Y65" s="389"/>
      <c r="Z65" s="389"/>
      <c r="AA65" s="389"/>
      <c r="AB65" s="389"/>
      <c r="AC65" s="389"/>
      <c r="AD65" s="389"/>
      <c r="AE65" s="389"/>
      <c r="AF65" s="389"/>
      <c r="AG65" s="389"/>
      <c r="AH65" s="389"/>
      <c r="AI65" s="389"/>
      <c r="AJ65" s="389"/>
      <c r="AK65" s="389"/>
    </row>
    <row r="66" spans="1:38" s="230" customFormat="1">
      <c r="A66" s="230" t="s">
        <v>129</v>
      </c>
      <c r="B66" s="334">
        <f>B52/B58</f>
        <v>0</v>
      </c>
      <c r="C66" s="334">
        <f t="shared" ref="C66:AJ66" si="30">C52/C58</f>
        <v>0</v>
      </c>
      <c r="D66" s="334">
        <f t="shared" si="30"/>
        <v>0</v>
      </c>
      <c r="E66" s="334">
        <f t="shared" si="30"/>
        <v>0</v>
      </c>
      <c r="F66" s="334">
        <f t="shared" si="30"/>
        <v>0</v>
      </c>
      <c r="G66" s="291">
        <f t="shared" si="30"/>
        <v>0</v>
      </c>
      <c r="H66" s="291">
        <f t="shared" si="30"/>
        <v>0</v>
      </c>
      <c r="I66" s="291">
        <f t="shared" si="30"/>
        <v>0</v>
      </c>
      <c r="J66" s="291">
        <f t="shared" si="30"/>
        <v>0</v>
      </c>
      <c r="K66" s="291">
        <f t="shared" si="30"/>
        <v>0</v>
      </c>
      <c r="L66" s="291">
        <f t="shared" si="30"/>
        <v>0</v>
      </c>
      <c r="M66" s="291">
        <f t="shared" si="30"/>
        <v>0</v>
      </c>
      <c r="N66" s="291">
        <f t="shared" si="30"/>
        <v>0</v>
      </c>
      <c r="O66" s="291">
        <f t="shared" si="30"/>
        <v>0</v>
      </c>
      <c r="P66" s="291">
        <f t="shared" si="30"/>
        <v>0</v>
      </c>
      <c r="Q66" s="291">
        <f t="shared" si="30"/>
        <v>0</v>
      </c>
      <c r="R66" s="291">
        <f t="shared" si="30"/>
        <v>0</v>
      </c>
      <c r="S66" s="291">
        <f t="shared" si="30"/>
        <v>0</v>
      </c>
      <c r="T66" s="291">
        <f t="shared" si="30"/>
        <v>0</v>
      </c>
      <c r="U66" s="291">
        <f t="shared" si="30"/>
        <v>0</v>
      </c>
      <c r="V66" s="291">
        <f t="shared" si="30"/>
        <v>0</v>
      </c>
      <c r="W66" s="291">
        <f t="shared" si="30"/>
        <v>0</v>
      </c>
      <c r="X66" s="291">
        <f t="shared" si="30"/>
        <v>0</v>
      </c>
      <c r="Y66" s="291">
        <f t="shared" si="30"/>
        <v>0</v>
      </c>
      <c r="Z66" s="291">
        <f t="shared" si="30"/>
        <v>0</v>
      </c>
      <c r="AA66" s="291">
        <f t="shared" si="30"/>
        <v>0</v>
      </c>
      <c r="AB66" s="291">
        <f t="shared" si="30"/>
        <v>0</v>
      </c>
      <c r="AC66" s="291">
        <f t="shared" si="30"/>
        <v>0</v>
      </c>
      <c r="AD66" s="291">
        <f t="shared" si="30"/>
        <v>0</v>
      </c>
      <c r="AE66" s="291">
        <f t="shared" si="30"/>
        <v>0</v>
      </c>
      <c r="AF66" s="291">
        <f t="shared" si="30"/>
        <v>0</v>
      </c>
      <c r="AG66" s="291">
        <f t="shared" si="30"/>
        <v>0</v>
      </c>
      <c r="AH66" s="291">
        <f t="shared" si="30"/>
        <v>0</v>
      </c>
      <c r="AI66" s="291">
        <f t="shared" si="30"/>
        <v>0</v>
      </c>
      <c r="AJ66" s="291">
        <f t="shared" si="30"/>
        <v>0</v>
      </c>
      <c r="AK66" s="291"/>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589</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589</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627</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626</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71" t="s">
        <v>628</v>
      </c>
      <c r="B109" s="571"/>
      <c r="C109" s="571"/>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row>
    <row r="110" spans="1:38">
      <c r="A110" s="570" t="s">
        <v>629</v>
      </c>
      <c r="B110" s="570"/>
      <c r="C110" s="570"/>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row>
    <row r="111" spans="1:38">
      <c r="A111" s="570" t="s">
        <v>630</v>
      </c>
      <c r="B111" s="570"/>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row>
    <row r="112" spans="1:38">
      <c r="A112" s="570" t="s">
        <v>631</v>
      </c>
      <c r="B112" s="570"/>
      <c r="C112" s="570"/>
      <c r="D112" s="570"/>
      <c r="E112" s="570"/>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row>
    <row r="113" spans="1:32">
      <c r="A113" s="570" t="s">
        <v>632</v>
      </c>
      <c r="B113" s="570"/>
      <c r="C113" s="570"/>
      <c r="D113" s="570"/>
      <c r="E113" s="570"/>
      <c r="F113" s="570"/>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row>
    <row r="114" spans="1:32">
      <c r="A114" s="570" t="s">
        <v>633</v>
      </c>
      <c r="B114" s="570"/>
      <c r="C114" s="570"/>
      <c r="D114" s="570"/>
      <c r="E114" s="570"/>
      <c r="F114" s="570"/>
      <c r="G114" s="570"/>
      <c r="H114" s="570"/>
      <c r="I114" s="570"/>
      <c r="J114" s="570"/>
      <c r="K114" s="570"/>
      <c r="L114" s="570"/>
      <c r="M114" s="570"/>
      <c r="N114" s="570"/>
      <c r="O114" s="570"/>
      <c r="P114" s="570"/>
      <c r="Q114" s="570"/>
      <c r="R114" s="570"/>
      <c r="S114" s="570"/>
      <c r="T114" s="570"/>
      <c r="U114" s="570"/>
      <c r="V114" s="570"/>
      <c r="W114" s="570"/>
      <c r="X114" s="570"/>
      <c r="Y114" s="570"/>
      <c r="Z114" s="570"/>
      <c r="AA114" s="570"/>
      <c r="AB114" s="570"/>
      <c r="AC114" s="570"/>
      <c r="AD114" s="570"/>
      <c r="AE114" s="570"/>
      <c r="AF114" s="570"/>
    </row>
    <row r="115" spans="1:32">
      <c r="A115" s="570" t="s">
        <v>634</v>
      </c>
      <c r="B115" s="570"/>
      <c r="C115" s="570"/>
      <c r="D115" s="570"/>
      <c r="E115" s="570"/>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0"/>
      <c r="AF115" s="570"/>
    </row>
    <row r="116" spans="1:32">
      <c r="A116" s="570" t="s">
        <v>635</v>
      </c>
      <c r="B116" s="570"/>
      <c r="C116" s="570"/>
      <c r="D116" s="570"/>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row>
    <row r="117" spans="1:32">
      <c r="A117" s="570" t="s">
        <v>636</v>
      </c>
      <c r="B117" s="570"/>
      <c r="C117" s="570"/>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row>
    <row r="118" spans="1:32">
      <c r="A118" s="570" t="s">
        <v>637</v>
      </c>
      <c r="B118" s="570"/>
      <c r="C118" s="570"/>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row>
    <row r="119" spans="1:32">
      <c r="A119" s="570" t="s">
        <v>638</v>
      </c>
      <c r="B119" s="570"/>
      <c r="C119" s="570"/>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row>
    <row r="120" spans="1:32">
      <c r="A120" s="570" t="s">
        <v>639</v>
      </c>
      <c r="B120" s="570"/>
      <c r="C120" s="570"/>
      <c r="D120" s="570"/>
      <c r="E120" s="570"/>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0"/>
      <c r="AD120" s="570"/>
      <c r="AE120" s="570"/>
      <c r="AF120" s="570"/>
    </row>
    <row r="121" spans="1:32">
      <c r="A121" s="570" t="s">
        <v>640</v>
      </c>
      <c r="B121" s="570"/>
      <c r="C121" s="570"/>
      <c r="D121" s="570"/>
      <c r="E121" s="570"/>
      <c r="F121" s="570"/>
      <c r="G121" s="570"/>
      <c r="H121" s="570"/>
      <c r="I121" s="570"/>
      <c r="J121" s="570"/>
      <c r="K121" s="570"/>
      <c r="L121" s="570"/>
      <c r="M121" s="570"/>
      <c r="N121" s="570"/>
      <c r="O121" s="570"/>
      <c r="P121" s="570"/>
      <c r="Q121" s="570"/>
      <c r="R121" s="570"/>
      <c r="S121" s="570"/>
      <c r="T121" s="570"/>
      <c r="U121" s="570"/>
      <c r="V121" s="570"/>
      <c r="W121" s="570"/>
      <c r="X121" s="570"/>
      <c r="Y121" s="570"/>
      <c r="Z121" s="570"/>
      <c r="AA121" s="570"/>
      <c r="AB121" s="570"/>
      <c r="AC121" s="570"/>
      <c r="AD121" s="570"/>
      <c r="AE121" s="570"/>
      <c r="AF121" s="570"/>
    </row>
    <row r="122" spans="1:32">
      <c r="A122" s="570" t="s">
        <v>641</v>
      </c>
      <c r="B122" s="570"/>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row>
    <row r="123" spans="1:32">
      <c r="A123" s="570" t="s">
        <v>642</v>
      </c>
      <c r="B123" s="570"/>
      <c r="C123" s="570"/>
      <c r="D123" s="570"/>
      <c r="E123" s="570"/>
      <c r="F123" s="570"/>
      <c r="G123" s="570"/>
      <c r="H123" s="570"/>
      <c r="I123" s="570"/>
      <c r="J123" s="570"/>
      <c r="K123" s="570"/>
      <c r="L123" s="570"/>
      <c r="M123" s="570"/>
      <c r="N123" s="570"/>
      <c r="O123" s="570"/>
      <c r="P123" s="570"/>
      <c r="Q123" s="570"/>
      <c r="R123" s="570"/>
      <c r="S123" s="570"/>
      <c r="T123" s="570"/>
      <c r="U123" s="570"/>
      <c r="V123" s="570"/>
      <c r="W123" s="570"/>
      <c r="X123" s="570"/>
      <c r="Y123" s="570"/>
      <c r="Z123" s="570"/>
      <c r="AA123" s="570"/>
      <c r="AB123" s="570"/>
      <c r="AC123" s="570"/>
      <c r="AD123" s="570"/>
      <c r="AE123" s="570"/>
      <c r="AF123" s="570"/>
    </row>
    <row r="124" spans="1:32">
      <c r="A124" s="570" t="s">
        <v>643</v>
      </c>
      <c r="B124" s="570"/>
      <c r="C124" s="570"/>
      <c r="D124" s="570"/>
      <c r="E124" s="570"/>
      <c r="F124" s="570"/>
      <c r="G124" s="570"/>
      <c r="H124" s="570"/>
      <c r="I124" s="570"/>
      <c r="J124" s="570"/>
      <c r="K124" s="570"/>
      <c r="L124" s="570"/>
      <c r="M124" s="570"/>
      <c r="N124" s="570"/>
      <c r="O124" s="570"/>
      <c r="P124" s="570"/>
      <c r="Q124" s="570"/>
      <c r="R124" s="570"/>
      <c r="S124" s="570"/>
      <c r="T124" s="570"/>
      <c r="U124" s="570"/>
      <c r="V124" s="570"/>
      <c r="W124" s="570"/>
      <c r="X124" s="570"/>
      <c r="Y124" s="570"/>
      <c r="Z124" s="570"/>
      <c r="AA124" s="570"/>
      <c r="AB124" s="570"/>
      <c r="AC124" s="570"/>
      <c r="AD124" s="570"/>
      <c r="AE124" s="570"/>
      <c r="AF124" s="570"/>
    </row>
    <row r="125" spans="1:32">
      <c r="A125" s="570" t="s">
        <v>636</v>
      </c>
      <c r="B125" s="570"/>
      <c r="C125" s="570"/>
      <c r="D125" s="570"/>
      <c r="E125" s="570"/>
      <c r="F125" s="570"/>
      <c r="G125" s="570"/>
      <c r="H125" s="570"/>
      <c r="I125" s="570"/>
      <c r="J125" s="570"/>
      <c r="K125" s="570"/>
      <c r="L125" s="570"/>
      <c r="M125" s="570"/>
      <c r="N125" s="570"/>
      <c r="O125" s="570"/>
      <c r="P125" s="570"/>
      <c r="Q125" s="570"/>
      <c r="R125" s="570"/>
      <c r="S125" s="570"/>
      <c r="T125" s="570"/>
      <c r="U125" s="570"/>
      <c r="V125" s="570"/>
      <c r="W125" s="570"/>
      <c r="X125" s="570"/>
      <c r="Y125" s="570"/>
      <c r="Z125" s="570"/>
      <c r="AA125" s="570"/>
      <c r="AB125" s="570"/>
      <c r="AC125" s="570"/>
      <c r="AD125" s="570"/>
      <c r="AE125" s="570"/>
      <c r="AF125" s="570"/>
    </row>
    <row r="126" spans="1:32">
      <c r="A126" s="570" t="s">
        <v>644</v>
      </c>
      <c r="B126" s="570"/>
      <c r="C126" s="570"/>
      <c r="D126" s="570"/>
      <c r="E126" s="570"/>
      <c r="F126" s="570"/>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row>
    <row r="127" spans="1:32">
      <c r="A127" s="570" t="s">
        <v>645</v>
      </c>
      <c r="B127" s="570"/>
      <c r="C127" s="570"/>
      <c r="D127" s="570"/>
      <c r="E127" s="570"/>
      <c r="F127" s="570"/>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row>
    <row r="128" spans="1:32">
      <c r="A128" s="570" t="s">
        <v>646</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row>
    <row r="129" spans="1:32">
      <c r="A129" s="570" t="s">
        <v>616</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row>
    <row r="130" spans="1:32">
      <c r="A130" s="570" t="s">
        <v>617</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row>
    <row r="131" spans="1:32">
      <c r="A131" s="570" t="s">
        <v>618</v>
      </c>
      <c r="B131" s="570"/>
      <c r="C131" s="570"/>
      <c r="D131" s="570"/>
      <c r="E131" s="570"/>
      <c r="F131" s="570"/>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row>
    <row r="132" spans="1:32">
      <c r="A132" s="570" t="s">
        <v>647</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row>
    <row r="133" spans="1:32">
      <c r="A133" s="570" t="s">
        <v>648</v>
      </c>
      <c r="B133" s="570"/>
      <c r="C133" s="570"/>
      <c r="D133" s="570"/>
      <c r="E133" s="570"/>
      <c r="F133" s="570"/>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row>
    <row r="134" spans="1:32">
      <c r="A134" s="570" t="s">
        <v>649</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row>
    <row r="135" spans="1:32">
      <c r="A135" s="570" t="s">
        <v>650</v>
      </c>
      <c r="B135" s="570"/>
      <c r="C135" s="570"/>
      <c r="D135" s="570"/>
      <c r="E135" s="570"/>
      <c r="F135" s="570"/>
      <c r="G135" s="570"/>
      <c r="H135" s="570"/>
      <c r="I135" s="570"/>
      <c r="J135" s="570"/>
      <c r="K135" s="570"/>
      <c r="L135" s="570"/>
      <c r="M135" s="570"/>
      <c r="N135" s="570"/>
      <c r="O135" s="570"/>
      <c r="P135" s="570"/>
      <c r="Q135" s="570"/>
      <c r="R135" s="570"/>
      <c r="S135" s="570"/>
      <c r="T135" s="570"/>
      <c r="U135" s="570"/>
      <c r="V135" s="570"/>
      <c r="W135" s="570"/>
      <c r="X135" s="570"/>
      <c r="Y135" s="570"/>
      <c r="Z135" s="570"/>
      <c r="AA135" s="570"/>
      <c r="AB135" s="570"/>
      <c r="AC135" s="570"/>
      <c r="AD135" s="570"/>
      <c r="AE135" s="570"/>
      <c r="AF135" s="570"/>
    </row>
    <row r="136" spans="1:32">
      <c r="A136" s="570" t="s">
        <v>651</v>
      </c>
      <c r="B136" s="570"/>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row>
    <row r="137" spans="1:32">
      <c r="A137" s="570" t="s">
        <v>652</v>
      </c>
      <c r="B137" s="570"/>
      <c r="C137" s="570"/>
      <c r="D137" s="570"/>
      <c r="E137" s="570"/>
      <c r="F137" s="570"/>
      <c r="G137" s="570"/>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61" zoomScale="125" zoomScaleNormal="125" zoomScalePageLayoutView="125" workbookViewId="0">
      <selection activeCell="G60" sqref="G60:AJ66"/>
    </sheetView>
  </sheetViews>
  <sheetFormatPr baseColWidth="10" defaultColWidth="12.5" defaultRowHeight="16" x14ac:dyDescent="0"/>
  <cols>
    <col min="1" max="1" width="47.33203125" style="5" customWidth="1"/>
    <col min="2" max="2" width="23" style="216" bestFit="1" customWidth="1"/>
    <col min="3" max="6" width="12.5" style="216"/>
    <col min="7" max="37" width="12.5" style="264"/>
    <col min="38" max="16384" width="12.5" style="5"/>
  </cols>
  <sheetData>
    <row r="1" spans="1:37">
      <c r="A1" s="233" t="s">
        <v>4</v>
      </c>
    </row>
    <row r="2" spans="1:37">
      <c r="A2" s="237" t="s">
        <v>701</v>
      </c>
    </row>
    <row r="3" spans="1:37">
      <c r="A3" s="237" t="s">
        <v>653</v>
      </c>
    </row>
    <row r="4" spans="1:37">
      <c r="A4" s="237" t="s">
        <v>654</v>
      </c>
    </row>
    <row r="6" spans="1:37">
      <c r="A6" s="6" t="s">
        <v>5</v>
      </c>
    </row>
    <row r="7" spans="1:37">
      <c r="A7" s="6" t="s">
        <v>6</v>
      </c>
    </row>
    <row r="8" spans="1:37">
      <c r="A8" s="78" t="s">
        <v>281</v>
      </c>
    </row>
    <row r="10" spans="1:37">
      <c r="AK10" s="265" t="s">
        <v>711</v>
      </c>
    </row>
    <row r="11" spans="1:37">
      <c r="B11" s="377" t="s">
        <v>7</v>
      </c>
      <c r="C11" s="377" t="s">
        <v>8</v>
      </c>
      <c r="D11" s="377" t="s">
        <v>9</v>
      </c>
      <c r="E11" s="377" t="s">
        <v>10</v>
      </c>
      <c r="F11" s="377" t="s">
        <v>11</v>
      </c>
      <c r="G11" s="265" t="s">
        <v>12</v>
      </c>
      <c r="H11" s="265" t="s">
        <v>13</v>
      </c>
      <c r="I11" s="265" t="s">
        <v>14</v>
      </c>
      <c r="J11" s="265" t="s">
        <v>15</v>
      </c>
      <c r="K11" s="265" t="s">
        <v>16</v>
      </c>
      <c r="L11" s="265" t="s">
        <v>17</v>
      </c>
      <c r="M11" s="265" t="s">
        <v>18</v>
      </c>
      <c r="N11" s="265" t="s">
        <v>19</v>
      </c>
      <c r="O11" s="265" t="s">
        <v>20</v>
      </c>
      <c r="P11" s="265" t="s">
        <v>21</v>
      </c>
      <c r="Q11" s="265" t="s">
        <v>22</v>
      </c>
      <c r="R11" s="265" t="s">
        <v>23</v>
      </c>
      <c r="S11" s="265" t="s">
        <v>24</v>
      </c>
      <c r="T11" s="265" t="s">
        <v>25</v>
      </c>
      <c r="U11" s="265" t="s">
        <v>26</v>
      </c>
      <c r="V11" s="265" t="s">
        <v>27</v>
      </c>
      <c r="W11" s="265" t="s">
        <v>28</v>
      </c>
      <c r="X11" s="265" t="s">
        <v>29</v>
      </c>
      <c r="Y11" s="265" t="s">
        <v>30</v>
      </c>
      <c r="Z11" s="265" t="s">
        <v>31</v>
      </c>
      <c r="AA11" s="265" t="s">
        <v>578</v>
      </c>
      <c r="AB11" s="265" t="s">
        <v>579</v>
      </c>
      <c r="AC11" s="265" t="s">
        <v>580</v>
      </c>
      <c r="AD11" s="265" t="s">
        <v>581</v>
      </c>
      <c r="AE11" s="265" t="s">
        <v>582</v>
      </c>
      <c r="AF11" s="265" t="s">
        <v>583</v>
      </c>
      <c r="AG11" s="265" t="s">
        <v>584</v>
      </c>
      <c r="AH11" s="265" t="s">
        <v>585</v>
      </c>
      <c r="AI11" s="265" t="s">
        <v>586</v>
      </c>
      <c r="AJ11" s="265" t="s">
        <v>587</v>
      </c>
      <c r="AK11" s="265">
        <v>2040</v>
      </c>
    </row>
    <row r="12" spans="1:37">
      <c r="B12" s="378"/>
      <c r="C12" s="378"/>
      <c r="D12" s="378"/>
      <c r="E12" s="378"/>
      <c r="F12" s="378"/>
    </row>
    <row r="13" spans="1:37">
      <c r="B13" s="378"/>
      <c r="C13" s="378"/>
      <c r="D13" s="378"/>
      <c r="E13" s="378"/>
      <c r="F13" s="378"/>
    </row>
    <row r="14" spans="1:37">
      <c r="A14" s="6" t="s">
        <v>32</v>
      </c>
      <c r="B14" s="378"/>
      <c r="C14" s="378"/>
      <c r="D14" s="378"/>
      <c r="E14" s="378"/>
      <c r="F14" s="378"/>
    </row>
    <row r="15" spans="1:37">
      <c r="A15" s="6" t="s">
        <v>33</v>
      </c>
      <c r="B15" s="378"/>
      <c r="C15" s="378"/>
      <c r="D15" s="378"/>
      <c r="E15" s="378"/>
      <c r="F15" s="378"/>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655</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656</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657</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07">
        <v>1.0000000000000001E-5</v>
      </c>
      <c r="H33" s="407">
        <v>1.0000000000000001E-5</v>
      </c>
      <c r="I33" s="407">
        <v>1.0000000000000001E-5</v>
      </c>
      <c r="J33" s="407">
        <v>1.0000000000000001E-5</v>
      </c>
      <c r="K33" s="407">
        <v>1.0000000000000001E-5</v>
      </c>
      <c r="L33" s="407">
        <v>1.0000000000000001E-5</v>
      </c>
      <c r="M33" s="407">
        <v>1.0000000000000001E-5</v>
      </c>
      <c r="N33" s="407">
        <v>1.0000000000000001E-5</v>
      </c>
      <c r="O33" s="407">
        <v>1.0000000000000001E-5</v>
      </c>
      <c r="P33" s="407">
        <v>1.0000000000000001E-5</v>
      </c>
      <c r="Q33" s="407">
        <v>1.0000000000000001E-5</v>
      </c>
      <c r="R33" s="407">
        <v>1.0000000000000001E-5</v>
      </c>
      <c r="S33" s="407">
        <v>1.0000000000000001E-5</v>
      </c>
      <c r="T33" s="407">
        <v>1.0000000000000001E-5</v>
      </c>
      <c r="U33" s="407">
        <v>1.0000000000000001E-5</v>
      </c>
      <c r="V33" s="407">
        <v>1.0000000000000001E-5</v>
      </c>
      <c r="W33" s="407">
        <v>1.0000000000000001E-5</v>
      </c>
      <c r="X33" s="407">
        <v>1.0000000000000001E-5</v>
      </c>
      <c r="Y33" s="407">
        <v>1.0000000000000001E-5</v>
      </c>
      <c r="Z33" s="407">
        <v>1.0000000000000001E-5</v>
      </c>
      <c r="AA33" s="407">
        <v>1.0000000000000001E-5</v>
      </c>
      <c r="AB33" s="407">
        <v>1.0000000000000001E-5</v>
      </c>
      <c r="AC33" s="407">
        <v>1.0000000000000001E-5</v>
      </c>
      <c r="AD33" s="407">
        <v>1.0000000000000001E-5</v>
      </c>
      <c r="AE33" s="407">
        <v>1.0000000000000001E-5</v>
      </c>
      <c r="AF33" s="407">
        <v>1.0000000000000001E-5</v>
      </c>
      <c r="AG33" s="407">
        <v>1.0000000000000001E-5</v>
      </c>
      <c r="AH33" s="407">
        <v>1.0000000000000001E-5</v>
      </c>
      <c r="AI33" s="407">
        <v>1.0000000000000001E-5</v>
      </c>
      <c r="AJ33" s="407">
        <v>1.0000000000000001E-5</v>
      </c>
      <c r="AK33"/>
    </row>
    <row r="34" spans="1:39" s="18" customFormat="1">
      <c r="A34" s="17" t="s">
        <v>658</v>
      </c>
      <c r="B34"/>
      <c r="C34"/>
      <c r="D34"/>
      <c r="E34"/>
      <c r="F34"/>
      <c r="G34" s="433">
        <v>1.0000000000000001E-5</v>
      </c>
      <c r="H34" s="433">
        <v>1.0000000000000001E-5</v>
      </c>
      <c r="I34" s="433">
        <v>1.0000000000000001E-5</v>
      </c>
      <c r="J34" s="433">
        <v>1.0000000000000001E-5</v>
      </c>
      <c r="K34" s="433">
        <v>1.0000000000000001E-5</v>
      </c>
      <c r="L34" s="433">
        <v>1.0000000000000001E-5</v>
      </c>
      <c r="M34" s="433">
        <v>1.0000000000000001E-5</v>
      </c>
      <c r="N34" s="433">
        <v>1.0000000000000001E-5</v>
      </c>
      <c r="O34" s="433">
        <v>1.0000000000000001E-5</v>
      </c>
      <c r="P34" s="433">
        <v>1.0000000000000001E-5</v>
      </c>
      <c r="Q34" s="433">
        <v>1.0000000000000001E-5</v>
      </c>
      <c r="R34" s="433">
        <v>1.0000000000000001E-5</v>
      </c>
      <c r="S34" s="433">
        <v>1.0000000000000001E-5</v>
      </c>
      <c r="T34" s="433">
        <v>1.0000000000000001E-5</v>
      </c>
      <c r="U34" s="433">
        <v>1.0000000000000001E-5</v>
      </c>
      <c r="V34" s="433">
        <v>1.0000000000000001E-5</v>
      </c>
      <c r="W34" s="433">
        <v>1.0000000000000001E-5</v>
      </c>
      <c r="X34" s="433">
        <v>1.0000000000000001E-5</v>
      </c>
      <c r="Y34" s="433">
        <v>1.0000000000000001E-5</v>
      </c>
      <c r="Z34" s="433">
        <v>1.0000000000000001E-5</v>
      </c>
      <c r="AA34" s="433">
        <v>1.0000000000000001E-5</v>
      </c>
      <c r="AB34" s="433">
        <v>1.0000000000000001E-5</v>
      </c>
      <c r="AC34" s="433">
        <v>1.0000000000000001E-5</v>
      </c>
      <c r="AD34" s="433">
        <v>1.0000000000000001E-5</v>
      </c>
      <c r="AE34" s="433">
        <v>1.0000000000000001E-5</v>
      </c>
      <c r="AF34" s="433">
        <v>1.0000000000000001E-5</v>
      </c>
      <c r="AG34" s="433">
        <v>1.0000000000000001E-5</v>
      </c>
      <c r="AH34" s="433">
        <v>1.0000000000000001E-5</v>
      </c>
      <c r="AI34" s="433">
        <v>1.0000000000000001E-5</v>
      </c>
      <c r="AJ34" s="433">
        <v>1.0000000000000001E-5</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659</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660</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658</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660</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658</v>
      </c>
      <c r="B54"/>
      <c r="C54"/>
      <c r="D54"/>
      <c r="E54"/>
      <c r="F54"/>
      <c r="G54" s="407">
        <v>1.0000000000000001E-5</v>
      </c>
      <c r="H54" s="407">
        <v>1.0000000000000001E-5</v>
      </c>
      <c r="I54" s="407">
        <v>1.0000000000000001E-5</v>
      </c>
      <c r="J54" s="407">
        <v>1.0000000000000001E-5</v>
      </c>
      <c r="K54" s="407">
        <v>1.0000000000000001E-5</v>
      </c>
      <c r="L54" s="407">
        <v>1.0000000000000001E-5</v>
      </c>
      <c r="M54" s="407">
        <v>1.0000000000000001E-5</v>
      </c>
      <c r="N54" s="407">
        <v>1.0000000000000001E-5</v>
      </c>
      <c r="O54" s="407">
        <v>1.0000000000000001E-5</v>
      </c>
      <c r="P54" s="407">
        <v>1.0000000000000001E-5</v>
      </c>
      <c r="Q54" s="407">
        <v>1.0000000000000001E-5</v>
      </c>
      <c r="R54" s="407">
        <v>1.0000000000000001E-5</v>
      </c>
      <c r="S54" s="407">
        <v>1.0000000000000001E-5</v>
      </c>
      <c r="T54" s="407">
        <v>1.0000000000000001E-5</v>
      </c>
      <c r="U54" s="407">
        <v>1.0000000000000001E-5</v>
      </c>
      <c r="V54" s="407">
        <v>1.0000000000000001E-5</v>
      </c>
      <c r="W54" s="407">
        <v>1.0000000000000001E-5</v>
      </c>
      <c r="X54" s="407">
        <v>1.0000000000000001E-5</v>
      </c>
      <c r="Y54" s="407">
        <v>1.0000000000000001E-5</v>
      </c>
      <c r="Z54" s="407">
        <v>1.0000000000000001E-5</v>
      </c>
      <c r="AA54" s="407">
        <v>1.0000000000000001E-5</v>
      </c>
      <c r="AB54" s="407">
        <v>1.0000000000000001E-5</v>
      </c>
      <c r="AC54" s="407">
        <v>1.0000000000000001E-5</v>
      </c>
      <c r="AD54" s="407">
        <v>1.0000000000000001E-5</v>
      </c>
      <c r="AE54" s="407">
        <v>1.0000000000000001E-5</v>
      </c>
      <c r="AF54" s="407">
        <v>1.0000000000000001E-5</v>
      </c>
      <c r="AG54" s="407">
        <v>1.0000000000000001E-5</v>
      </c>
      <c r="AH54" s="407">
        <v>1.0000000000000001E-5</v>
      </c>
      <c r="AI54" s="407">
        <v>1.0000000000000001E-5</v>
      </c>
      <c r="AJ54" s="407">
        <v>1.0000000000000001E-5</v>
      </c>
      <c r="AK54" s="411">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16" customFormat="1">
      <c r="A57" s="216"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16" customFormat="1">
      <c r="A58" s="215"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741</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737</v>
      </c>
      <c r="AM59" s="18" t="s">
        <v>753</v>
      </c>
    </row>
    <row r="60" spans="1:39">
      <c r="A60" s="409" t="s">
        <v>730</v>
      </c>
      <c r="G60" s="407">
        <v>162.222207</v>
      </c>
      <c r="H60" s="407">
        <v>152.48548299999999</v>
      </c>
      <c r="I60" s="407">
        <v>125.40522900000001</v>
      </c>
      <c r="J60" s="407">
        <v>128.07257099999998</v>
      </c>
      <c r="K60" s="407">
        <v>130.18250600000002</v>
      </c>
      <c r="L60" s="407">
        <v>132.48146199999999</v>
      </c>
      <c r="M60" s="407">
        <v>134.09786099999999</v>
      </c>
      <c r="N60" s="407">
        <v>133.52292499999999</v>
      </c>
      <c r="O60" s="407">
        <v>133.52296899999999</v>
      </c>
      <c r="P60" s="407">
        <v>133.52292499999999</v>
      </c>
      <c r="Q60" s="407">
        <v>134.21344500000001</v>
      </c>
      <c r="R60" s="407">
        <v>134.213401</v>
      </c>
      <c r="S60" s="407">
        <v>134.21338599999999</v>
      </c>
      <c r="T60" s="407">
        <v>134.21338599999999</v>
      </c>
      <c r="U60" s="407">
        <v>134.21338599999999</v>
      </c>
      <c r="V60" s="407">
        <v>134.21337</v>
      </c>
      <c r="W60" s="407">
        <v>134.21337</v>
      </c>
      <c r="X60" s="407">
        <v>134.21337</v>
      </c>
      <c r="Y60" s="407">
        <v>135.02405400000001</v>
      </c>
      <c r="Z60" s="407">
        <v>135.02405400000001</v>
      </c>
      <c r="AA60" s="407">
        <v>135.19994199999999</v>
      </c>
      <c r="AB60" s="407">
        <v>135.19994299999999</v>
      </c>
      <c r="AC60" s="407">
        <v>135.19994299999999</v>
      </c>
      <c r="AD60" s="407">
        <v>135.19994299999999</v>
      </c>
      <c r="AE60" s="407">
        <v>135.45874699999999</v>
      </c>
      <c r="AF60" s="407">
        <v>135.45879199999999</v>
      </c>
      <c r="AG60" s="407">
        <v>135.45876100000001</v>
      </c>
      <c r="AH60" s="407">
        <v>135.45871500000001</v>
      </c>
      <c r="AI60" s="407">
        <v>136.08383599999999</v>
      </c>
      <c r="AJ60" s="407">
        <v>136.083822</v>
      </c>
      <c r="AK60" s="411">
        <v>4.0000000000000001E-3</v>
      </c>
      <c r="AL60" s="416" t="s">
        <v>724</v>
      </c>
      <c r="AM60" s="29">
        <v>2.3581336847977523E-2</v>
      </c>
    </row>
    <row r="61" spans="1:39">
      <c r="A61" s="409" t="s">
        <v>731</v>
      </c>
      <c r="G61" s="407">
        <v>1.954</v>
      </c>
      <c r="H61" s="407">
        <v>2.032</v>
      </c>
      <c r="I61" s="407">
        <v>2.413675</v>
      </c>
      <c r="J61" s="407">
        <v>2.6329220000000002</v>
      </c>
      <c r="K61" s="407">
        <v>2.6329220000000002</v>
      </c>
      <c r="L61" s="407">
        <v>3.4325480000000002</v>
      </c>
      <c r="M61" s="407">
        <v>4.5954889999999997</v>
      </c>
      <c r="N61" s="407">
        <v>5.3565990000000001</v>
      </c>
      <c r="O61" s="407">
        <v>5.5484929999999997</v>
      </c>
      <c r="P61" s="407">
        <v>5.560594</v>
      </c>
      <c r="Q61" s="407">
        <v>5.9600369999999998</v>
      </c>
      <c r="R61" s="407">
        <v>6.6367599999999998</v>
      </c>
      <c r="S61" s="407">
        <v>7.4563009999999998</v>
      </c>
      <c r="T61" s="407">
        <v>8.3197150000000004</v>
      </c>
      <c r="U61" s="407">
        <v>9.0521349999999998</v>
      </c>
      <c r="V61" s="407">
        <v>9.9619129999999991</v>
      </c>
      <c r="W61" s="407">
        <v>10.783601000000001</v>
      </c>
      <c r="X61" s="407">
        <v>11.229082</v>
      </c>
      <c r="Y61" s="407">
        <v>11.334820000000001</v>
      </c>
      <c r="Z61" s="407">
        <v>11.75822</v>
      </c>
      <c r="AA61" s="407">
        <v>12.825797</v>
      </c>
      <c r="AB61" s="407">
        <v>14.55463</v>
      </c>
      <c r="AC61" s="407">
        <v>16.048373999999999</v>
      </c>
      <c r="AD61" s="407">
        <v>17.544751999999999</v>
      </c>
      <c r="AE61" s="407">
        <v>17.955031999999999</v>
      </c>
      <c r="AF61" s="407">
        <v>18.306678999999999</v>
      </c>
      <c r="AG61" s="407">
        <v>18.575586000000001</v>
      </c>
      <c r="AH61" s="407">
        <v>18.999571</v>
      </c>
      <c r="AI61" s="407">
        <v>19.477578999999999</v>
      </c>
      <c r="AJ61" s="407">
        <v>19.535769999999999</v>
      </c>
      <c r="AK61" s="407" t="s">
        <v>41</v>
      </c>
      <c r="AL61" s="416" t="s">
        <v>725</v>
      </c>
      <c r="AM61" s="29">
        <v>7.3080481111119908E-2</v>
      </c>
    </row>
    <row r="62" spans="1:39">
      <c r="A62" s="409" t="s">
        <v>732</v>
      </c>
      <c r="G62" s="407">
        <v>0.62751400000000002</v>
      </c>
      <c r="H62" s="407">
        <v>0.73646300000000009</v>
      </c>
      <c r="I62" s="407">
        <v>0.87872300000000003</v>
      </c>
      <c r="J62" s="407">
        <v>0.78539499999999995</v>
      </c>
      <c r="K62" s="407">
        <v>0.87771600000000005</v>
      </c>
      <c r="L62" s="407">
        <v>0.78533600000000003</v>
      </c>
      <c r="M62" s="407">
        <v>0.87237699999999996</v>
      </c>
      <c r="N62" s="407">
        <v>0.68582600000000005</v>
      </c>
      <c r="O62" s="407">
        <v>0.88579399999999997</v>
      </c>
      <c r="P62" s="407">
        <v>0.97640300000000002</v>
      </c>
      <c r="Q62" s="407">
        <v>0.88587199999999999</v>
      </c>
      <c r="R62" s="407">
        <v>0.78643700000000005</v>
      </c>
      <c r="S62" s="407">
        <v>0.87707999999999997</v>
      </c>
      <c r="T62" s="407">
        <v>0.97947099999999998</v>
      </c>
      <c r="U62" s="407">
        <v>0.78452100000000002</v>
      </c>
      <c r="V62" s="407">
        <v>0.87380000000000002</v>
      </c>
      <c r="W62" s="407">
        <v>0.87334900000000004</v>
      </c>
      <c r="X62" s="407">
        <v>0.88547699999999996</v>
      </c>
      <c r="Y62" s="407">
        <v>0.77254599999999995</v>
      </c>
      <c r="Z62" s="407">
        <v>0.77651499999999996</v>
      </c>
      <c r="AA62" s="407">
        <v>0.87795400000000001</v>
      </c>
      <c r="AB62" s="407">
        <v>0.77105699999999999</v>
      </c>
      <c r="AC62" s="407">
        <v>0.87198399999999998</v>
      </c>
      <c r="AD62" s="407">
        <v>0.87318600000000002</v>
      </c>
      <c r="AE62" s="407">
        <v>0.769343</v>
      </c>
      <c r="AF62" s="407">
        <v>0.87090699999999999</v>
      </c>
      <c r="AG62" s="407">
        <v>0.76851599999999998</v>
      </c>
      <c r="AH62" s="407">
        <v>0.76966100000000004</v>
      </c>
      <c r="AI62" s="407">
        <v>0.76929400000000003</v>
      </c>
      <c r="AJ62" s="407">
        <v>0.78509700000000004</v>
      </c>
      <c r="AK62" s="411">
        <v>4.0000000000000001E-3</v>
      </c>
      <c r="AL62" s="416" t="s">
        <v>726</v>
      </c>
      <c r="AM62" s="29">
        <v>0</v>
      </c>
    </row>
    <row r="63" spans="1:39">
      <c r="A63" s="409" t="s">
        <v>733</v>
      </c>
      <c r="G63" s="407">
        <v>2.6048960000000001</v>
      </c>
      <c r="H63" s="407">
        <v>2.52163</v>
      </c>
      <c r="I63" s="407">
        <v>2.4783379999999999</v>
      </c>
      <c r="J63" s="407">
        <v>2.6484580000000002</v>
      </c>
      <c r="K63" s="407">
        <v>2.6254789999999999</v>
      </c>
      <c r="L63" s="407">
        <v>2.8440859999999999</v>
      </c>
      <c r="M63" s="407">
        <v>3.1130679999999997</v>
      </c>
      <c r="N63" s="407">
        <v>3.8038400000000001</v>
      </c>
      <c r="O63" s="407">
        <v>4.2440170000000004</v>
      </c>
      <c r="P63" s="407">
        <v>4.3191180000000005</v>
      </c>
      <c r="Q63" s="407">
        <v>4.5315149999999997</v>
      </c>
      <c r="R63" s="407">
        <v>4.6377730000000001</v>
      </c>
      <c r="S63" s="407">
        <v>4.7140420000000001</v>
      </c>
      <c r="T63" s="407">
        <v>4.871772</v>
      </c>
      <c r="U63" s="407">
        <v>4.9320510000000004</v>
      </c>
      <c r="V63" s="407">
        <v>5.2148560000000002</v>
      </c>
      <c r="W63" s="407">
        <v>5.3218880000000004</v>
      </c>
      <c r="X63" s="407">
        <v>5.3656499999999996</v>
      </c>
      <c r="Y63" s="407">
        <v>5.4569849999999995</v>
      </c>
      <c r="Z63" s="407">
        <v>5.5342459999999996</v>
      </c>
      <c r="AA63" s="407">
        <v>5.6304229999999995</v>
      </c>
      <c r="AB63" s="407">
        <v>5.9599130000000002</v>
      </c>
      <c r="AC63" s="407">
        <v>6.0681560000000001</v>
      </c>
      <c r="AD63" s="407">
        <v>6.2059850000000001</v>
      </c>
      <c r="AE63" s="407">
        <v>6.3535629999999994</v>
      </c>
      <c r="AF63" s="407">
        <v>6.488855</v>
      </c>
      <c r="AG63" s="407">
        <v>6.7667320000000002</v>
      </c>
      <c r="AH63" s="407">
        <v>6.910914</v>
      </c>
      <c r="AI63" s="407">
        <v>7.0930579999999992</v>
      </c>
      <c r="AJ63" s="407">
        <v>7.2849589999999997</v>
      </c>
      <c r="AK63" s="411">
        <v>1.7999999999999999E-2</v>
      </c>
      <c r="AL63" s="416" t="s">
        <v>143</v>
      </c>
      <c r="AM63" s="29">
        <v>2.6847180133672412E-2</v>
      </c>
    </row>
    <row r="64" spans="1:39">
      <c r="A64" s="409" t="s">
        <v>734</v>
      </c>
      <c r="G64" s="407">
        <v>0.51155100000000009</v>
      </c>
      <c r="H64" s="407">
        <v>0.82118500000000005</v>
      </c>
      <c r="I64" s="407">
        <v>1.023638</v>
      </c>
      <c r="J64" s="407">
        <v>1.1740429999999999</v>
      </c>
      <c r="K64" s="407">
        <v>1.3337669999999999</v>
      </c>
      <c r="L64" s="407">
        <v>1.4866929999999998</v>
      </c>
      <c r="M64" s="407">
        <v>1.5023340000000001</v>
      </c>
      <c r="N64" s="407">
        <v>1.520192</v>
      </c>
      <c r="O64" s="407">
        <v>1.5423739999999999</v>
      </c>
      <c r="P64" s="407">
        <v>1.570133</v>
      </c>
      <c r="Q64" s="407">
        <v>1.600212</v>
      </c>
      <c r="R64" s="407">
        <v>1.6359220000000001</v>
      </c>
      <c r="S64" s="407">
        <v>1.6757070000000001</v>
      </c>
      <c r="T64" s="407">
        <v>1.7184810000000001</v>
      </c>
      <c r="U64" s="407">
        <v>1.7902469999999999</v>
      </c>
      <c r="V64" s="407">
        <v>1.88171</v>
      </c>
      <c r="W64" s="407">
        <v>1.9504509999999999</v>
      </c>
      <c r="X64" s="407">
        <v>2.0058949999999998</v>
      </c>
      <c r="Y64" s="407">
        <v>2.0631339999999998</v>
      </c>
      <c r="Z64" s="407">
        <v>2.1304449999999999</v>
      </c>
      <c r="AA64" s="407">
        <v>2.201117</v>
      </c>
      <c r="AB64" s="407">
        <v>2.2741250000000002</v>
      </c>
      <c r="AC64" s="407">
        <v>2.3493219999999999</v>
      </c>
      <c r="AD64" s="407">
        <v>2.531155</v>
      </c>
      <c r="AE64" s="407">
        <v>2.8220130000000001</v>
      </c>
      <c r="AF64" s="407">
        <v>2.9991880000000002</v>
      </c>
      <c r="AG64" s="407">
        <v>3.0883640000000003</v>
      </c>
      <c r="AH64" s="407">
        <v>3.1784090000000003</v>
      </c>
      <c r="AI64" s="407">
        <v>3.26749</v>
      </c>
      <c r="AJ64" s="407">
        <v>3.358225</v>
      </c>
      <c r="AK64" s="411">
        <v>7.0000000000000007E-2</v>
      </c>
      <c r="AL64" s="416" t="s">
        <v>727</v>
      </c>
      <c r="AM64" s="29">
        <v>0.18487803103347425</v>
      </c>
    </row>
    <row r="65" spans="1:44">
      <c r="A65" s="409" t="s">
        <v>735</v>
      </c>
      <c r="G65" s="407">
        <v>24.002312999999997</v>
      </c>
      <c r="H65" s="407">
        <v>27.39631</v>
      </c>
      <c r="I65" s="407">
        <v>32.237394999999999</v>
      </c>
      <c r="J65" s="407">
        <v>32.337364999999998</v>
      </c>
      <c r="K65" s="407">
        <v>34.599170000000001</v>
      </c>
      <c r="L65" s="407">
        <v>35.894435999999999</v>
      </c>
      <c r="M65" s="407">
        <v>35.896509999999999</v>
      </c>
      <c r="N65" s="407">
        <v>35.895630000000004</v>
      </c>
      <c r="O65" s="407">
        <v>35.893549</v>
      </c>
      <c r="P65" s="407">
        <v>35.892992</v>
      </c>
      <c r="Q65" s="407">
        <v>35.892755999999999</v>
      </c>
      <c r="R65" s="407">
        <v>35.904451000000002</v>
      </c>
      <c r="S65" s="407">
        <v>35.896577000000001</v>
      </c>
      <c r="T65" s="407">
        <v>35.895961</v>
      </c>
      <c r="U65" s="407">
        <v>35.930641000000001</v>
      </c>
      <c r="V65" s="407">
        <v>35.984830000000002</v>
      </c>
      <c r="W65" s="407">
        <v>36.036448</v>
      </c>
      <c r="X65" s="407">
        <v>36.060358000000001</v>
      </c>
      <c r="Y65" s="407">
        <v>36.069782000000004</v>
      </c>
      <c r="Z65" s="407">
        <v>36.112904</v>
      </c>
      <c r="AA65" s="407">
        <v>36.165244000000001</v>
      </c>
      <c r="AB65" s="407">
        <v>36.21696</v>
      </c>
      <c r="AC65" s="407">
        <v>36.271877000000003</v>
      </c>
      <c r="AD65" s="407">
        <v>36.501784999999998</v>
      </c>
      <c r="AE65" s="407">
        <v>36.661152000000001</v>
      </c>
      <c r="AF65" s="407">
        <v>39.680852000000002</v>
      </c>
      <c r="AG65" s="407">
        <v>43.158693999999997</v>
      </c>
      <c r="AH65" s="407">
        <v>44.111682000000002</v>
      </c>
      <c r="AI65" s="407">
        <v>44.450904999999999</v>
      </c>
      <c r="AJ65" s="407">
        <v>45.045570999999995</v>
      </c>
      <c r="AK65" s="411">
        <v>7.2999999999999995E-2</v>
      </c>
      <c r="AL65" s="416" t="s">
        <v>728</v>
      </c>
      <c r="AM65" s="29">
        <v>1E-3</v>
      </c>
    </row>
    <row r="66" spans="1:44">
      <c r="A66" s="410" t="s">
        <v>736</v>
      </c>
      <c r="G66" s="408">
        <v>191.92247999999998</v>
      </c>
      <c r="H66" s="408">
        <v>185.99306099999998</v>
      </c>
      <c r="I66" s="408">
        <v>164.43701299999998</v>
      </c>
      <c r="J66" s="408">
        <v>167.650746</v>
      </c>
      <c r="K66" s="408">
        <v>172.25156000000001</v>
      </c>
      <c r="L66" s="408">
        <v>176.92456099999998</v>
      </c>
      <c r="M66" s="408">
        <v>180.07764299999999</v>
      </c>
      <c r="N66" s="408">
        <v>180.78501900000001</v>
      </c>
      <c r="O66" s="408">
        <v>181.63718800000001</v>
      </c>
      <c r="P66" s="408">
        <v>181.842163</v>
      </c>
      <c r="Q66" s="408">
        <v>183.08384800000002</v>
      </c>
      <c r="R66" s="408">
        <v>183.81473399999999</v>
      </c>
      <c r="S66" s="408">
        <v>184.83309299999999</v>
      </c>
      <c r="T66" s="408">
        <v>185.998785</v>
      </c>
      <c r="U66" s="408">
        <v>186.70298000000003</v>
      </c>
      <c r="V66" s="408">
        <v>188.13050100000001</v>
      </c>
      <c r="W66" s="408">
        <v>189.17910799999999</v>
      </c>
      <c r="X66" s="408">
        <v>189.75981899999999</v>
      </c>
      <c r="Y66" s="408">
        <v>190.72131400000001</v>
      </c>
      <c r="Z66" s="408">
        <v>191.33638099999999</v>
      </c>
      <c r="AA66" s="408">
        <v>192.900475</v>
      </c>
      <c r="AB66" s="408">
        <v>194.97661799999997</v>
      </c>
      <c r="AC66" s="408">
        <v>196.80967899999999</v>
      </c>
      <c r="AD66" s="408">
        <v>198.85680199999999</v>
      </c>
      <c r="AE66" s="408">
        <v>200.019869</v>
      </c>
      <c r="AF66" s="408">
        <v>203.805263</v>
      </c>
      <c r="AG66" s="408">
        <v>207.81667400000001</v>
      </c>
      <c r="AH66" s="408">
        <v>209.428957</v>
      </c>
      <c r="AI66" s="408">
        <v>211.14216999999999</v>
      </c>
      <c r="AJ66" s="408">
        <v>212.093433</v>
      </c>
      <c r="AK66" s="412">
        <v>2.1999999999999999E-2</v>
      </c>
      <c r="AL66" s="416" t="s">
        <v>729</v>
      </c>
      <c r="AM66" s="29">
        <v>6.575342465753424E-2</v>
      </c>
    </row>
    <row r="67" spans="1:44">
      <c r="A67" s="418"/>
      <c r="B67"/>
      <c r="C67"/>
      <c r="D67"/>
      <c r="E67"/>
      <c r="F67"/>
      <c r="G67"/>
      <c r="H67"/>
      <c r="I67"/>
      <c r="J67"/>
      <c r="K67"/>
      <c r="L67"/>
      <c r="M67"/>
      <c r="N67"/>
      <c r="O67"/>
      <c r="P67"/>
      <c r="Q67"/>
      <c r="R67"/>
      <c r="S67"/>
      <c r="T67"/>
      <c r="U67"/>
      <c r="V67"/>
      <c r="W67"/>
      <c r="X67"/>
      <c r="Y67"/>
      <c r="Z67"/>
      <c r="AA67"/>
      <c r="AB67"/>
      <c r="AC67"/>
      <c r="AD67"/>
      <c r="AE67"/>
      <c r="AF67"/>
      <c r="AG67"/>
      <c r="AH67"/>
      <c r="AI67"/>
      <c r="AJ67"/>
      <c r="AK67"/>
      <c r="AL67" s="417" t="s">
        <v>58</v>
      </c>
      <c r="AM67" s="29">
        <v>7.0750672437128737E-2</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379"/>
      <c r="C69" s="379"/>
      <c r="D69" s="379"/>
      <c r="E69" s="379"/>
      <c r="F69" s="379"/>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3"/>
    </row>
    <row r="70" spans="1:44" s="90" customFormat="1">
      <c r="B70" s="380" t="s">
        <v>7</v>
      </c>
      <c r="C70" s="380" t="s">
        <v>8</v>
      </c>
      <c r="D70" s="380" t="s">
        <v>9</v>
      </c>
      <c r="E70" s="380" t="s">
        <v>10</v>
      </c>
      <c r="F70" s="380" t="s">
        <v>11</v>
      </c>
      <c r="G70" s="284" t="s">
        <v>12</v>
      </c>
      <c r="H70" s="284" t="s">
        <v>13</v>
      </c>
      <c r="I70" s="284" t="s">
        <v>14</v>
      </c>
      <c r="J70" s="284" t="s">
        <v>15</v>
      </c>
      <c r="K70" s="284" t="s">
        <v>16</v>
      </c>
      <c r="L70" s="284" t="s">
        <v>17</v>
      </c>
      <c r="M70" s="284" t="s">
        <v>18</v>
      </c>
      <c r="N70" s="284" t="s">
        <v>19</v>
      </c>
      <c r="O70" s="284" t="s">
        <v>20</v>
      </c>
      <c r="P70" s="284" t="s">
        <v>21</v>
      </c>
      <c r="Q70" s="284" t="s">
        <v>22</v>
      </c>
      <c r="R70" s="284" t="s">
        <v>23</v>
      </c>
      <c r="S70" s="284" t="s">
        <v>24</v>
      </c>
      <c r="T70" s="284" t="s">
        <v>25</v>
      </c>
      <c r="U70" s="284" t="s">
        <v>26</v>
      </c>
      <c r="V70" s="284" t="s">
        <v>27</v>
      </c>
      <c r="W70" s="284" t="s">
        <v>28</v>
      </c>
      <c r="X70" s="284" t="s">
        <v>29</v>
      </c>
      <c r="Y70" s="284" t="s">
        <v>30</v>
      </c>
      <c r="Z70" s="284" t="s">
        <v>31</v>
      </c>
      <c r="AA70" s="284" t="s">
        <v>578</v>
      </c>
      <c r="AB70" s="284" t="s">
        <v>579</v>
      </c>
      <c r="AC70" s="284" t="s">
        <v>580</v>
      </c>
      <c r="AD70" s="284" t="s">
        <v>581</v>
      </c>
      <c r="AE70" s="284" t="s">
        <v>582</v>
      </c>
      <c r="AF70" s="284" t="s">
        <v>583</v>
      </c>
      <c r="AG70" s="284" t="s">
        <v>584</v>
      </c>
      <c r="AH70" s="284" t="s">
        <v>585</v>
      </c>
      <c r="AI70" s="284" t="s">
        <v>586</v>
      </c>
      <c r="AJ70" s="284" t="s">
        <v>587</v>
      </c>
      <c r="AK70" s="284" t="s">
        <v>590</v>
      </c>
      <c r="AM70" s="90" t="s">
        <v>747</v>
      </c>
      <c r="AN70" s="90">
        <v>2006</v>
      </c>
      <c r="AO70" s="90">
        <v>2007</v>
      </c>
      <c r="AP70" s="90">
        <v>2008</v>
      </c>
      <c r="AQ70" s="90">
        <v>2009</v>
      </c>
      <c r="AR70" s="90">
        <v>2010</v>
      </c>
    </row>
    <row r="71" spans="1:44">
      <c r="B71" s="378"/>
      <c r="C71" s="378"/>
      <c r="D71" s="378"/>
      <c r="E71" s="378"/>
      <c r="F71" s="378"/>
    </row>
    <row r="72" spans="1:44" s="18" customFormat="1">
      <c r="A72" s="17" t="s">
        <v>55</v>
      </c>
      <c r="B72" s="381"/>
      <c r="C72" s="381"/>
      <c r="D72" s="381"/>
      <c r="E72" s="381"/>
      <c r="F72" s="381"/>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M72" s="18" t="s">
        <v>724</v>
      </c>
      <c r="AN72" s="18">
        <v>0</v>
      </c>
      <c r="AO72" s="18">
        <v>0</v>
      </c>
      <c r="AP72" s="18">
        <v>8.5999999999999993E-2</v>
      </c>
      <c r="AQ72" s="18">
        <v>7.5999999999999998E-2</v>
      </c>
      <c r="AR72" s="18">
        <v>7.1999999999999995E-2</v>
      </c>
    </row>
    <row r="73" spans="1:44" s="18" customFormat="1">
      <c r="A73" s="17" t="s">
        <v>49</v>
      </c>
      <c r="B73" s="399">
        <f>AN73</f>
        <v>11.242000000000001</v>
      </c>
      <c r="C73" s="399">
        <f t="shared" ref="C73:F73" si="0">AO73</f>
        <v>9.0220000000000002</v>
      </c>
      <c r="D73" s="399">
        <f t="shared" si="0"/>
        <v>9.3629999999999995</v>
      </c>
      <c r="E73" s="399">
        <f t="shared" si="0"/>
        <v>10.433999999999999</v>
      </c>
      <c r="F73" s="399">
        <f t="shared" si="0"/>
        <v>9.1539999999999999</v>
      </c>
      <c r="G73" s="392">
        <f t="shared" ref="G73:AJ73" si="1">G60*$AM61</f>
        <v>11.855276934467684</v>
      </c>
      <c r="H73" s="392">
        <f t="shared" si="1"/>
        <v>11.143712460101495</v>
      </c>
      <c r="I73" s="392">
        <f t="shared" si="1"/>
        <v>9.1646744691701674</v>
      </c>
      <c r="J73" s="392">
        <f t="shared" si="1"/>
        <v>9.359605105818062</v>
      </c>
      <c r="K73" s="392">
        <f t="shared" si="1"/>
        <v>9.5138001707312547</v>
      </c>
      <c r="L73" s="392">
        <f t="shared" si="1"/>
        <v>9.6818089812645489</v>
      </c>
      <c r="M73" s="392">
        <f t="shared" si="1"/>
        <v>9.799936197852082</v>
      </c>
      <c r="N73" s="392">
        <f t="shared" si="1"/>
        <v>9.7579195983639799</v>
      </c>
      <c r="O73" s="392">
        <f t="shared" si="1"/>
        <v>9.7579228139051484</v>
      </c>
      <c r="P73" s="392">
        <f t="shared" si="1"/>
        <v>9.7579195983639799</v>
      </c>
      <c r="Q73" s="392">
        <f t="shared" si="1"/>
        <v>9.8083831321808308</v>
      </c>
      <c r="R73" s="392">
        <f t="shared" si="1"/>
        <v>9.8083799166396624</v>
      </c>
      <c r="S73" s="392">
        <f t="shared" si="1"/>
        <v>9.8083788204324431</v>
      </c>
      <c r="T73" s="392">
        <f t="shared" si="1"/>
        <v>9.8083788204324431</v>
      </c>
      <c r="U73" s="392">
        <f t="shared" si="1"/>
        <v>9.8083788204324431</v>
      </c>
      <c r="V73" s="392">
        <f t="shared" si="1"/>
        <v>9.8083776511447471</v>
      </c>
      <c r="W73" s="392">
        <f t="shared" si="1"/>
        <v>9.8083776511447471</v>
      </c>
      <c r="X73" s="392">
        <f t="shared" si="1"/>
        <v>9.8083776511447471</v>
      </c>
      <c r="Y73" s="392">
        <f t="shared" si="1"/>
        <v>9.8676228278938343</v>
      </c>
      <c r="Z73" s="392">
        <f t="shared" si="1"/>
        <v>9.8676228278938343</v>
      </c>
      <c r="AA73" s="392">
        <f t="shared" si="1"/>
        <v>9.8804768075555067</v>
      </c>
      <c r="AB73" s="392">
        <f t="shared" si="1"/>
        <v>9.8804768806359871</v>
      </c>
      <c r="AC73" s="392">
        <f t="shared" si="1"/>
        <v>9.8804768806359871</v>
      </c>
      <c r="AD73" s="392">
        <f t="shared" si="1"/>
        <v>9.8804768806359871</v>
      </c>
      <c r="AE73" s="392">
        <f t="shared" si="1"/>
        <v>9.8993904014694696</v>
      </c>
      <c r="AF73" s="392">
        <f t="shared" si="1"/>
        <v>9.8993936900911201</v>
      </c>
      <c r="AG73" s="392">
        <f t="shared" si="1"/>
        <v>9.8993914245962067</v>
      </c>
      <c r="AH73" s="392">
        <f t="shared" si="1"/>
        <v>9.8993880628940758</v>
      </c>
      <c r="AI73" s="392">
        <f t="shared" si="1"/>
        <v>9.9450722063267385</v>
      </c>
      <c r="AJ73" s="392">
        <f t="shared" si="1"/>
        <v>9.9450711832000032</v>
      </c>
      <c r="AK73" s="393"/>
      <c r="AM73" s="18" t="s">
        <v>725</v>
      </c>
      <c r="AN73" s="18">
        <v>11.242000000000001</v>
      </c>
      <c r="AO73" s="18">
        <v>9.0220000000000002</v>
      </c>
      <c r="AP73" s="18">
        <v>9.3629999999999995</v>
      </c>
      <c r="AQ73" s="18">
        <v>10.433999999999999</v>
      </c>
      <c r="AR73" s="18">
        <v>9.1539999999999999</v>
      </c>
    </row>
    <row r="74" spans="1:44" s="18" customFormat="1">
      <c r="A74" s="17" t="s">
        <v>50</v>
      </c>
      <c r="B74" s="399">
        <f>AN72</f>
        <v>0</v>
      </c>
      <c r="C74" s="399">
        <f t="shared" ref="C74:F74" si="2">AO72</f>
        <v>0</v>
      </c>
      <c r="D74" s="399">
        <f t="shared" si="2"/>
        <v>8.5999999999999993E-2</v>
      </c>
      <c r="E74" s="399">
        <f t="shared" si="2"/>
        <v>7.5999999999999998E-2</v>
      </c>
      <c r="F74" s="399">
        <f t="shared" si="2"/>
        <v>7.1999999999999995E-2</v>
      </c>
      <c r="G74" s="392">
        <f t="shared" ref="G74:AJ74" si="3">G61*$AM60</f>
        <v>4.607793220094808E-2</v>
      </c>
      <c r="H74" s="392">
        <f t="shared" si="3"/>
        <v>4.791727647509033E-2</v>
      </c>
      <c r="I74" s="392">
        <f t="shared" si="3"/>
        <v>5.6917683216542149E-2</v>
      </c>
      <c r="J74" s="392">
        <f t="shared" si="3"/>
        <v>6.2087820576450681E-2</v>
      </c>
      <c r="K74" s="392">
        <f t="shared" si="3"/>
        <v>6.2087820576450681E-2</v>
      </c>
      <c r="L74" s="392">
        <f t="shared" si="3"/>
        <v>8.0944070634851553E-2</v>
      </c>
      <c r="M74" s="392">
        <f t="shared" si="3"/>
        <v>0.10836777409017537</v>
      </c>
      <c r="N74" s="392">
        <f t="shared" si="3"/>
        <v>0.12631576537853956</v>
      </c>
      <c r="O74" s="392">
        <f t="shared" si="3"/>
        <v>0.13084088243164535</v>
      </c>
      <c r="P74" s="392">
        <f t="shared" si="3"/>
        <v>0.13112624018884272</v>
      </c>
      <c r="Q74" s="392">
        <f t="shared" si="3"/>
        <v>0.14054564012340939</v>
      </c>
      <c r="R74" s="392">
        <f t="shared" si="3"/>
        <v>0.15650367313918329</v>
      </c>
      <c r="S74" s="392">
        <f t="shared" si="3"/>
        <v>0.17582954552091165</v>
      </c>
      <c r="T74" s="392">
        <f t="shared" si="3"/>
        <v>0.19619000189417132</v>
      </c>
      <c r="U74" s="392">
        <f t="shared" si="3"/>
        <v>0.213461444628367</v>
      </c>
      <c r="V74" s="392">
        <f t="shared" si="3"/>
        <v>0.23491522610324628</v>
      </c>
      <c r="W74" s="392">
        <f t="shared" si="3"/>
        <v>0.25429172761518726</v>
      </c>
      <c r="X74" s="392">
        <f t="shared" si="3"/>
        <v>0.26479676513556116</v>
      </c>
      <c r="Y74" s="392">
        <f t="shared" si="3"/>
        <v>0.26729020853119262</v>
      </c>
      <c r="Z74" s="392">
        <f t="shared" si="3"/>
        <v>0.27727454655262629</v>
      </c>
      <c r="AA74" s="392">
        <f t="shared" si="3"/>
        <v>0.30244943940077956</v>
      </c>
      <c r="AB74" s="392">
        <f t="shared" si="3"/>
        <v>0.34321763272767908</v>
      </c>
      <c r="AC74" s="392">
        <f t="shared" si="3"/>
        <v>0.37844211315632442</v>
      </c>
      <c r="AD74" s="392">
        <f t="shared" si="3"/>
        <v>0.41372870682622731</v>
      </c>
      <c r="AE74" s="392">
        <f t="shared" si="3"/>
        <v>0.42340365770821553</v>
      </c>
      <c r="AF74" s="392">
        <f t="shared" si="3"/>
        <v>0.43169596406679628</v>
      </c>
      <c r="AG74" s="392">
        <f t="shared" si="3"/>
        <v>0.43803715061457543</v>
      </c>
      <c r="AH74" s="392">
        <f t="shared" si="3"/>
        <v>0.44803528371806517</v>
      </c>
      <c r="AI74" s="392">
        <f t="shared" si="3"/>
        <v>0.45930735138209317</v>
      </c>
      <c r="AJ74" s="392">
        <f t="shared" si="3"/>
        <v>0.46067957295461381</v>
      </c>
      <c r="AK74" s="393"/>
      <c r="AM74" s="18" t="s">
        <v>726</v>
      </c>
      <c r="AN74" s="18">
        <v>0</v>
      </c>
      <c r="AO74" s="18">
        <v>0</v>
      </c>
      <c r="AP74" s="18">
        <v>0</v>
      </c>
      <c r="AQ74" s="18">
        <v>0</v>
      </c>
      <c r="AR74" s="18">
        <v>0</v>
      </c>
    </row>
    <row r="75" spans="1:44" s="18" customFormat="1">
      <c r="A75" s="17" t="s">
        <v>51</v>
      </c>
      <c r="B75" s="399">
        <f>AN77</f>
        <v>0</v>
      </c>
      <c r="C75" s="399">
        <f t="shared" ref="C75:F75" si="4">AO77</f>
        <v>0</v>
      </c>
      <c r="D75" s="399">
        <f t="shared" si="4"/>
        <v>0</v>
      </c>
      <c r="E75" s="399">
        <f t="shared" si="4"/>
        <v>0</v>
      </c>
      <c r="F75" s="399">
        <f t="shared" si="4"/>
        <v>0</v>
      </c>
      <c r="G75" s="392">
        <f t="shared" ref="G75:AJ75" si="5">G62*$AM65</f>
        <v>6.2751400000000002E-4</v>
      </c>
      <c r="H75" s="392">
        <f t="shared" si="5"/>
        <v>7.3646300000000013E-4</v>
      </c>
      <c r="I75" s="392">
        <f t="shared" si="5"/>
        <v>8.7872300000000009E-4</v>
      </c>
      <c r="J75" s="392">
        <f t="shared" si="5"/>
        <v>7.8539499999999993E-4</v>
      </c>
      <c r="K75" s="392">
        <f t="shared" si="5"/>
        <v>8.7771600000000006E-4</v>
      </c>
      <c r="L75" s="392">
        <f t="shared" si="5"/>
        <v>7.8533600000000009E-4</v>
      </c>
      <c r="M75" s="392">
        <f t="shared" si="5"/>
        <v>8.7237700000000003E-4</v>
      </c>
      <c r="N75" s="392">
        <f t="shared" si="5"/>
        <v>6.8582600000000006E-4</v>
      </c>
      <c r="O75" s="392">
        <f t="shared" si="5"/>
        <v>8.8579399999999997E-4</v>
      </c>
      <c r="P75" s="392">
        <f t="shared" si="5"/>
        <v>9.7640300000000004E-4</v>
      </c>
      <c r="Q75" s="392">
        <f t="shared" si="5"/>
        <v>8.85872E-4</v>
      </c>
      <c r="R75" s="392">
        <f t="shared" si="5"/>
        <v>7.8643700000000007E-4</v>
      </c>
      <c r="S75" s="392">
        <f t="shared" si="5"/>
        <v>8.7708000000000003E-4</v>
      </c>
      <c r="T75" s="392">
        <f t="shared" si="5"/>
        <v>9.7947099999999999E-4</v>
      </c>
      <c r="U75" s="392">
        <f t="shared" si="5"/>
        <v>7.8452100000000005E-4</v>
      </c>
      <c r="V75" s="392">
        <f t="shared" si="5"/>
        <v>8.7379999999999999E-4</v>
      </c>
      <c r="W75" s="392">
        <f t="shared" si="5"/>
        <v>8.7334900000000004E-4</v>
      </c>
      <c r="X75" s="392">
        <f t="shared" si="5"/>
        <v>8.8547699999999997E-4</v>
      </c>
      <c r="Y75" s="392">
        <f t="shared" si="5"/>
        <v>7.7254599999999993E-4</v>
      </c>
      <c r="Z75" s="392">
        <f t="shared" si="5"/>
        <v>7.7651499999999997E-4</v>
      </c>
      <c r="AA75" s="392">
        <f t="shared" si="5"/>
        <v>8.7795400000000002E-4</v>
      </c>
      <c r="AB75" s="392">
        <f t="shared" si="5"/>
        <v>7.7105700000000001E-4</v>
      </c>
      <c r="AC75" s="392">
        <f t="shared" si="5"/>
        <v>8.7198400000000002E-4</v>
      </c>
      <c r="AD75" s="392">
        <f t="shared" si="5"/>
        <v>8.7318600000000008E-4</v>
      </c>
      <c r="AE75" s="392">
        <f t="shared" si="5"/>
        <v>7.6934300000000002E-4</v>
      </c>
      <c r="AF75" s="392">
        <f t="shared" si="5"/>
        <v>8.7090699999999997E-4</v>
      </c>
      <c r="AG75" s="392">
        <f t="shared" si="5"/>
        <v>7.6851600000000001E-4</v>
      </c>
      <c r="AH75" s="392">
        <f t="shared" si="5"/>
        <v>7.6966100000000004E-4</v>
      </c>
      <c r="AI75" s="392">
        <f t="shared" si="5"/>
        <v>7.6929400000000001E-4</v>
      </c>
      <c r="AJ75" s="392">
        <f t="shared" si="5"/>
        <v>7.8509700000000001E-4</v>
      </c>
      <c r="AK75" s="393"/>
      <c r="AM75" s="18" t="s">
        <v>143</v>
      </c>
      <c r="AN75" s="18">
        <v>0.17</v>
      </c>
      <c r="AO75" s="18">
        <v>0.17199999999999999</v>
      </c>
      <c r="AP75" s="18">
        <v>0.20699999999999999</v>
      </c>
      <c r="AQ75" s="18">
        <v>0.313</v>
      </c>
      <c r="AR75" s="18">
        <v>0.441</v>
      </c>
    </row>
    <row r="76" spans="1:44" s="18" customFormat="1">
      <c r="A76" s="17" t="s">
        <v>56</v>
      </c>
      <c r="B76" s="400">
        <f>AN76</f>
        <v>0.52</v>
      </c>
      <c r="C76" s="400">
        <f t="shared" ref="C76:F76" si="6">AO76</f>
        <v>0.48099999999999998</v>
      </c>
      <c r="D76" s="400">
        <f t="shared" si="6"/>
        <v>0.45500000000000002</v>
      </c>
      <c r="E76" s="400">
        <f t="shared" si="6"/>
        <v>0.47799999999999998</v>
      </c>
      <c r="F76" s="400">
        <f t="shared" si="6"/>
        <v>0.47799999999999998</v>
      </c>
      <c r="G76" s="400">
        <f>G63*$AM$64</f>
        <v>0.48158804352697293</v>
      </c>
      <c r="H76" s="400">
        <f>H63*$AM$64</f>
        <v>0.46619398939493967</v>
      </c>
      <c r="I76" s="400">
        <f t="shared" ref="I76:AJ76" si="7">I63*$AM$64</f>
        <v>0.45819024967543848</v>
      </c>
      <c r="J76" s="400">
        <f t="shared" si="7"/>
        <v>0.48964170031485316</v>
      </c>
      <c r="K76" s="400">
        <f t="shared" si="7"/>
        <v>0.48539338803973492</v>
      </c>
      <c r="L76" s="400">
        <f t="shared" si="7"/>
        <v>0.5258090197698696</v>
      </c>
      <c r="M76" s="400">
        <f t="shared" si="7"/>
        <v>0.5755378823133156</v>
      </c>
      <c r="N76" s="400">
        <f t="shared" si="7"/>
        <v>0.70324644956637072</v>
      </c>
      <c r="O76" s="400">
        <f t="shared" si="7"/>
        <v>0.78462550663259234</v>
      </c>
      <c r="P76" s="400">
        <f t="shared" si="7"/>
        <v>0.79851003164123735</v>
      </c>
      <c r="Q76" s="400">
        <f t="shared" si="7"/>
        <v>0.837777570798654</v>
      </c>
      <c r="R76" s="400">
        <f t="shared" si="7"/>
        <v>0.85742234062020894</v>
      </c>
      <c r="S76" s="400">
        <f t="shared" si="7"/>
        <v>0.87152280316910102</v>
      </c>
      <c r="T76" s="400">
        <f t="shared" si="7"/>
        <v>0.90068361500401095</v>
      </c>
      <c r="U76" s="400">
        <f t="shared" si="7"/>
        <v>0.91182787783667774</v>
      </c>
      <c r="V76" s="400">
        <f t="shared" si="7"/>
        <v>0.96411230940309944</v>
      </c>
      <c r="W76" s="400">
        <f t="shared" si="7"/>
        <v>0.98390017482067427</v>
      </c>
      <c r="X76" s="400">
        <f t="shared" si="7"/>
        <v>0.99199080721476107</v>
      </c>
      <c r="Y76" s="400">
        <f t="shared" si="7"/>
        <v>1.0088766421792035</v>
      </c>
      <c r="Z76" s="400">
        <f t="shared" si="7"/>
        <v>1.0231605037348805</v>
      </c>
      <c r="AA76" s="400">
        <f t="shared" si="7"/>
        <v>1.040941518125587</v>
      </c>
      <c r="AB76" s="400">
        <f t="shared" si="7"/>
        <v>1.1018569805708067</v>
      </c>
      <c r="AC76" s="400">
        <f t="shared" si="7"/>
        <v>1.121868733283963</v>
      </c>
      <c r="AD76" s="400">
        <f t="shared" si="7"/>
        <v>1.1473502874232757</v>
      </c>
      <c r="AE76" s="400">
        <f t="shared" si="7"/>
        <v>1.1746342174871336</v>
      </c>
      <c r="AF76" s="400">
        <f t="shared" si="7"/>
        <v>1.1996467360617145</v>
      </c>
      <c r="AG76" s="400">
        <f t="shared" si="7"/>
        <v>1.2510200886912033</v>
      </c>
      <c r="AH76" s="400">
        <f t="shared" si="7"/>
        <v>1.2776761729616717</v>
      </c>
      <c r="AI76" s="400">
        <f t="shared" si="7"/>
        <v>1.3113505970462327</v>
      </c>
      <c r="AJ76" s="400">
        <f t="shared" si="7"/>
        <v>1.3468288760795875</v>
      </c>
      <c r="AK76" s="393"/>
      <c r="AM76" s="18" t="s">
        <v>743</v>
      </c>
      <c r="AN76" s="18">
        <v>0.52</v>
      </c>
      <c r="AO76" s="18">
        <v>0.48099999999999998</v>
      </c>
      <c r="AP76" s="18">
        <v>0.45500000000000002</v>
      </c>
      <c r="AQ76" s="18">
        <v>0.47799999999999998</v>
      </c>
      <c r="AR76" s="18">
        <v>0.47799999999999998</v>
      </c>
    </row>
    <row r="77" spans="1:44" s="18" customFormat="1">
      <c r="A77" s="17" t="s">
        <v>52</v>
      </c>
      <c r="B77" s="399">
        <f>AN74</f>
        <v>0</v>
      </c>
      <c r="C77" s="399">
        <f t="shared" ref="C77:F77" si="8">AO74</f>
        <v>0</v>
      </c>
      <c r="D77" s="399">
        <f t="shared" si="8"/>
        <v>0</v>
      </c>
      <c r="E77" s="399">
        <f t="shared" si="8"/>
        <v>0</v>
      </c>
      <c r="F77" s="399">
        <f t="shared" si="8"/>
        <v>0</v>
      </c>
      <c r="G77" s="392">
        <f t="shared" ref="G77:AJ77" si="9">G64*$AM62</f>
        <v>0</v>
      </c>
      <c r="H77" s="392">
        <f t="shared" si="9"/>
        <v>0</v>
      </c>
      <c r="I77" s="392">
        <f t="shared" si="9"/>
        <v>0</v>
      </c>
      <c r="J77" s="392">
        <f t="shared" si="9"/>
        <v>0</v>
      </c>
      <c r="K77" s="392">
        <f t="shared" si="9"/>
        <v>0</v>
      </c>
      <c r="L77" s="392">
        <f t="shared" si="9"/>
        <v>0</v>
      </c>
      <c r="M77" s="392">
        <f t="shared" si="9"/>
        <v>0</v>
      </c>
      <c r="N77" s="392">
        <f t="shared" si="9"/>
        <v>0</v>
      </c>
      <c r="O77" s="392">
        <f t="shared" si="9"/>
        <v>0</v>
      </c>
      <c r="P77" s="392">
        <f t="shared" si="9"/>
        <v>0</v>
      </c>
      <c r="Q77" s="392">
        <f t="shared" si="9"/>
        <v>0</v>
      </c>
      <c r="R77" s="392">
        <f t="shared" si="9"/>
        <v>0</v>
      </c>
      <c r="S77" s="392">
        <f t="shared" si="9"/>
        <v>0</v>
      </c>
      <c r="T77" s="392">
        <f t="shared" si="9"/>
        <v>0</v>
      </c>
      <c r="U77" s="392">
        <f t="shared" si="9"/>
        <v>0</v>
      </c>
      <c r="V77" s="392">
        <f t="shared" si="9"/>
        <v>0</v>
      </c>
      <c r="W77" s="392">
        <f t="shared" si="9"/>
        <v>0</v>
      </c>
      <c r="X77" s="392">
        <f t="shared" si="9"/>
        <v>0</v>
      </c>
      <c r="Y77" s="392">
        <f t="shared" si="9"/>
        <v>0</v>
      </c>
      <c r="Z77" s="392">
        <f t="shared" si="9"/>
        <v>0</v>
      </c>
      <c r="AA77" s="392">
        <f t="shared" si="9"/>
        <v>0</v>
      </c>
      <c r="AB77" s="392">
        <f t="shared" si="9"/>
        <v>0</v>
      </c>
      <c r="AC77" s="392">
        <f t="shared" si="9"/>
        <v>0</v>
      </c>
      <c r="AD77" s="392">
        <f t="shared" si="9"/>
        <v>0</v>
      </c>
      <c r="AE77" s="392">
        <f t="shared" si="9"/>
        <v>0</v>
      </c>
      <c r="AF77" s="392">
        <f t="shared" si="9"/>
        <v>0</v>
      </c>
      <c r="AG77" s="392">
        <f t="shared" si="9"/>
        <v>0</v>
      </c>
      <c r="AH77" s="392">
        <f t="shared" si="9"/>
        <v>0</v>
      </c>
      <c r="AI77" s="392">
        <f t="shared" si="9"/>
        <v>0</v>
      </c>
      <c r="AJ77" s="392">
        <f t="shared" si="9"/>
        <v>0</v>
      </c>
      <c r="AK77" s="393"/>
      <c r="AM77" s="18" t="s">
        <v>748</v>
      </c>
      <c r="AN77" s="18">
        <v>0</v>
      </c>
      <c r="AO77" s="18">
        <v>0</v>
      </c>
      <c r="AP77" s="18">
        <v>0</v>
      </c>
      <c r="AQ77" s="18">
        <v>0</v>
      </c>
      <c r="AR77" s="18">
        <v>0</v>
      </c>
    </row>
    <row r="78" spans="1:44" s="18" customFormat="1">
      <c r="A78" s="17" t="s">
        <v>53</v>
      </c>
      <c r="B78" s="399">
        <f>AN75</f>
        <v>0.17</v>
      </c>
      <c r="C78" s="399">
        <f t="shared" ref="C78:F78" si="10">AO75</f>
        <v>0.17199999999999999</v>
      </c>
      <c r="D78" s="399">
        <f t="shared" si="10"/>
        <v>0.20699999999999999</v>
      </c>
      <c r="E78" s="399">
        <f t="shared" si="10"/>
        <v>0.313</v>
      </c>
      <c r="F78" s="399">
        <f t="shared" si="10"/>
        <v>0.441</v>
      </c>
      <c r="G78" s="392">
        <f t="shared" ref="G78:AJ78" si="11">G65*$AM63</f>
        <v>0.64439442073578701</v>
      </c>
      <c r="H78" s="392">
        <f t="shared" si="11"/>
        <v>0.73551366956793085</v>
      </c>
      <c r="I78" s="392">
        <f t="shared" si="11"/>
        <v>0.8654831506053503</v>
      </c>
      <c r="J78" s="392">
        <f t="shared" si="11"/>
        <v>0.86816706320331349</v>
      </c>
      <c r="K78" s="392">
        <f t="shared" si="11"/>
        <v>0.92889014946555448</v>
      </c>
      <c r="L78" s="392">
        <f t="shared" si="11"/>
        <v>0.96366438908857577</v>
      </c>
      <c r="M78" s="392">
        <f t="shared" si="11"/>
        <v>0.96372007014017302</v>
      </c>
      <c r="N78" s="392">
        <f t="shared" si="11"/>
        <v>0.96369644462165549</v>
      </c>
      <c r="O78" s="392">
        <f t="shared" si="11"/>
        <v>0.96364057563979721</v>
      </c>
      <c r="P78" s="392">
        <f t="shared" si="11"/>
        <v>0.96362562176046274</v>
      </c>
      <c r="Q78" s="392">
        <f t="shared" si="11"/>
        <v>0.96361928582595124</v>
      </c>
      <c r="R78" s="392">
        <f t="shared" si="11"/>
        <v>0.96393326359761455</v>
      </c>
      <c r="S78" s="392">
        <f t="shared" si="11"/>
        <v>0.96372186890124201</v>
      </c>
      <c r="T78" s="392">
        <f t="shared" si="11"/>
        <v>0.96370533103827971</v>
      </c>
      <c r="U78" s="392">
        <f t="shared" si="11"/>
        <v>0.96463639124531553</v>
      </c>
      <c r="V78" s="392">
        <f t="shared" si="11"/>
        <v>0.96609121308957913</v>
      </c>
      <c r="W78" s="392">
        <f t="shared" si="11"/>
        <v>0.96747701083371895</v>
      </c>
      <c r="X78" s="392">
        <f t="shared" si="11"/>
        <v>0.96811892691071499</v>
      </c>
      <c r="Y78" s="392">
        <f t="shared" si="11"/>
        <v>0.96837193473629479</v>
      </c>
      <c r="Z78" s="392">
        <f t="shared" si="11"/>
        <v>0.96952963883801901</v>
      </c>
      <c r="AA78" s="392">
        <f t="shared" si="11"/>
        <v>0.97093482024621547</v>
      </c>
      <c r="AB78" s="392">
        <f t="shared" si="11"/>
        <v>0.97232324901400835</v>
      </c>
      <c r="AC78" s="392">
        <f t="shared" si="11"/>
        <v>0.97379761560540934</v>
      </c>
      <c r="AD78" s="392">
        <f t="shared" si="11"/>
        <v>0.97996999709558164</v>
      </c>
      <c r="AE78" s="392">
        <f t="shared" si="11"/>
        <v>0.98424855165194469</v>
      </c>
      <c r="AF78" s="392">
        <f t="shared" si="11"/>
        <v>1.0653189815015953</v>
      </c>
      <c r="AG78" s="392">
        <f t="shared" si="11"/>
        <v>1.1586892321520466</v>
      </c>
      <c r="AH78" s="392">
        <f t="shared" si="11"/>
        <v>1.1842742726532749</v>
      </c>
      <c r="AI78" s="392">
        <f t="shared" si="11"/>
        <v>1.1933814536397596</v>
      </c>
      <c r="AJ78" s="392">
        <f t="shared" si="11"/>
        <v>1.2093465588611301</v>
      </c>
      <c r="AK78" s="393"/>
      <c r="AM78" s="18" t="s">
        <v>749</v>
      </c>
      <c r="AN78" s="18">
        <v>0</v>
      </c>
      <c r="AO78" s="18">
        <v>0</v>
      </c>
      <c r="AP78" s="18">
        <v>0</v>
      </c>
      <c r="AQ78" s="18">
        <v>0</v>
      </c>
      <c r="AR78" s="18">
        <v>2.4E-2</v>
      </c>
    </row>
    <row r="79" spans="1:44" s="18" customFormat="1">
      <c r="A79" s="17" t="s">
        <v>54</v>
      </c>
      <c r="B79" s="401">
        <f>AN79</f>
        <v>11.932</v>
      </c>
      <c r="C79" s="401">
        <f t="shared" ref="C79:F79" si="12">AO79</f>
        <v>9.6750000000000007</v>
      </c>
      <c r="D79" s="401">
        <f t="shared" si="12"/>
        <v>10.111000000000001</v>
      </c>
      <c r="E79" s="401">
        <f t="shared" si="12"/>
        <v>11.302</v>
      </c>
      <c r="F79" s="401">
        <f t="shared" si="12"/>
        <v>10.167999999999999</v>
      </c>
      <c r="G79" s="394">
        <f>SUM(G73:G78)</f>
        <v>13.027964844931391</v>
      </c>
      <c r="H79" s="394">
        <f t="shared" ref="H79:AJ79" si="13">SUM(H73:H78)</f>
        <v>12.394073858539457</v>
      </c>
      <c r="I79" s="394">
        <f t="shared" si="13"/>
        <v>10.546144275667496</v>
      </c>
      <c r="J79" s="394">
        <f t="shared" si="13"/>
        <v>10.780287084912681</v>
      </c>
      <c r="K79" s="394">
        <f t="shared" si="13"/>
        <v>10.991049244812995</v>
      </c>
      <c r="L79" s="394">
        <f t="shared" si="13"/>
        <v>11.253011796757846</v>
      </c>
      <c r="M79" s="394">
        <f t="shared" si="13"/>
        <v>11.448434301395746</v>
      </c>
      <c r="N79" s="394">
        <f t="shared" si="13"/>
        <v>11.551864083930544</v>
      </c>
      <c r="O79" s="394">
        <f t="shared" si="13"/>
        <v>11.637915572609183</v>
      </c>
      <c r="P79" s="394">
        <f t="shared" si="13"/>
        <v>11.652157894954522</v>
      </c>
      <c r="Q79" s="394">
        <f t="shared" si="13"/>
        <v>11.751211500928845</v>
      </c>
      <c r="R79" s="394">
        <f t="shared" si="13"/>
        <v>11.787025630996668</v>
      </c>
      <c r="S79" s="394">
        <f t="shared" si="13"/>
        <v>11.820330118023699</v>
      </c>
      <c r="T79" s="394">
        <f t="shared" si="13"/>
        <v>11.869937239368907</v>
      </c>
      <c r="U79" s="394">
        <f t="shared" si="13"/>
        <v>11.899089055142804</v>
      </c>
      <c r="V79" s="394">
        <f t="shared" si="13"/>
        <v>11.974370199740671</v>
      </c>
      <c r="W79" s="394">
        <f t="shared" si="13"/>
        <v>12.014919913414328</v>
      </c>
      <c r="X79" s="394">
        <f t="shared" si="13"/>
        <v>12.034169627405785</v>
      </c>
      <c r="Y79" s="394">
        <f t="shared" si="13"/>
        <v>12.112934159340526</v>
      </c>
      <c r="Z79" s="394">
        <f t="shared" si="13"/>
        <v>12.138364032019359</v>
      </c>
      <c r="AA79" s="394">
        <f t="shared" si="13"/>
        <v>12.195680539328089</v>
      </c>
      <c r="AB79" s="394">
        <f t="shared" si="13"/>
        <v>12.298645799948481</v>
      </c>
      <c r="AC79" s="394">
        <f t="shared" si="13"/>
        <v>12.355457326681684</v>
      </c>
      <c r="AD79" s="394">
        <f t="shared" si="13"/>
        <v>12.422399057981071</v>
      </c>
      <c r="AE79" s="394">
        <f t="shared" si="13"/>
        <v>12.482446171316763</v>
      </c>
      <c r="AF79" s="394">
        <f t="shared" si="13"/>
        <v>12.596926278721226</v>
      </c>
      <c r="AG79" s="394">
        <f t="shared" si="13"/>
        <v>12.747906412054032</v>
      </c>
      <c r="AH79" s="394">
        <f t="shared" si="13"/>
        <v>12.810143453227086</v>
      </c>
      <c r="AI79" s="394">
        <f t="shared" si="13"/>
        <v>12.909880902394823</v>
      </c>
      <c r="AJ79" s="394">
        <f t="shared" si="13"/>
        <v>12.962711288095335</v>
      </c>
      <c r="AK79" s="395"/>
      <c r="AM79" s="18" t="s">
        <v>58</v>
      </c>
      <c r="AN79" s="18">
        <v>11.932</v>
      </c>
      <c r="AO79" s="18">
        <v>9.6750000000000007</v>
      </c>
      <c r="AP79" s="18">
        <v>10.111000000000001</v>
      </c>
      <c r="AQ79" s="18">
        <v>11.302</v>
      </c>
      <c r="AR79" s="18">
        <v>10.167999999999999</v>
      </c>
    </row>
    <row r="80" spans="1:44" s="220" customFormat="1">
      <c r="A80" s="219" t="s">
        <v>57</v>
      </c>
      <c r="B80" s="382">
        <f>B79*1000</f>
        <v>11932</v>
      </c>
      <c r="C80" s="382">
        <f t="shared" ref="C80:AJ80" si="14">C79*1000</f>
        <v>9675</v>
      </c>
      <c r="D80" s="382">
        <f t="shared" si="14"/>
        <v>10111</v>
      </c>
      <c r="E80" s="382">
        <f t="shared" si="14"/>
        <v>11302</v>
      </c>
      <c r="F80" s="382">
        <f t="shared" si="14"/>
        <v>10168</v>
      </c>
      <c r="G80" s="241">
        <f t="shared" si="14"/>
        <v>13027.964844931392</v>
      </c>
      <c r="H80" s="241">
        <f t="shared" si="14"/>
        <v>12394.073858539457</v>
      </c>
      <c r="I80" s="241">
        <f t="shared" si="14"/>
        <v>10546.144275667495</v>
      </c>
      <c r="J80" s="241">
        <f t="shared" si="14"/>
        <v>10780.287084912681</v>
      </c>
      <c r="K80" s="241">
        <f t="shared" si="14"/>
        <v>10991.049244812995</v>
      </c>
      <c r="L80" s="241">
        <f t="shared" si="14"/>
        <v>11253.011796757846</v>
      </c>
      <c r="M80" s="241">
        <f t="shared" si="14"/>
        <v>11448.434301395746</v>
      </c>
      <c r="N80" s="241">
        <f t="shared" si="14"/>
        <v>11551.864083930544</v>
      </c>
      <c r="O80" s="241">
        <f t="shared" si="14"/>
        <v>11637.915572609183</v>
      </c>
      <c r="P80" s="241">
        <f t="shared" si="14"/>
        <v>11652.157894954522</v>
      </c>
      <c r="Q80" s="241">
        <f t="shared" si="14"/>
        <v>11751.211500928845</v>
      </c>
      <c r="R80" s="241">
        <f t="shared" si="14"/>
        <v>11787.025630996668</v>
      </c>
      <c r="S80" s="241">
        <f t="shared" si="14"/>
        <v>11820.330118023699</v>
      </c>
      <c r="T80" s="241">
        <f t="shared" si="14"/>
        <v>11869.937239368906</v>
      </c>
      <c r="U80" s="241">
        <f t="shared" si="14"/>
        <v>11899.089055142804</v>
      </c>
      <c r="V80" s="241">
        <f t="shared" si="14"/>
        <v>11974.370199740672</v>
      </c>
      <c r="W80" s="241">
        <f t="shared" si="14"/>
        <v>12014.919913414327</v>
      </c>
      <c r="X80" s="241">
        <f t="shared" si="14"/>
        <v>12034.169627405785</v>
      </c>
      <c r="Y80" s="241">
        <f t="shared" si="14"/>
        <v>12112.934159340526</v>
      </c>
      <c r="Z80" s="241">
        <f t="shared" si="14"/>
        <v>12138.364032019359</v>
      </c>
      <c r="AA80" s="241">
        <f t="shared" si="14"/>
        <v>12195.680539328088</v>
      </c>
      <c r="AB80" s="241">
        <f t="shared" si="14"/>
        <v>12298.645799948481</v>
      </c>
      <c r="AC80" s="241">
        <f t="shared" si="14"/>
        <v>12355.457326681684</v>
      </c>
      <c r="AD80" s="241">
        <f t="shared" si="14"/>
        <v>12422.399057981071</v>
      </c>
      <c r="AE80" s="241">
        <f t="shared" si="14"/>
        <v>12482.446171316762</v>
      </c>
      <c r="AF80" s="241">
        <f t="shared" si="14"/>
        <v>12596.926278721225</v>
      </c>
      <c r="AG80" s="241">
        <f t="shared" si="14"/>
        <v>12747.906412054032</v>
      </c>
      <c r="AH80" s="241">
        <f t="shared" si="14"/>
        <v>12810.143453227087</v>
      </c>
      <c r="AI80" s="241">
        <f t="shared" si="14"/>
        <v>12909.880902394823</v>
      </c>
      <c r="AJ80" s="241">
        <f t="shared" si="14"/>
        <v>12962.711288095335</v>
      </c>
      <c r="AK80" s="286"/>
    </row>
    <row r="81" spans="1:37" s="221" customFormat="1">
      <c r="A81" s="222" t="s">
        <v>339</v>
      </c>
      <c r="B81" s="225">
        <f t="shared" ref="B81:Q82" si="15">B74/SUM(B$74:B$78)</f>
        <v>0</v>
      </c>
      <c r="C81" s="225">
        <f>C74/SUM(C$74:C$78)</f>
        <v>0</v>
      </c>
      <c r="D81" s="225">
        <f t="shared" si="15"/>
        <v>0.11497326203208555</v>
      </c>
      <c r="E81" s="225">
        <f t="shared" si="15"/>
        <v>8.765859284890426E-2</v>
      </c>
      <c r="F81" s="225">
        <f t="shared" si="15"/>
        <v>7.2653884964682142E-2</v>
      </c>
      <c r="G81" s="225">
        <f t="shared" si="15"/>
        <v>3.9292578860754004E-2</v>
      </c>
      <c r="H81" s="225">
        <f t="shared" si="15"/>
        <v>3.8322741356980439E-2</v>
      </c>
      <c r="I81" s="225">
        <f t="shared" si="15"/>
        <v>4.1200815934482833E-2</v>
      </c>
      <c r="J81" s="225">
        <f t="shared" si="15"/>
        <v>4.3702828282525592E-2</v>
      </c>
      <c r="K81" s="225">
        <f t="shared" si="15"/>
        <v>4.2029351492431664E-2</v>
      </c>
      <c r="L81" s="225">
        <f t="shared" si="15"/>
        <v>5.1517264249197676E-2</v>
      </c>
      <c r="M81" s="225">
        <f t="shared" si="15"/>
        <v>6.5737275558415603E-2</v>
      </c>
      <c r="N81" s="225">
        <f t="shared" si="15"/>
        <v>7.0412304502637024E-2</v>
      </c>
      <c r="O81" s="225">
        <f t="shared" si="15"/>
        <v>6.9596482127856685E-2</v>
      </c>
      <c r="P81" s="225">
        <f t="shared" si="15"/>
        <v>6.9223729889136998E-2</v>
      </c>
      <c r="Q81" s="225">
        <f t="shared" si="15"/>
        <v>7.2340739091625958E-2</v>
      </c>
      <c r="R81" s="225">
        <f t="shared" ref="R81:AJ82" si="16">R74/SUM(R$74:R$78)</f>
        <v>7.9096359698755725E-2</v>
      </c>
      <c r="S81" s="225">
        <f t="shared" si="16"/>
        <v>8.7392545600590857E-2</v>
      </c>
      <c r="T81" s="225">
        <f t="shared" si="16"/>
        <v>9.5165870679223261E-2</v>
      </c>
      <c r="U81" s="225">
        <f t="shared" si="16"/>
        <v>0.10209996635805402</v>
      </c>
      <c r="V81" s="225">
        <f t="shared" si="16"/>
        <v>0.10845615616523098</v>
      </c>
      <c r="W81" s="225">
        <f t="shared" si="16"/>
        <v>0.11524444011946126</v>
      </c>
      <c r="X81" s="225">
        <f t="shared" si="16"/>
        <v>0.11896743629221629</v>
      </c>
      <c r="Y81" s="225">
        <f t="shared" si="16"/>
        <v>0.1190437178077096</v>
      </c>
      <c r="Z81" s="225">
        <f t="shared" si="16"/>
        <v>0.12210750659250319</v>
      </c>
      <c r="AA81" s="225">
        <f t="shared" si="16"/>
        <v>0.1306362093539026</v>
      </c>
      <c r="AB81" s="225">
        <f t="shared" si="16"/>
        <v>0.14193286084632117</v>
      </c>
      <c r="AC81" s="225">
        <f t="shared" si="16"/>
        <v>0.15290711236162108</v>
      </c>
      <c r="AD81" s="225">
        <f t="shared" si="16"/>
        <v>0.16276214532198896</v>
      </c>
      <c r="AE81" s="225">
        <f t="shared" si="16"/>
        <v>0.16391580183855128</v>
      </c>
      <c r="AF81" s="225">
        <f t="shared" si="16"/>
        <v>0.16003364181265567</v>
      </c>
      <c r="AG81" s="225">
        <f t="shared" si="16"/>
        <v>0.15377737261108967</v>
      </c>
      <c r="AH81" s="225">
        <f t="shared" si="16"/>
        <v>0.15392405875328694</v>
      </c>
      <c r="AI81" s="225">
        <f t="shared" si="16"/>
        <v>0.15491972618375827</v>
      </c>
      <c r="AJ81" s="225">
        <f t="shared" si="16"/>
        <v>0.15266219858600161</v>
      </c>
      <c r="AK81" s="287"/>
    </row>
    <row r="82" spans="1:37" s="221" customFormat="1">
      <c r="A82" s="222" t="s">
        <v>340</v>
      </c>
      <c r="B82" s="225">
        <f t="shared" si="15"/>
        <v>0</v>
      </c>
      <c r="C82" s="225">
        <f t="shared" ref="C82:AA82" si="17">C75/SUM(C$74:C$78)</f>
        <v>0</v>
      </c>
      <c r="D82" s="225">
        <f t="shared" si="17"/>
        <v>0</v>
      </c>
      <c r="E82" s="225">
        <f t="shared" si="17"/>
        <v>0</v>
      </c>
      <c r="F82" s="225">
        <f t="shared" si="17"/>
        <v>0</v>
      </c>
      <c r="G82" s="225">
        <f t="shared" si="17"/>
        <v>5.3510741809546444E-4</v>
      </c>
      <c r="H82" s="225">
        <f t="shared" si="17"/>
        <v>5.8900010902451197E-4</v>
      </c>
      <c r="I82" s="225">
        <f t="shared" si="17"/>
        <v>6.36078324598329E-4</v>
      </c>
      <c r="J82" s="225">
        <f t="shared" si="17"/>
        <v>5.5282956464368057E-4</v>
      </c>
      <c r="K82" s="225">
        <f t="shared" si="17"/>
        <v>5.9415572864419594E-4</v>
      </c>
      <c r="L82" s="225">
        <f t="shared" si="17"/>
        <v>4.998310798936768E-4</v>
      </c>
      <c r="M82" s="225">
        <f t="shared" si="17"/>
        <v>5.2919502796194352E-4</v>
      </c>
      <c r="N82" s="225">
        <f t="shared" si="17"/>
        <v>3.823005703453536E-4</v>
      </c>
      <c r="O82" s="225">
        <f t="shared" si="17"/>
        <v>4.7116883610265521E-4</v>
      </c>
      <c r="P82" s="226">
        <f t="shared" si="17"/>
        <v>5.1545943388296863E-4</v>
      </c>
      <c r="Q82" s="225">
        <f t="shared" si="17"/>
        <v>4.559702824243132E-4</v>
      </c>
      <c r="R82" s="225">
        <f t="shared" si="17"/>
        <v>3.9746226133037949E-4</v>
      </c>
      <c r="S82" s="225">
        <f t="shared" si="17"/>
        <v>4.3593500550935624E-4</v>
      </c>
      <c r="T82" s="225">
        <f t="shared" si="17"/>
        <v>4.7511193037415815E-4</v>
      </c>
      <c r="U82" s="225">
        <f t="shared" si="17"/>
        <v>3.752413830358873E-4</v>
      </c>
      <c r="V82" s="225">
        <f t="shared" si="17"/>
        <v>4.0341782365153054E-4</v>
      </c>
      <c r="W82" s="225">
        <f t="shared" si="17"/>
        <v>3.9579980630042433E-4</v>
      </c>
      <c r="X82" s="225">
        <f t="shared" si="17"/>
        <v>3.9782558722646443E-4</v>
      </c>
      <c r="Y82" s="225">
        <f t="shared" si="17"/>
        <v>3.4407077057872228E-4</v>
      </c>
      <c r="Z82" s="225">
        <f t="shared" si="17"/>
        <v>3.4196543339646662E-4</v>
      </c>
      <c r="AA82" s="225">
        <f t="shared" si="17"/>
        <v>3.7921241571592271E-4</v>
      </c>
      <c r="AB82" s="225">
        <f t="shared" si="16"/>
        <v>3.1885985873113362E-4</v>
      </c>
      <c r="AC82" s="225">
        <f t="shared" si="16"/>
        <v>3.5231955120824422E-4</v>
      </c>
      <c r="AD82" s="225">
        <f t="shared" si="16"/>
        <v>3.4351405711090683E-4</v>
      </c>
      <c r="AE82" s="225">
        <f t="shared" si="16"/>
        <v>2.978421948843491E-4</v>
      </c>
      <c r="AF82" s="225">
        <f t="shared" si="16"/>
        <v>3.2285318949280036E-4</v>
      </c>
      <c r="AG82" s="225">
        <f t="shared" si="16"/>
        <v>2.6979531558858562E-4</v>
      </c>
      <c r="AH82" s="225">
        <f t="shared" si="16"/>
        <v>2.6441967695263642E-4</v>
      </c>
      <c r="AI82" s="225">
        <f t="shared" si="16"/>
        <v>2.5947508890547771E-4</v>
      </c>
      <c r="AJ82" s="225">
        <f t="shared" si="16"/>
        <v>2.6016919603049596E-4</v>
      </c>
      <c r="AK82" s="287"/>
    </row>
    <row r="83" spans="1:37" s="221" customFormat="1">
      <c r="A83" s="222" t="s">
        <v>336</v>
      </c>
      <c r="B83" s="225">
        <f>B76/SUM(B$74:B$78)</f>
        <v>0.75362318840579712</v>
      </c>
      <c r="C83" s="225">
        <f t="shared" ref="C83:AJ83" si="18">C76/SUM(C$74:C$78)</f>
        <v>0.73660030627871353</v>
      </c>
      <c r="D83" s="225">
        <f t="shared" si="18"/>
        <v>0.60828877005347592</v>
      </c>
      <c r="E83" s="225">
        <f t="shared" si="18"/>
        <v>0.55132641291810836</v>
      </c>
      <c r="F83" s="225">
        <f t="shared" si="18"/>
        <v>0.48234106962663981</v>
      </c>
      <c r="G83" s="225">
        <f t="shared" si="18"/>
        <v>0.41067025525703754</v>
      </c>
      <c r="H83" s="225">
        <f t="shared" si="18"/>
        <v>0.37284739434322106</v>
      </c>
      <c r="I83" s="225">
        <f t="shared" si="18"/>
        <v>0.33166866732843336</v>
      </c>
      <c r="J83" s="225">
        <f t="shared" si="18"/>
        <v>0.34465257356674261</v>
      </c>
      <c r="K83" s="225">
        <f t="shared" si="18"/>
        <v>0.32857924676071032</v>
      </c>
      <c r="L83" s="225">
        <f t="shared" si="18"/>
        <v>0.33465381718068393</v>
      </c>
      <c r="M83" s="225">
        <f t="shared" si="18"/>
        <v>0.34912862870519601</v>
      </c>
      <c r="N83" s="225">
        <f t="shared" si="18"/>
        <v>0.3920112663599345</v>
      </c>
      <c r="O83" s="225">
        <f t="shared" si="18"/>
        <v>0.41735560044043502</v>
      </c>
      <c r="P83" s="226">
        <f t="shared" si="18"/>
        <v>0.42154676794281004</v>
      </c>
      <c r="Q83" s="225">
        <f t="shared" si="18"/>
        <v>0.43121543018158076</v>
      </c>
      <c r="R83" s="225">
        <f t="shared" si="18"/>
        <v>0.43333798183210492</v>
      </c>
      <c r="S83" s="225">
        <f t="shared" si="18"/>
        <v>0.43317291239231503</v>
      </c>
      <c r="T83" s="225">
        <f t="shared" si="18"/>
        <v>0.43689453897147618</v>
      </c>
      <c r="U83" s="225">
        <f t="shared" si="18"/>
        <v>0.43613307224422676</v>
      </c>
      <c r="V83" s="225">
        <f t="shared" si="18"/>
        <v>0.4451134007954331</v>
      </c>
      <c r="W83" s="225">
        <f t="shared" si="18"/>
        <v>0.44590135056315</v>
      </c>
      <c r="X83" s="225">
        <f t="shared" si="18"/>
        <v>0.44567992777166071</v>
      </c>
      <c r="Y83" s="225">
        <f t="shared" si="18"/>
        <v>0.44932594783154978</v>
      </c>
      <c r="Z83" s="225">
        <f t="shared" si="18"/>
        <v>0.45058437389341549</v>
      </c>
      <c r="AA83" s="225">
        <f t="shared" si="18"/>
        <v>0.44961119569750102</v>
      </c>
      <c r="AB83" s="225">
        <f t="shared" si="18"/>
        <v>0.45565757287297942</v>
      </c>
      <c r="AC83" s="225">
        <f t="shared" si="18"/>
        <v>0.45328387748532917</v>
      </c>
      <c r="AD83" s="225">
        <f t="shared" si="18"/>
        <v>0.45137113073289592</v>
      </c>
      <c r="AE83" s="225">
        <f t="shared" si="18"/>
        <v>0.45474597614149698</v>
      </c>
      <c r="AF83" s="225">
        <f t="shared" si="18"/>
        <v>0.44472001603173722</v>
      </c>
      <c r="AG83" s="225">
        <f t="shared" si="18"/>
        <v>0.43918325660897567</v>
      </c>
      <c r="AH83" s="225">
        <f t="shared" si="18"/>
        <v>0.43895003242285369</v>
      </c>
      <c r="AI83" s="225">
        <f t="shared" si="18"/>
        <v>0.44230529908568444</v>
      </c>
      <c r="AJ83" s="225">
        <f t="shared" si="18"/>
        <v>0.44631858977971228</v>
      </c>
      <c r="AK83" s="287"/>
    </row>
    <row r="84" spans="1:37" s="221" customFormat="1">
      <c r="A84" s="222" t="s">
        <v>338</v>
      </c>
      <c r="B84" s="225">
        <f>B77/SUM(B$74:B$78)</f>
        <v>0</v>
      </c>
      <c r="C84" s="225">
        <f t="shared" ref="C84:AJ84" si="19">C77/SUM(C$74:C$78)</f>
        <v>0</v>
      </c>
      <c r="D84" s="225">
        <f t="shared" si="19"/>
        <v>0</v>
      </c>
      <c r="E84" s="225">
        <f t="shared" si="19"/>
        <v>0</v>
      </c>
      <c r="F84" s="225">
        <f t="shared" si="19"/>
        <v>0</v>
      </c>
      <c r="G84" s="225">
        <f t="shared" si="19"/>
        <v>0</v>
      </c>
      <c r="H84" s="225">
        <f t="shared" si="19"/>
        <v>0</v>
      </c>
      <c r="I84" s="225">
        <f t="shared" si="19"/>
        <v>0</v>
      </c>
      <c r="J84" s="225">
        <f t="shared" si="19"/>
        <v>0</v>
      </c>
      <c r="K84" s="225">
        <f t="shared" si="19"/>
        <v>0</v>
      </c>
      <c r="L84" s="225">
        <f t="shared" si="19"/>
        <v>0</v>
      </c>
      <c r="M84" s="225">
        <f t="shared" si="19"/>
        <v>0</v>
      </c>
      <c r="N84" s="225">
        <f t="shared" si="19"/>
        <v>0</v>
      </c>
      <c r="O84" s="225">
        <f t="shared" si="19"/>
        <v>0</v>
      </c>
      <c r="P84" s="226">
        <f t="shared" si="19"/>
        <v>0</v>
      </c>
      <c r="Q84" s="225">
        <f t="shared" si="19"/>
        <v>0</v>
      </c>
      <c r="R84" s="225">
        <f t="shared" si="19"/>
        <v>0</v>
      </c>
      <c r="S84" s="225">
        <f t="shared" si="19"/>
        <v>0</v>
      </c>
      <c r="T84" s="225">
        <f t="shared" si="19"/>
        <v>0</v>
      </c>
      <c r="U84" s="225">
        <f t="shared" si="19"/>
        <v>0</v>
      </c>
      <c r="V84" s="225">
        <f t="shared" si="19"/>
        <v>0</v>
      </c>
      <c r="W84" s="225">
        <f t="shared" si="19"/>
        <v>0</v>
      </c>
      <c r="X84" s="225">
        <f t="shared" si="19"/>
        <v>0</v>
      </c>
      <c r="Y84" s="225">
        <f t="shared" si="19"/>
        <v>0</v>
      </c>
      <c r="Z84" s="225">
        <f t="shared" si="19"/>
        <v>0</v>
      </c>
      <c r="AA84" s="225">
        <f t="shared" si="19"/>
        <v>0</v>
      </c>
      <c r="AB84" s="225">
        <f t="shared" si="19"/>
        <v>0</v>
      </c>
      <c r="AC84" s="225">
        <f t="shared" si="19"/>
        <v>0</v>
      </c>
      <c r="AD84" s="225">
        <f t="shared" si="19"/>
        <v>0</v>
      </c>
      <c r="AE84" s="225">
        <f t="shared" si="19"/>
        <v>0</v>
      </c>
      <c r="AF84" s="225">
        <f t="shared" si="19"/>
        <v>0</v>
      </c>
      <c r="AG84" s="225">
        <f t="shared" si="19"/>
        <v>0</v>
      </c>
      <c r="AH84" s="225">
        <f t="shared" si="19"/>
        <v>0</v>
      </c>
      <c r="AI84" s="225">
        <f t="shared" si="19"/>
        <v>0</v>
      </c>
      <c r="AJ84" s="225">
        <f t="shared" si="19"/>
        <v>0</v>
      </c>
      <c r="AK84" s="287"/>
    </row>
    <row r="85" spans="1:37" s="221" customFormat="1">
      <c r="A85" s="222" t="s">
        <v>337</v>
      </c>
      <c r="B85" s="225">
        <f>B78/SUM(B$74:B$78)</f>
        <v>0.24637681159420288</v>
      </c>
      <c r="C85" s="225">
        <f t="shared" ref="C85:AJ85" si="20">C78/SUM(C$74:C$78)</f>
        <v>0.26339969372128635</v>
      </c>
      <c r="D85" s="225">
        <f t="shared" si="20"/>
        <v>0.2767379679144385</v>
      </c>
      <c r="E85" s="225">
        <f t="shared" si="20"/>
        <v>0.36101499423298733</v>
      </c>
      <c r="F85" s="225">
        <f t="shared" si="20"/>
        <v>0.44500504540867813</v>
      </c>
      <c r="G85" s="225">
        <f t="shared" si="20"/>
        <v>0.54950205846411304</v>
      </c>
      <c r="H85" s="225">
        <f t="shared" si="20"/>
        <v>0.58824086419077415</v>
      </c>
      <c r="I85" s="225">
        <f t="shared" si="20"/>
        <v>0.62649443841248542</v>
      </c>
      <c r="J85" s="225">
        <f t="shared" si="20"/>
        <v>0.61109176858608805</v>
      </c>
      <c r="K85" s="225">
        <f t="shared" si="20"/>
        <v>0.62879724601821385</v>
      </c>
      <c r="L85" s="225">
        <f t="shared" si="20"/>
        <v>0.61332908749022474</v>
      </c>
      <c r="M85" s="225">
        <f t="shared" si="20"/>
        <v>0.58460490070842652</v>
      </c>
      <c r="N85" s="225">
        <f t="shared" si="20"/>
        <v>0.53719412856708304</v>
      </c>
      <c r="O85" s="225">
        <f t="shared" si="20"/>
        <v>0.51257674859560565</v>
      </c>
      <c r="P85" s="226">
        <f t="shared" si="20"/>
        <v>0.50871404273416998</v>
      </c>
      <c r="Q85" s="225">
        <f t="shared" si="20"/>
        <v>0.49598786044436888</v>
      </c>
      <c r="R85" s="225">
        <f t="shared" si="20"/>
        <v>0.48716819620780893</v>
      </c>
      <c r="S85" s="225">
        <f t="shared" si="20"/>
        <v>0.47899860700158481</v>
      </c>
      <c r="T85" s="225">
        <f t="shared" si="20"/>
        <v>0.46746447841892635</v>
      </c>
      <c r="U85" s="225">
        <f t="shared" si="20"/>
        <v>0.46139172001468343</v>
      </c>
      <c r="V85" s="225">
        <f t="shared" si="20"/>
        <v>0.44602702521568444</v>
      </c>
      <c r="W85" s="225">
        <f t="shared" si="20"/>
        <v>0.43845840951108833</v>
      </c>
      <c r="X85" s="225">
        <f t="shared" si="20"/>
        <v>0.43495481034889649</v>
      </c>
      <c r="Y85" s="225">
        <f t="shared" si="20"/>
        <v>0.43128626359016181</v>
      </c>
      <c r="Z85" s="225">
        <f t="shared" si="20"/>
        <v>0.42696615408068478</v>
      </c>
      <c r="AA85" s="225">
        <f t="shared" si="20"/>
        <v>0.41937338253288048</v>
      </c>
      <c r="AB85" s="225">
        <f t="shared" si="20"/>
        <v>0.40209070642196826</v>
      </c>
      <c r="AC85" s="225">
        <f t="shared" si="20"/>
        <v>0.39345669060184146</v>
      </c>
      <c r="AD85" s="225">
        <f t="shared" si="20"/>
        <v>0.38552320988800415</v>
      </c>
      <c r="AE85" s="225">
        <f t="shared" si="20"/>
        <v>0.38104037982506739</v>
      </c>
      <c r="AF85" s="225">
        <f t="shared" si="20"/>
        <v>0.39492348896611423</v>
      </c>
      <c r="AG85" s="225">
        <f t="shared" si="20"/>
        <v>0.406769575464346</v>
      </c>
      <c r="AH85" s="225">
        <f t="shared" si="20"/>
        <v>0.40686148914690673</v>
      </c>
      <c r="AI85" s="225">
        <f t="shared" si="20"/>
        <v>0.40251549964165179</v>
      </c>
      <c r="AJ85" s="225">
        <f t="shared" si="20"/>
        <v>0.40075904243825555</v>
      </c>
      <c r="AK85" s="287"/>
    </row>
    <row r="86" spans="1:37" s="221" customFormat="1">
      <c r="A86" s="221" t="s">
        <v>341</v>
      </c>
      <c r="B86" s="225">
        <f>SUM(B81:B85)</f>
        <v>1</v>
      </c>
      <c r="C86" s="225">
        <f t="shared" ref="C86:AJ86" si="21">SUM(C81:C85)</f>
        <v>0.99999999999999989</v>
      </c>
      <c r="D86" s="225">
        <f t="shared" si="21"/>
        <v>1</v>
      </c>
      <c r="E86" s="225">
        <f t="shared" si="21"/>
        <v>0.99999999999999989</v>
      </c>
      <c r="F86" s="225">
        <f t="shared" si="21"/>
        <v>1</v>
      </c>
      <c r="G86" s="225">
        <f t="shared" si="21"/>
        <v>1</v>
      </c>
      <c r="H86" s="225">
        <f t="shared" si="21"/>
        <v>1.0000000000000002</v>
      </c>
      <c r="I86" s="225">
        <f t="shared" si="21"/>
        <v>1</v>
      </c>
      <c r="J86" s="225">
        <f t="shared" si="21"/>
        <v>1</v>
      </c>
      <c r="K86" s="225">
        <f t="shared" si="21"/>
        <v>1</v>
      </c>
      <c r="L86" s="225">
        <f t="shared" si="21"/>
        <v>1</v>
      </c>
      <c r="M86" s="225">
        <f t="shared" si="21"/>
        <v>1</v>
      </c>
      <c r="N86" s="225">
        <f t="shared" si="21"/>
        <v>0.99999999999999989</v>
      </c>
      <c r="O86" s="225">
        <f t="shared" si="21"/>
        <v>1</v>
      </c>
      <c r="P86" s="225">
        <f t="shared" si="21"/>
        <v>1</v>
      </c>
      <c r="Q86" s="225">
        <f t="shared" si="21"/>
        <v>1</v>
      </c>
      <c r="R86" s="225">
        <f t="shared" si="21"/>
        <v>1</v>
      </c>
      <c r="S86" s="225">
        <f t="shared" si="21"/>
        <v>1</v>
      </c>
      <c r="T86" s="225">
        <f t="shared" si="21"/>
        <v>1</v>
      </c>
      <c r="U86" s="225">
        <f t="shared" si="21"/>
        <v>1</v>
      </c>
      <c r="V86" s="225">
        <f t="shared" si="21"/>
        <v>1</v>
      </c>
      <c r="W86" s="225">
        <f t="shared" si="21"/>
        <v>1</v>
      </c>
      <c r="X86" s="225">
        <f t="shared" si="21"/>
        <v>1</v>
      </c>
      <c r="Y86" s="225">
        <f t="shared" si="21"/>
        <v>1</v>
      </c>
      <c r="Z86" s="225">
        <f t="shared" si="21"/>
        <v>1</v>
      </c>
      <c r="AA86" s="225">
        <f t="shared" si="21"/>
        <v>1</v>
      </c>
      <c r="AB86" s="225">
        <f t="shared" si="21"/>
        <v>1</v>
      </c>
      <c r="AC86" s="225">
        <f t="shared" si="21"/>
        <v>1</v>
      </c>
      <c r="AD86" s="225">
        <f t="shared" si="21"/>
        <v>1</v>
      </c>
      <c r="AE86" s="225">
        <f t="shared" si="21"/>
        <v>1</v>
      </c>
      <c r="AF86" s="225">
        <f t="shared" si="21"/>
        <v>1</v>
      </c>
      <c r="AG86" s="225">
        <f t="shared" si="21"/>
        <v>0.99999999999999989</v>
      </c>
      <c r="AH86" s="225">
        <f t="shared" si="21"/>
        <v>1</v>
      </c>
      <c r="AI86" s="225">
        <f t="shared" si="21"/>
        <v>1</v>
      </c>
      <c r="AJ86" s="225">
        <f t="shared" si="21"/>
        <v>0.99999999999999989</v>
      </c>
      <c r="AK86" s="287"/>
    </row>
    <row r="87" spans="1:37">
      <c r="A87" s="571" t="s">
        <v>628</v>
      </c>
      <c r="B87" s="571"/>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row>
    <row r="88" spans="1:37">
      <c r="A88" s="570" t="s">
        <v>661</v>
      </c>
      <c r="B88" s="570"/>
      <c r="C88" s="570"/>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570"/>
      <c r="AC88" s="570"/>
      <c r="AD88" s="570"/>
      <c r="AE88" s="570"/>
      <c r="AF88" s="570"/>
    </row>
    <row r="89" spans="1:37">
      <c r="A89" s="570" t="s">
        <v>662</v>
      </c>
      <c r="B89" s="570"/>
      <c r="C89" s="570"/>
      <c r="D89" s="570"/>
      <c r="E89" s="570"/>
      <c r="F89" s="570"/>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row>
    <row r="90" spans="1:37">
      <c r="A90" s="570" t="s">
        <v>663</v>
      </c>
      <c r="B90" s="570"/>
      <c r="C90" s="570"/>
      <c r="D90" s="570"/>
      <c r="E90" s="570"/>
      <c r="F90" s="570"/>
      <c r="G90" s="570"/>
      <c r="H90" s="570"/>
      <c r="I90" s="570"/>
      <c r="J90" s="570"/>
      <c r="K90" s="570"/>
      <c r="L90" s="570"/>
      <c r="M90" s="570"/>
      <c r="N90" s="570"/>
      <c r="O90" s="570"/>
      <c r="P90" s="570"/>
      <c r="Q90" s="570"/>
      <c r="R90" s="570"/>
      <c r="S90" s="570"/>
      <c r="T90" s="570"/>
      <c r="U90" s="570"/>
      <c r="V90" s="570"/>
      <c r="W90" s="570"/>
      <c r="X90" s="570"/>
      <c r="Y90" s="570"/>
      <c r="Z90" s="570"/>
      <c r="AA90" s="570"/>
      <c r="AB90" s="570"/>
      <c r="AC90" s="570"/>
      <c r="AD90" s="570"/>
      <c r="AE90" s="570"/>
      <c r="AF90" s="570"/>
    </row>
    <row r="91" spans="1:37">
      <c r="A91" s="570" t="s">
        <v>664</v>
      </c>
      <c r="B91" s="570"/>
      <c r="C91" s="570"/>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row>
    <row r="92" spans="1:37">
      <c r="A92" s="570" t="s">
        <v>665</v>
      </c>
      <c r="B92" s="570"/>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row>
    <row r="93" spans="1:37">
      <c r="A93" s="570" t="s">
        <v>666</v>
      </c>
      <c r="B93" s="570"/>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row>
    <row r="94" spans="1:37">
      <c r="A94" s="570" t="s">
        <v>667</v>
      </c>
      <c r="B94" s="570"/>
      <c r="C94" s="570"/>
      <c r="D94" s="570"/>
      <c r="E94" s="570"/>
      <c r="F94" s="570"/>
      <c r="G94" s="570"/>
      <c r="H94" s="570"/>
      <c r="I94" s="570"/>
      <c r="J94" s="570"/>
      <c r="K94" s="570"/>
      <c r="L94" s="570"/>
      <c r="M94" s="570"/>
      <c r="N94" s="570"/>
      <c r="O94" s="570"/>
      <c r="P94" s="570"/>
      <c r="Q94" s="570"/>
      <c r="R94" s="570"/>
      <c r="S94" s="570"/>
      <c r="T94" s="570"/>
      <c r="U94" s="570"/>
      <c r="V94" s="570"/>
      <c r="W94" s="570"/>
      <c r="X94" s="570"/>
      <c r="Y94" s="570"/>
      <c r="Z94" s="570"/>
      <c r="AA94" s="570"/>
      <c r="AB94" s="570"/>
      <c r="AC94" s="570"/>
      <c r="AD94" s="570"/>
      <c r="AE94" s="570"/>
      <c r="AF94" s="570"/>
    </row>
    <row r="95" spans="1:37">
      <c r="A95" s="570" t="s">
        <v>668</v>
      </c>
      <c r="B95" s="570"/>
      <c r="C95" s="570"/>
      <c r="D95" s="570"/>
      <c r="E95" s="570"/>
      <c r="F95" s="570"/>
      <c r="G95" s="570"/>
      <c r="H95" s="570"/>
      <c r="I95" s="570"/>
      <c r="J95" s="570"/>
      <c r="K95" s="570"/>
      <c r="L95" s="570"/>
      <c r="M95" s="570"/>
      <c r="N95" s="570"/>
      <c r="O95" s="570"/>
      <c r="P95" s="570"/>
      <c r="Q95" s="570"/>
      <c r="R95" s="570"/>
      <c r="S95" s="570"/>
      <c r="T95" s="570"/>
      <c r="U95" s="570"/>
      <c r="V95" s="570"/>
      <c r="W95" s="570"/>
      <c r="X95" s="570"/>
      <c r="Y95" s="570"/>
      <c r="Z95" s="570"/>
      <c r="AA95" s="570"/>
      <c r="AB95" s="570"/>
      <c r="AC95" s="570"/>
      <c r="AD95" s="570"/>
      <c r="AE95" s="570"/>
      <c r="AF95" s="570"/>
    </row>
    <row r="96" spans="1:37">
      <c r="A96" s="570" t="s">
        <v>669</v>
      </c>
      <c r="B96" s="570"/>
      <c r="C96" s="570"/>
      <c r="D96" s="570"/>
      <c r="E96" s="570"/>
      <c r="F96" s="570"/>
      <c r="G96" s="570"/>
      <c r="H96" s="570"/>
      <c r="I96" s="570"/>
      <c r="J96" s="570"/>
      <c r="K96" s="570"/>
      <c r="L96" s="570"/>
      <c r="M96" s="570"/>
      <c r="N96" s="570"/>
      <c r="O96" s="570"/>
      <c r="P96" s="570"/>
      <c r="Q96" s="570"/>
      <c r="R96" s="570"/>
      <c r="S96" s="570"/>
      <c r="T96" s="570"/>
      <c r="U96" s="570"/>
      <c r="V96" s="570"/>
      <c r="W96" s="570"/>
      <c r="X96" s="570"/>
      <c r="Y96" s="570"/>
      <c r="Z96" s="570"/>
      <c r="AA96" s="570"/>
      <c r="AB96" s="570"/>
      <c r="AC96" s="570"/>
      <c r="AD96" s="570"/>
      <c r="AE96" s="570"/>
      <c r="AF96" s="570"/>
    </row>
    <row r="97" spans="1:32">
      <c r="A97" s="570" t="s">
        <v>670</v>
      </c>
      <c r="B97" s="570"/>
      <c r="C97" s="570"/>
      <c r="D97" s="570"/>
      <c r="E97" s="570"/>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row>
    <row r="98" spans="1:32">
      <c r="A98" s="570" t="s">
        <v>671</v>
      </c>
      <c r="B98" s="570"/>
      <c r="C98" s="570"/>
      <c r="D98" s="570"/>
      <c r="E98" s="570"/>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row>
    <row r="99" spans="1:32">
      <c r="A99" s="570" t="s">
        <v>672</v>
      </c>
      <c r="B99" s="570"/>
      <c r="C99" s="570"/>
      <c r="D99" s="570"/>
      <c r="E99" s="570"/>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row>
    <row r="100" spans="1:32">
      <c r="A100" s="570" t="s">
        <v>673</v>
      </c>
      <c r="B100" s="570"/>
      <c r="C100" s="570"/>
      <c r="D100" s="570"/>
      <c r="E100" s="570"/>
      <c r="F100" s="570"/>
      <c r="G100" s="570"/>
      <c r="H100" s="570"/>
      <c r="I100" s="570"/>
      <c r="J100" s="570"/>
      <c r="K100" s="570"/>
      <c r="L100" s="570"/>
      <c r="M100" s="570"/>
      <c r="N100" s="570"/>
      <c r="O100" s="570"/>
      <c r="P100" s="570"/>
      <c r="Q100" s="570"/>
      <c r="R100" s="570"/>
      <c r="S100" s="570"/>
      <c r="T100" s="570"/>
      <c r="U100" s="570"/>
      <c r="V100" s="570"/>
      <c r="W100" s="570"/>
      <c r="X100" s="570"/>
      <c r="Y100" s="570"/>
      <c r="Z100" s="570"/>
      <c r="AA100" s="570"/>
      <c r="AB100" s="570"/>
      <c r="AC100" s="570"/>
      <c r="AD100" s="570"/>
      <c r="AE100" s="570"/>
      <c r="AF100" s="570"/>
    </row>
    <row r="101" spans="1:32">
      <c r="A101" s="570" t="s">
        <v>674</v>
      </c>
      <c r="B101" s="570"/>
      <c r="C101" s="570"/>
      <c r="D101" s="570"/>
      <c r="E101" s="570"/>
      <c r="F101" s="570"/>
      <c r="G101" s="570"/>
      <c r="H101" s="570"/>
      <c r="I101" s="570"/>
      <c r="J101" s="570"/>
      <c r="K101" s="570"/>
      <c r="L101" s="570"/>
      <c r="M101" s="570"/>
      <c r="N101" s="570"/>
      <c r="O101" s="570"/>
      <c r="P101" s="570"/>
      <c r="Q101" s="570"/>
      <c r="R101" s="570"/>
      <c r="S101" s="570"/>
      <c r="T101" s="570"/>
      <c r="U101" s="570"/>
      <c r="V101" s="570"/>
      <c r="W101" s="570"/>
      <c r="X101" s="570"/>
      <c r="Y101" s="570"/>
      <c r="Z101" s="570"/>
      <c r="AA101" s="570"/>
      <c r="AB101" s="570"/>
      <c r="AC101" s="570"/>
      <c r="AD101" s="570"/>
      <c r="AE101" s="570"/>
      <c r="AF101" s="570"/>
    </row>
    <row r="102" spans="1:32">
      <c r="A102" s="570" t="s">
        <v>675</v>
      </c>
      <c r="B102" s="570"/>
      <c r="C102" s="570"/>
      <c r="D102" s="570"/>
      <c r="E102" s="570"/>
      <c r="F102" s="570"/>
      <c r="G102" s="570"/>
      <c r="H102" s="570"/>
      <c r="I102" s="570"/>
      <c r="J102" s="570"/>
      <c r="K102" s="570"/>
      <c r="L102" s="570"/>
      <c r="M102" s="570"/>
      <c r="N102" s="570"/>
      <c r="O102" s="570"/>
      <c r="P102" s="570"/>
      <c r="Q102" s="570"/>
      <c r="R102" s="570"/>
      <c r="S102" s="570"/>
      <c r="T102" s="570"/>
      <c r="U102" s="570"/>
      <c r="V102" s="570"/>
      <c r="W102" s="570"/>
      <c r="X102" s="570"/>
      <c r="Y102" s="570"/>
      <c r="Z102" s="570"/>
      <c r="AA102" s="570"/>
      <c r="AB102" s="570"/>
      <c r="AC102" s="570"/>
      <c r="AD102" s="570"/>
      <c r="AE102" s="570"/>
      <c r="AF102" s="570"/>
    </row>
    <row r="103" spans="1:32">
      <c r="A103" s="570" t="s">
        <v>676</v>
      </c>
      <c r="B103" s="570"/>
      <c r="C103" s="570"/>
      <c r="D103" s="570"/>
      <c r="E103" s="570"/>
      <c r="F103" s="570"/>
      <c r="G103" s="570"/>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row>
    <row r="104" spans="1:32">
      <c r="A104" s="570" t="s">
        <v>677</v>
      </c>
      <c r="B104" s="570"/>
      <c r="C104" s="570"/>
      <c r="D104" s="570"/>
      <c r="E104" s="570"/>
      <c r="F104" s="570"/>
      <c r="G104" s="570"/>
      <c r="H104" s="570"/>
      <c r="I104" s="570"/>
      <c r="J104" s="570"/>
      <c r="K104" s="570"/>
      <c r="L104" s="570"/>
      <c r="M104" s="570"/>
      <c r="N104" s="570"/>
      <c r="O104" s="570"/>
      <c r="P104" s="570"/>
      <c r="Q104" s="570"/>
      <c r="R104" s="570"/>
      <c r="S104" s="570"/>
      <c r="T104" s="570"/>
      <c r="U104" s="570"/>
      <c r="V104" s="570"/>
      <c r="W104" s="570"/>
      <c r="X104" s="570"/>
      <c r="Y104" s="570"/>
      <c r="Z104" s="570"/>
      <c r="AA104" s="570"/>
      <c r="AB104" s="570"/>
      <c r="AC104" s="570"/>
      <c r="AD104" s="570"/>
      <c r="AE104" s="570"/>
      <c r="AF104" s="570"/>
    </row>
    <row r="105" spans="1:32">
      <c r="A105" s="570" t="s">
        <v>678</v>
      </c>
      <c r="B105" s="570"/>
      <c r="C105" s="570"/>
      <c r="D105" s="570"/>
      <c r="E105" s="570"/>
      <c r="F105" s="570"/>
      <c r="G105" s="570"/>
      <c r="H105" s="570"/>
      <c r="I105" s="570"/>
      <c r="J105" s="570"/>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row>
    <row r="106" spans="1:32">
      <c r="A106" s="570" t="s">
        <v>679</v>
      </c>
      <c r="B106" s="570"/>
      <c r="C106" s="570"/>
      <c r="D106" s="570"/>
      <c r="E106" s="570"/>
      <c r="F106" s="570"/>
      <c r="G106" s="570"/>
      <c r="H106" s="570"/>
      <c r="I106" s="570"/>
      <c r="J106" s="570"/>
      <c r="K106" s="570"/>
      <c r="L106" s="570"/>
      <c r="M106" s="570"/>
      <c r="N106" s="570"/>
      <c r="O106" s="570"/>
      <c r="P106" s="570"/>
      <c r="Q106" s="570"/>
      <c r="R106" s="570"/>
      <c r="S106" s="570"/>
      <c r="T106" s="570"/>
      <c r="U106" s="570"/>
      <c r="V106" s="570"/>
      <c r="W106" s="570"/>
      <c r="X106" s="570"/>
      <c r="Y106" s="570"/>
      <c r="Z106" s="570"/>
      <c r="AA106" s="570"/>
      <c r="AB106" s="570"/>
      <c r="AC106" s="570"/>
      <c r="AD106" s="570"/>
      <c r="AE106" s="570"/>
      <c r="AF106" s="570"/>
    </row>
    <row r="107" spans="1:32">
      <c r="A107" s="570" t="s">
        <v>680</v>
      </c>
      <c r="B107" s="570"/>
      <c r="C107" s="570"/>
      <c r="D107" s="570"/>
      <c r="E107" s="570"/>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row>
    <row r="108" spans="1:32">
      <c r="A108" s="570" t="s">
        <v>632</v>
      </c>
      <c r="B108" s="570"/>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row>
    <row r="109" spans="1:32">
      <c r="A109" s="570" t="s">
        <v>681</v>
      </c>
      <c r="B109" s="570"/>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row>
    <row r="110" spans="1:32">
      <c r="A110" s="570" t="s">
        <v>682</v>
      </c>
      <c r="B110" s="570"/>
      <c r="C110" s="570"/>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row>
    <row r="111" spans="1:32">
      <c r="A111" s="570" t="s">
        <v>639</v>
      </c>
      <c r="B111" s="570"/>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row>
    <row r="112" spans="1:32">
      <c r="A112" s="570" t="s">
        <v>640</v>
      </c>
      <c r="B112" s="570"/>
      <c r="C112" s="570"/>
      <c r="D112" s="570"/>
      <c r="E112" s="570"/>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row>
    <row r="113" spans="1:32">
      <c r="A113" s="570" t="s">
        <v>641</v>
      </c>
      <c r="B113" s="570"/>
      <c r="C113" s="570"/>
      <c r="D113" s="570"/>
      <c r="E113" s="570"/>
      <c r="F113" s="570"/>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row>
    <row r="114" spans="1:32">
      <c r="A114" s="570" t="s">
        <v>683</v>
      </c>
      <c r="B114" s="570"/>
      <c r="C114" s="570"/>
      <c r="D114" s="570"/>
      <c r="E114" s="570"/>
      <c r="F114" s="570"/>
      <c r="G114" s="570"/>
      <c r="H114" s="570"/>
      <c r="I114" s="570"/>
      <c r="J114" s="570"/>
      <c r="K114" s="570"/>
      <c r="L114" s="570"/>
      <c r="M114" s="570"/>
      <c r="N114" s="570"/>
      <c r="O114" s="570"/>
      <c r="P114" s="570"/>
      <c r="Q114" s="570"/>
      <c r="R114" s="570"/>
      <c r="S114" s="570"/>
      <c r="T114" s="570"/>
      <c r="U114" s="570"/>
      <c r="V114" s="570"/>
      <c r="W114" s="570"/>
      <c r="X114" s="570"/>
      <c r="Y114" s="570"/>
      <c r="Z114" s="570"/>
      <c r="AA114" s="570"/>
      <c r="AB114" s="570"/>
      <c r="AC114" s="570"/>
      <c r="AD114" s="570"/>
      <c r="AE114" s="570"/>
      <c r="AF114" s="570"/>
    </row>
    <row r="115" spans="1:32">
      <c r="A115" s="570" t="s">
        <v>684</v>
      </c>
      <c r="B115" s="570"/>
      <c r="C115" s="570"/>
      <c r="D115" s="570"/>
      <c r="E115" s="570"/>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0"/>
      <c r="AF115" s="570"/>
    </row>
    <row r="116" spans="1:32">
      <c r="A116" s="570" t="s">
        <v>616</v>
      </c>
      <c r="B116" s="570"/>
      <c r="C116" s="570"/>
      <c r="D116" s="570"/>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row>
    <row r="117" spans="1:32">
      <c r="A117" s="570" t="s">
        <v>617</v>
      </c>
      <c r="B117" s="570"/>
      <c r="C117" s="570"/>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row>
    <row r="118" spans="1:32">
      <c r="A118" s="570" t="s">
        <v>618</v>
      </c>
      <c r="B118" s="570"/>
      <c r="C118" s="570"/>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row>
    <row r="119" spans="1:32">
      <c r="A119" s="570" t="s">
        <v>685</v>
      </c>
      <c r="B119" s="570"/>
      <c r="C119" s="570"/>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row>
    <row r="120" spans="1:32">
      <c r="A120" s="570" t="s">
        <v>686</v>
      </c>
      <c r="B120" s="570"/>
      <c r="C120" s="570"/>
      <c r="D120" s="570"/>
      <c r="E120" s="570"/>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0"/>
      <c r="AD120" s="570"/>
      <c r="AE120" s="570"/>
      <c r="AF120" s="570"/>
    </row>
    <row r="121" spans="1:32">
      <c r="A121" s="570" t="s">
        <v>620</v>
      </c>
      <c r="B121" s="570"/>
      <c r="C121" s="570"/>
      <c r="D121" s="570"/>
      <c r="E121" s="570"/>
      <c r="F121" s="570"/>
      <c r="G121" s="570"/>
      <c r="H121" s="570"/>
      <c r="I121" s="570"/>
      <c r="J121" s="570"/>
      <c r="K121" s="570"/>
      <c r="L121" s="570"/>
      <c r="M121" s="570"/>
      <c r="N121" s="570"/>
      <c r="O121" s="570"/>
      <c r="P121" s="570"/>
      <c r="Q121" s="570"/>
      <c r="R121" s="570"/>
      <c r="S121" s="570"/>
      <c r="T121" s="570"/>
      <c r="U121" s="570"/>
      <c r="V121" s="570"/>
      <c r="W121" s="570"/>
      <c r="X121" s="570"/>
      <c r="Y121" s="570"/>
      <c r="Z121" s="570"/>
      <c r="AA121" s="570"/>
      <c r="AB121" s="570"/>
      <c r="AC121" s="570"/>
      <c r="AD121" s="570"/>
      <c r="AE121" s="570"/>
      <c r="AF121" s="570"/>
    </row>
    <row r="122" spans="1:32">
      <c r="A122" s="570" t="s">
        <v>623</v>
      </c>
      <c r="B122" s="570"/>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2015-02-23T18:15:15Z</dcterms:modified>
</cp:coreProperties>
</file>