
<file path=[Content_Types].xml><?xml version="1.0" encoding="utf-8"?>
<Types xmlns="http://schemas.openxmlformats.org/package/2006/content-types">
  <Default Extension="xml" ContentType="application/xml"/>
  <Default Extension="vml" ContentType="application/vnd.openxmlformats-officedocument.vmlDrawin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omments7.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4426"/>
  <workbookPr autoCompressPictures="0"/>
  <bookViews>
    <workbookView xWindow="480" yWindow="480" windowWidth="25120" windowHeight="14920" tabRatio="923"/>
  </bookViews>
  <sheets>
    <sheet name="Inputs" sheetId="5" r:id="rId1"/>
    <sheet name="Instructions" sheetId="31" r:id="rId2"/>
    <sheet name="Output -Jobs vs Yr" sheetId="15" r:id="rId3"/>
    <sheet name="Output - Jobs vs Yr (BAU)" sheetId="9" r:id="rId4"/>
    <sheet name="Technologies and jobs per MW" sheetId="27" r:id="rId5"/>
    <sheet name="Refs" sheetId="30" r:id="rId6"/>
    <sheet name="EIA_electricity_aeo2014" sheetId="11" r:id="rId7"/>
    <sheet name="EIA_RE_aeo2014" sheetId="8" r:id="rId8"/>
    <sheet name="backup - Mass Transit" sheetId="21" r:id="rId9"/>
    <sheet name="backup - EIA liq_fuelS_aeo2014" sheetId="18" r:id="rId10"/>
  </sheets>
  <definedNames>
    <definedName name="_Regression_Int" localSheetId="9" hidden="1">1</definedName>
    <definedName name="_Regression_Int" localSheetId="6" hidden="1">1</definedName>
    <definedName name="_Regression_Int" localSheetId="7" hidden="1">1</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B39" i="27" l="1"/>
  <c r="E38" i="27"/>
  <c r="H38" i="27"/>
  <c r="J38" i="27"/>
  <c r="L38" i="27"/>
  <c r="F38" i="27"/>
  <c r="I38" i="27"/>
  <c r="K38" i="27"/>
  <c r="M38" i="27"/>
  <c r="N38" i="27"/>
  <c r="O36" i="27"/>
  <c r="H35" i="27"/>
  <c r="J35" i="27"/>
  <c r="L35" i="27"/>
  <c r="I35" i="27"/>
  <c r="K35" i="27"/>
  <c r="M35" i="27"/>
  <c r="N35" i="27"/>
  <c r="O35" i="27"/>
  <c r="H34" i="27"/>
  <c r="J34" i="27"/>
  <c r="L34" i="27"/>
  <c r="K34" i="27"/>
  <c r="M34" i="27"/>
  <c r="N34" i="27"/>
  <c r="O34" i="27"/>
  <c r="H33" i="27"/>
  <c r="J33" i="27"/>
  <c r="L33" i="27"/>
  <c r="I33" i="27"/>
  <c r="K33" i="27"/>
  <c r="M33" i="27"/>
  <c r="N33" i="27"/>
  <c r="O33" i="27"/>
  <c r="O32" i="27"/>
  <c r="H31" i="27"/>
  <c r="J31" i="27"/>
  <c r="L31" i="27"/>
  <c r="I31" i="27"/>
  <c r="K31" i="27"/>
  <c r="M31" i="27"/>
  <c r="N31" i="27"/>
  <c r="H30" i="27"/>
  <c r="J30" i="27"/>
  <c r="L30" i="27"/>
  <c r="I30" i="27"/>
  <c r="K30" i="27"/>
  <c r="M30" i="27"/>
  <c r="N30" i="27"/>
  <c r="H29" i="27"/>
  <c r="J29" i="27"/>
  <c r="L29" i="27"/>
  <c r="I29" i="27"/>
  <c r="K29" i="27"/>
  <c r="M29" i="27"/>
  <c r="N29" i="27"/>
  <c r="H28" i="27"/>
  <c r="J28" i="27"/>
  <c r="L28" i="27"/>
  <c r="I28" i="27"/>
  <c r="K28" i="27"/>
  <c r="M28" i="27"/>
  <c r="N28" i="27"/>
  <c r="H27" i="27"/>
  <c r="J27" i="27"/>
  <c r="L27" i="27"/>
  <c r="I27" i="27"/>
  <c r="K27" i="27"/>
  <c r="M27" i="27"/>
  <c r="N27" i="27"/>
  <c r="O27" i="27"/>
  <c r="H26" i="27"/>
  <c r="J26" i="27"/>
  <c r="L26" i="27"/>
  <c r="I26" i="27"/>
  <c r="K26" i="27"/>
  <c r="M26" i="27"/>
  <c r="N26" i="27"/>
  <c r="H25" i="27"/>
  <c r="J25" i="27"/>
  <c r="L25" i="27"/>
  <c r="I25" i="27"/>
  <c r="K25" i="27"/>
  <c r="M25" i="27"/>
  <c r="N25" i="27"/>
  <c r="E24" i="27"/>
  <c r="H24" i="27"/>
  <c r="J24" i="27"/>
  <c r="L24" i="27"/>
  <c r="I24" i="27"/>
  <c r="K24" i="27"/>
  <c r="M24" i="27"/>
  <c r="N24" i="27"/>
  <c r="O24" i="27"/>
  <c r="H23" i="27"/>
  <c r="J23" i="27"/>
  <c r="L23" i="27"/>
  <c r="I23" i="27"/>
  <c r="K23" i="27"/>
  <c r="M23" i="27"/>
  <c r="N23" i="27"/>
  <c r="H22" i="27"/>
  <c r="J22" i="27"/>
  <c r="L22" i="27"/>
  <c r="I22" i="27"/>
  <c r="K22" i="27"/>
  <c r="M22" i="27"/>
  <c r="N22" i="27"/>
  <c r="O21" i="27"/>
  <c r="H21" i="27"/>
  <c r="J21" i="27"/>
  <c r="L21" i="27"/>
  <c r="I21" i="27"/>
  <c r="K21" i="27"/>
  <c r="M21" i="27"/>
  <c r="N21" i="27"/>
  <c r="H20" i="27"/>
  <c r="J20" i="27"/>
  <c r="L20" i="27"/>
  <c r="I20" i="27"/>
  <c r="K20" i="27"/>
  <c r="M20" i="27"/>
  <c r="N20" i="27"/>
  <c r="O20" i="27"/>
  <c r="H19" i="27"/>
  <c r="J19" i="27"/>
  <c r="L19" i="27"/>
  <c r="I19" i="27"/>
  <c r="K19" i="27"/>
  <c r="M19" i="27"/>
  <c r="N19" i="27"/>
  <c r="H18" i="27"/>
  <c r="J18" i="27"/>
  <c r="L18" i="27"/>
  <c r="I18" i="27"/>
  <c r="K18" i="27"/>
  <c r="M18" i="27"/>
  <c r="N18" i="27"/>
  <c r="O18" i="27"/>
  <c r="H17" i="27"/>
  <c r="J17" i="27"/>
  <c r="L17" i="27"/>
  <c r="I17" i="27"/>
  <c r="K17" i="27"/>
  <c r="M17" i="27"/>
  <c r="N17" i="27"/>
  <c r="H16" i="27"/>
  <c r="J16" i="27"/>
  <c r="L16" i="27"/>
  <c r="I16" i="27"/>
  <c r="K16" i="27"/>
  <c r="M16" i="27"/>
  <c r="N16" i="27"/>
  <c r="E15" i="27"/>
  <c r="H15" i="27"/>
  <c r="J15" i="27"/>
  <c r="L15" i="27"/>
  <c r="F15" i="27"/>
  <c r="I15" i="27"/>
  <c r="K15" i="27"/>
  <c r="M15" i="27"/>
  <c r="N15" i="27"/>
  <c r="O15" i="27"/>
  <c r="H14" i="27"/>
  <c r="J14" i="27"/>
  <c r="L14" i="27"/>
  <c r="I14" i="27"/>
  <c r="K14" i="27"/>
  <c r="M14" i="27"/>
  <c r="N14" i="27"/>
  <c r="H13" i="27"/>
  <c r="J13" i="27"/>
  <c r="L13" i="27"/>
  <c r="I13" i="27"/>
  <c r="K13" i="27"/>
  <c r="M13" i="27"/>
  <c r="N13" i="27"/>
  <c r="O13" i="27"/>
  <c r="H56" i="11"/>
  <c r="I56" i="11"/>
  <c r="J56" i="11"/>
  <c r="K56" i="11"/>
  <c r="L56" i="11"/>
  <c r="M56" i="11"/>
  <c r="N56" i="11"/>
  <c r="O56" i="11"/>
  <c r="P56" i="11"/>
  <c r="Q56" i="11"/>
  <c r="R56" i="11"/>
  <c r="S56" i="11"/>
  <c r="T56" i="11"/>
  <c r="U56" i="11"/>
  <c r="V56" i="11"/>
  <c r="W56" i="11"/>
  <c r="X56" i="11"/>
  <c r="Y56" i="11"/>
  <c r="Z56" i="11"/>
  <c r="AA56" i="11"/>
  <c r="AB56" i="11"/>
  <c r="AC56" i="11"/>
  <c r="AD56" i="11"/>
  <c r="AE56" i="11"/>
  <c r="AF56" i="11"/>
  <c r="AG56" i="11"/>
  <c r="AH56" i="11"/>
  <c r="AI56" i="11"/>
  <c r="AJ56" i="11"/>
  <c r="G56" i="11"/>
  <c r="H108" i="15"/>
  <c r="H113" i="15"/>
  <c r="H118" i="15"/>
  <c r="H135" i="15"/>
  <c r="H140" i="15"/>
  <c r="H145" i="15"/>
  <c r="H179" i="15"/>
  <c r="H47" i="9"/>
  <c r="H52" i="9"/>
  <c r="H55" i="9"/>
  <c r="H65" i="9"/>
  <c r="H70" i="9"/>
  <c r="H73" i="9"/>
  <c r="H176" i="15"/>
  <c r="H182" i="15"/>
  <c r="H185" i="15"/>
  <c r="H55" i="11"/>
  <c r="I55" i="11"/>
  <c r="J55" i="11"/>
  <c r="K55" i="11"/>
  <c r="L55" i="11"/>
  <c r="M55" i="11"/>
  <c r="N55" i="11"/>
  <c r="O55" i="11"/>
  <c r="P55" i="11"/>
  <c r="Q55" i="11"/>
  <c r="R55" i="11"/>
  <c r="S55" i="11"/>
  <c r="T55" i="11"/>
  <c r="U55" i="11"/>
  <c r="V55" i="11"/>
  <c r="W55" i="11"/>
  <c r="X55" i="11"/>
  <c r="Y55" i="11"/>
  <c r="Z55" i="11"/>
  <c r="AA55" i="11"/>
  <c r="AB55" i="11"/>
  <c r="AC55" i="11"/>
  <c r="AD55" i="11"/>
  <c r="AE55" i="11"/>
  <c r="AF55" i="11"/>
  <c r="AG55" i="11"/>
  <c r="AH55" i="11"/>
  <c r="AI55" i="11"/>
  <c r="AJ55" i="11"/>
  <c r="G55" i="11"/>
  <c r="G58" i="11"/>
  <c r="H76" i="8"/>
  <c r="I76" i="8"/>
  <c r="J76" i="8"/>
  <c r="K76" i="8"/>
  <c r="L76" i="8"/>
  <c r="M76" i="8"/>
  <c r="N76" i="8"/>
  <c r="O76" i="8"/>
  <c r="P76" i="8"/>
  <c r="Q76" i="8"/>
  <c r="R76" i="8"/>
  <c r="S76" i="8"/>
  <c r="T76" i="8"/>
  <c r="U76" i="8"/>
  <c r="V76" i="8"/>
  <c r="W76" i="8"/>
  <c r="X76" i="8"/>
  <c r="Y76" i="8"/>
  <c r="Z76" i="8"/>
  <c r="AA76" i="8"/>
  <c r="AB76" i="8"/>
  <c r="AC76" i="8"/>
  <c r="AD76" i="8"/>
  <c r="AE76" i="8"/>
  <c r="AF76" i="8"/>
  <c r="AG76" i="8"/>
  <c r="AH76" i="8"/>
  <c r="AI76" i="8"/>
  <c r="AJ76" i="8"/>
  <c r="G76" i="8"/>
  <c r="P74" i="8"/>
  <c r="P78" i="8"/>
  <c r="P79" i="8"/>
  <c r="P54" i="11"/>
  <c r="P58" i="11"/>
  <c r="N13" i="15"/>
  <c r="N14" i="15"/>
  <c r="D35" i="5"/>
  <c r="C35" i="5"/>
  <c r="N26" i="15"/>
  <c r="N31" i="15"/>
  <c r="D36" i="5"/>
  <c r="C36" i="5"/>
  <c r="N18" i="15"/>
  <c r="N32" i="15"/>
  <c r="N10" i="9"/>
  <c r="D17" i="5"/>
  <c r="N11" i="9"/>
  <c r="N16" i="9"/>
  <c r="N18" i="9"/>
  <c r="D11" i="5"/>
  <c r="C17" i="5"/>
  <c r="D18" i="5"/>
  <c r="C18" i="5"/>
  <c r="D19" i="5"/>
  <c r="C19" i="5"/>
  <c r="D20" i="5"/>
  <c r="C20" i="5"/>
  <c r="D21" i="5"/>
  <c r="C21" i="5"/>
  <c r="D22" i="5"/>
  <c r="C22" i="5"/>
  <c r="D23" i="5"/>
  <c r="C23" i="5"/>
  <c r="C24" i="5"/>
  <c r="E17" i="5"/>
  <c r="N19" i="15"/>
  <c r="N20" i="15"/>
  <c r="N21" i="15"/>
  <c r="N34" i="15"/>
  <c r="E19" i="5"/>
  <c r="N35" i="15"/>
  <c r="E20" i="5"/>
  <c r="N37" i="15"/>
  <c r="E21" i="5"/>
  <c r="N38" i="15"/>
  <c r="E22" i="5"/>
  <c r="N39" i="15"/>
  <c r="E18" i="5"/>
  <c r="N40" i="15"/>
  <c r="E23" i="5"/>
  <c r="N42" i="15"/>
  <c r="N43" i="15"/>
  <c r="N30" i="15"/>
  <c r="N46" i="15"/>
  <c r="N47" i="15"/>
  <c r="N48" i="15"/>
  <c r="N49" i="15"/>
  <c r="N93" i="15"/>
  <c r="J74" i="8"/>
  <c r="H11" i="9"/>
  <c r="H35" i="15"/>
  <c r="J78" i="8"/>
  <c r="H16" i="9"/>
  <c r="H42" i="15"/>
  <c r="H10" i="9"/>
  <c r="H34" i="15"/>
  <c r="H43" i="15"/>
  <c r="J79" i="8"/>
  <c r="J54" i="11"/>
  <c r="J58" i="11"/>
  <c r="H14" i="15"/>
  <c r="H30" i="15"/>
  <c r="H46" i="15"/>
  <c r="H47" i="15"/>
  <c r="H48" i="15"/>
  <c r="H49" i="15"/>
  <c r="H93" i="15"/>
  <c r="N78" i="15"/>
  <c r="N94" i="15"/>
  <c r="H94" i="15"/>
  <c r="N79" i="15"/>
  <c r="N87" i="15"/>
  <c r="H87" i="15"/>
  <c r="N72" i="15"/>
  <c r="Z74" i="8"/>
  <c r="Z78" i="8"/>
  <c r="Z79" i="8"/>
  <c r="Z54" i="11"/>
  <c r="Z58" i="11"/>
  <c r="X13" i="15"/>
  <c r="X14" i="15"/>
  <c r="D29" i="5"/>
  <c r="C29" i="5"/>
  <c r="D28" i="5"/>
  <c r="C28" i="5"/>
  <c r="F35" i="5"/>
  <c r="AJ74" i="8"/>
  <c r="AJ78" i="8"/>
  <c r="AJ79" i="8"/>
  <c r="AJ54" i="11"/>
  <c r="AJ58" i="11"/>
  <c r="AH13" i="15"/>
  <c r="AH14" i="15"/>
  <c r="D30" i="5"/>
  <c r="C30" i="5"/>
  <c r="H35" i="5"/>
  <c r="AH26" i="15"/>
  <c r="AH31" i="15"/>
  <c r="F36" i="5"/>
  <c r="H36" i="5"/>
  <c r="AH18" i="15"/>
  <c r="AH32" i="15"/>
  <c r="F17" i="5"/>
  <c r="I17" i="5"/>
  <c r="AH34" i="15"/>
  <c r="F19" i="5"/>
  <c r="I19" i="5"/>
  <c r="AH35" i="15"/>
  <c r="F20" i="5"/>
  <c r="I20" i="5"/>
  <c r="AH37" i="15"/>
  <c r="F21" i="5"/>
  <c r="I21" i="5"/>
  <c r="AH38" i="15"/>
  <c r="F22" i="5"/>
  <c r="I22" i="5"/>
  <c r="AH39" i="15"/>
  <c r="F18" i="5"/>
  <c r="I18" i="5"/>
  <c r="AH40" i="15"/>
  <c r="F23" i="5"/>
  <c r="I23" i="5"/>
  <c r="AH42" i="15"/>
  <c r="AH43" i="15"/>
  <c r="F34" i="5"/>
  <c r="H34" i="5"/>
  <c r="AH24" i="15"/>
  <c r="AH30" i="15"/>
  <c r="AH46" i="15"/>
  <c r="AH47" i="15"/>
  <c r="AH48" i="15"/>
  <c r="AH49" i="15"/>
  <c r="AH93" i="15"/>
  <c r="X26" i="15"/>
  <c r="X31" i="15"/>
  <c r="X18" i="15"/>
  <c r="X32" i="15"/>
  <c r="X34" i="15"/>
  <c r="X35" i="15"/>
  <c r="X37" i="15"/>
  <c r="X38" i="15"/>
  <c r="X39" i="15"/>
  <c r="X40" i="15"/>
  <c r="X42" i="15"/>
  <c r="X43" i="15"/>
  <c r="X24" i="15"/>
  <c r="X30" i="15"/>
  <c r="X46" i="15"/>
  <c r="X47" i="15"/>
  <c r="X48" i="15"/>
  <c r="X49" i="15"/>
  <c r="X93" i="15"/>
  <c r="AH78" i="15"/>
  <c r="AH94" i="15"/>
  <c r="X94" i="15"/>
  <c r="AH79" i="15"/>
  <c r="AH87" i="15"/>
  <c r="X87" i="15"/>
  <c r="AH72" i="15"/>
  <c r="X78" i="15"/>
  <c r="X79" i="15"/>
  <c r="X72" i="15"/>
  <c r="H74" i="8"/>
  <c r="H78" i="8"/>
  <c r="H79" i="8"/>
  <c r="I74" i="8"/>
  <c r="I78" i="8"/>
  <c r="I79" i="8"/>
  <c r="K74" i="8"/>
  <c r="K78" i="8"/>
  <c r="K79" i="8"/>
  <c r="L74" i="8"/>
  <c r="L78" i="8"/>
  <c r="L79" i="8"/>
  <c r="M74" i="8"/>
  <c r="M78" i="8"/>
  <c r="M79" i="8"/>
  <c r="N74" i="8"/>
  <c r="N78" i="8"/>
  <c r="N79" i="8"/>
  <c r="O74" i="8"/>
  <c r="O78" i="8"/>
  <c r="O79" i="8"/>
  <c r="Q74" i="8"/>
  <c r="Q78" i="8"/>
  <c r="Q79" i="8"/>
  <c r="R74" i="8"/>
  <c r="R78" i="8"/>
  <c r="R79" i="8"/>
  <c r="S74" i="8"/>
  <c r="S78" i="8"/>
  <c r="S79" i="8"/>
  <c r="T74" i="8"/>
  <c r="T78" i="8"/>
  <c r="T79" i="8"/>
  <c r="U74" i="8"/>
  <c r="U78" i="8"/>
  <c r="U79" i="8"/>
  <c r="V74" i="8"/>
  <c r="V78" i="8"/>
  <c r="V79" i="8"/>
  <c r="W74" i="8"/>
  <c r="W78" i="8"/>
  <c r="W79" i="8"/>
  <c r="X74" i="8"/>
  <c r="X78" i="8"/>
  <c r="X79" i="8"/>
  <c r="Y74" i="8"/>
  <c r="Y78" i="8"/>
  <c r="Y79" i="8"/>
  <c r="AA74" i="8"/>
  <c r="AA78" i="8"/>
  <c r="AA79" i="8"/>
  <c r="AB74" i="8"/>
  <c r="AB78" i="8"/>
  <c r="AB79" i="8"/>
  <c r="AC74" i="8"/>
  <c r="AC78" i="8"/>
  <c r="AC79" i="8"/>
  <c r="AD74" i="8"/>
  <c r="AD78" i="8"/>
  <c r="AD79" i="8"/>
  <c r="AE74" i="8"/>
  <c r="AE78" i="8"/>
  <c r="AE79" i="8"/>
  <c r="AF74" i="8"/>
  <c r="AF78" i="8"/>
  <c r="AF79" i="8"/>
  <c r="AG74" i="8"/>
  <c r="AG78" i="8"/>
  <c r="AG79" i="8"/>
  <c r="AH74" i="8"/>
  <c r="AH78" i="8"/>
  <c r="AH79" i="8"/>
  <c r="AI74" i="8"/>
  <c r="AI78" i="8"/>
  <c r="AI79" i="8"/>
  <c r="G74" i="8"/>
  <c r="G78" i="8"/>
  <c r="G79" i="8"/>
  <c r="H54" i="11"/>
  <c r="I54" i="11"/>
  <c r="K54" i="11"/>
  <c r="L54" i="11"/>
  <c r="M54" i="11"/>
  <c r="N54" i="11"/>
  <c r="O54" i="11"/>
  <c r="Q54" i="11"/>
  <c r="R54" i="11"/>
  <c r="S54" i="11"/>
  <c r="T54" i="11"/>
  <c r="U54" i="11"/>
  <c r="V54" i="11"/>
  <c r="W54" i="11"/>
  <c r="X54" i="11"/>
  <c r="Y54" i="11"/>
  <c r="AA54" i="11"/>
  <c r="AB54" i="11"/>
  <c r="AC54" i="11"/>
  <c r="AD54" i="11"/>
  <c r="AE54" i="11"/>
  <c r="AF54" i="11"/>
  <c r="AG54" i="11"/>
  <c r="AH54" i="11"/>
  <c r="AI54" i="11"/>
  <c r="G54" i="11"/>
  <c r="C76" i="8"/>
  <c r="D76" i="8"/>
  <c r="E76" i="8"/>
  <c r="F76" i="8"/>
  <c r="B76" i="8"/>
  <c r="B56" i="11"/>
  <c r="C56" i="11"/>
  <c r="D56" i="11"/>
  <c r="E56" i="11"/>
  <c r="F56" i="11"/>
  <c r="C55" i="11"/>
  <c r="D55" i="11"/>
  <c r="E55" i="11"/>
  <c r="F55" i="11"/>
  <c r="B55" i="11"/>
  <c r="C54" i="11"/>
  <c r="D54" i="11"/>
  <c r="E54" i="11"/>
  <c r="F54" i="11"/>
  <c r="B54" i="11"/>
  <c r="C52" i="11"/>
  <c r="D52" i="11"/>
  <c r="E52" i="11"/>
  <c r="F52" i="11"/>
  <c r="B52" i="11"/>
  <c r="B50" i="11"/>
  <c r="C50" i="11"/>
  <c r="D50" i="11"/>
  <c r="E50" i="11"/>
  <c r="F50" i="11"/>
  <c r="B51" i="11"/>
  <c r="C51" i="11"/>
  <c r="D51" i="11"/>
  <c r="E51" i="11"/>
  <c r="F51" i="11"/>
  <c r="C49" i="11"/>
  <c r="D49" i="11"/>
  <c r="E49" i="11"/>
  <c r="F49" i="11"/>
  <c r="B49" i="11"/>
  <c r="C79" i="8"/>
  <c r="D79" i="8"/>
  <c r="E79" i="8"/>
  <c r="F79" i="8"/>
  <c r="B79" i="8"/>
  <c r="C78" i="8"/>
  <c r="D78" i="8"/>
  <c r="E78" i="8"/>
  <c r="F78" i="8"/>
  <c r="B78" i="8"/>
  <c r="C77" i="8"/>
  <c r="D77" i="8"/>
  <c r="E77" i="8"/>
  <c r="F77" i="8"/>
  <c r="B77" i="8"/>
  <c r="C75" i="8"/>
  <c r="D75" i="8"/>
  <c r="E75" i="8"/>
  <c r="F75" i="8"/>
  <c r="B75" i="8"/>
  <c r="C74" i="8"/>
  <c r="D74" i="8"/>
  <c r="E74" i="8"/>
  <c r="F74" i="8"/>
  <c r="B74" i="8"/>
  <c r="C73" i="8"/>
  <c r="D73" i="8"/>
  <c r="E73" i="8"/>
  <c r="F73" i="8"/>
  <c r="B73" i="8"/>
  <c r="H52" i="11"/>
  <c r="I52" i="11"/>
  <c r="J52" i="11"/>
  <c r="K52" i="11"/>
  <c r="L52" i="11"/>
  <c r="M52" i="11"/>
  <c r="N52" i="11"/>
  <c r="O52" i="11"/>
  <c r="P52" i="11"/>
  <c r="Q52" i="11"/>
  <c r="R52" i="11"/>
  <c r="S52" i="11"/>
  <c r="T52" i="11"/>
  <c r="U52" i="11"/>
  <c r="V52" i="11"/>
  <c r="W52" i="11"/>
  <c r="X52" i="11"/>
  <c r="Y52" i="11"/>
  <c r="Z52" i="11"/>
  <c r="AA52" i="11"/>
  <c r="AB52" i="11"/>
  <c r="AC52" i="11"/>
  <c r="AD52" i="11"/>
  <c r="AE52" i="11"/>
  <c r="AF52" i="11"/>
  <c r="AG52" i="11"/>
  <c r="AH52" i="11"/>
  <c r="AI52" i="11"/>
  <c r="AJ52" i="11"/>
  <c r="G52" i="11"/>
  <c r="H49" i="11"/>
  <c r="H50" i="11"/>
  <c r="H51" i="11"/>
  <c r="H58" i="11"/>
  <c r="I49" i="11"/>
  <c r="I50" i="11"/>
  <c r="I51" i="11"/>
  <c r="I58" i="11"/>
  <c r="J49" i="11"/>
  <c r="J50" i="11"/>
  <c r="J51" i="11"/>
  <c r="K49" i="11"/>
  <c r="K50" i="11"/>
  <c r="K51" i="11"/>
  <c r="K58" i="11"/>
  <c r="L49" i="11"/>
  <c r="L50" i="11"/>
  <c r="L51" i="11"/>
  <c r="L58" i="11"/>
  <c r="M49" i="11"/>
  <c r="M50" i="11"/>
  <c r="M51" i="11"/>
  <c r="M58" i="11"/>
  <c r="N49" i="11"/>
  <c r="N50" i="11"/>
  <c r="N51" i="11"/>
  <c r="N58" i="11"/>
  <c r="O49" i="11"/>
  <c r="O50" i="11"/>
  <c r="O51" i="11"/>
  <c r="O58" i="11"/>
  <c r="P49" i="11"/>
  <c r="P50" i="11"/>
  <c r="P51" i="11"/>
  <c r="Q49" i="11"/>
  <c r="Q50" i="11"/>
  <c r="Q51" i="11"/>
  <c r="Q58" i="11"/>
  <c r="R49" i="11"/>
  <c r="R50" i="11"/>
  <c r="R51" i="11"/>
  <c r="R58" i="11"/>
  <c r="S49" i="11"/>
  <c r="S50" i="11"/>
  <c r="S51" i="11"/>
  <c r="S58" i="11"/>
  <c r="T49" i="11"/>
  <c r="T50" i="11"/>
  <c r="T51" i="11"/>
  <c r="T58" i="11"/>
  <c r="U49" i="11"/>
  <c r="U50" i="11"/>
  <c r="U51" i="11"/>
  <c r="U58" i="11"/>
  <c r="V49" i="11"/>
  <c r="V50" i="11"/>
  <c r="V51" i="11"/>
  <c r="V58" i="11"/>
  <c r="W49" i="11"/>
  <c r="W50" i="11"/>
  <c r="W51" i="11"/>
  <c r="W58" i="11"/>
  <c r="X49" i="11"/>
  <c r="X50" i="11"/>
  <c r="X51" i="11"/>
  <c r="X58" i="11"/>
  <c r="Y49" i="11"/>
  <c r="Y50" i="11"/>
  <c r="Y51" i="11"/>
  <c r="Y58" i="11"/>
  <c r="Z49" i="11"/>
  <c r="Z50" i="11"/>
  <c r="Z51" i="11"/>
  <c r="AA49" i="11"/>
  <c r="AA50" i="11"/>
  <c r="AA51" i="11"/>
  <c r="AA58" i="11"/>
  <c r="AB49" i="11"/>
  <c r="AB50" i="11"/>
  <c r="AB51" i="11"/>
  <c r="AB58" i="11"/>
  <c r="AC49" i="11"/>
  <c r="AC50" i="11"/>
  <c r="AC51" i="11"/>
  <c r="AC58" i="11"/>
  <c r="AD49" i="11"/>
  <c r="AD50" i="11"/>
  <c r="AD51" i="11"/>
  <c r="AD58" i="11"/>
  <c r="AE49" i="11"/>
  <c r="AE50" i="11"/>
  <c r="AE51" i="11"/>
  <c r="AE58" i="11"/>
  <c r="AF49" i="11"/>
  <c r="AF50" i="11"/>
  <c r="AF51" i="11"/>
  <c r="AF58" i="11"/>
  <c r="AG49" i="11"/>
  <c r="AG50" i="11"/>
  <c r="AG51" i="11"/>
  <c r="AG58" i="11"/>
  <c r="AH49" i="11"/>
  <c r="AH50" i="11"/>
  <c r="AH51" i="11"/>
  <c r="AH58" i="11"/>
  <c r="AI49" i="11"/>
  <c r="AI50" i="11"/>
  <c r="AI51" i="11"/>
  <c r="AI58" i="11"/>
  <c r="AJ49" i="11"/>
  <c r="AJ50" i="11"/>
  <c r="AJ51" i="11"/>
  <c r="AH16" i="15"/>
  <c r="Z13" i="15"/>
  <c r="Z14" i="15"/>
  <c r="N8" i="9"/>
  <c r="P73" i="8"/>
  <c r="N7" i="9"/>
  <c r="P75" i="8"/>
  <c r="N12" i="9"/>
  <c r="N13" i="9"/>
  <c r="N14" i="9"/>
  <c r="X8" i="9"/>
  <c r="Z73" i="8"/>
  <c r="X7" i="9"/>
  <c r="Z60" i="11"/>
  <c r="X58" i="15"/>
  <c r="AJ60" i="11"/>
  <c r="AH86" i="15"/>
  <c r="X86" i="15"/>
  <c r="AH71" i="15"/>
  <c r="Y58" i="15"/>
  <c r="Z58" i="15"/>
  <c r="Z10" i="9"/>
  <c r="Z34" i="15"/>
  <c r="Y26" i="15"/>
  <c r="Z26" i="15"/>
  <c r="Z31" i="15"/>
  <c r="Y18" i="15"/>
  <c r="Z18" i="15"/>
  <c r="Z32" i="15"/>
  <c r="X59" i="15"/>
  <c r="Y59" i="15"/>
  <c r="Z59" i="15"/>
  <c r="Z11" i="9"/>
  <c r="Z35" i="15"/>
  <c r="X61" i="15"/>
  <c r="AH89" i="15"/>
  <c r="X89" i="15"/>
  <c r="AH74" i="15"/>
  <c r="Y61" i="15"/>
  <c r="Z61" i="15"/>
  <c r="AB75" i="8"/>
  <c r="Z12" i="9"/>
  <c r="Z37" i="15"/>
  <c r="X62" i="15"/>
  <c r="AH90" i="15"/>
  <c r="X90" i="15"/>
  <c r="AH75" i="15"/>
  <c r="Y62" i="15"/>
  <c r="Z62" i="15"/>
  <c r="Z13" i="9"/>
  <c r="Z38" i="15"/>
  <c r="X63" i="15"/>
  <c r="AH91" i="15"/>
  <c r="X91" i="15"/>
  <c r="AH76" i="15"/>
  <c r="Y63" i="15"/>
  <c r="Z63" i="15"/>
  <c r="Z14" i="9"/>
  <c r="Z39" i="15"/>
  <c r="X64" i="15"/>
  <c r="AH92" i="15"/>
  <c r="X92" i="15"/>
  <c r="AH77" i="15"/>
  <c r="Y64" i="15"/>
  <c r="Z64" i="15"/>
  <c r="Z40" i="15"/>
  <c r="X66" i="15"/>
  <c r="Y66" i="15"/>
  <c r="Z66" i="15"/>
  <c r="Z16" i="9"/>
  <c r="Z42" i="15"/>
  <c r="Z43" i="15"/>
  <c r="Y24" i="15"/>
  <c r="Z24" i="15"/>
  <c r="Z30" i="15"/>
  <c r="Z46" i="15"/>
  <c r="AB60" i="11"/>
  <c r="Z47" i="15"/>
  <c r="Z48" i="15"/>
  <c r="Z49" i="15"/>
  <c r="Z86" i="15"/>
  <c r="Z87" i="15"/>
  <c r="Z88" i="15"/>
  <c r="Z89" i="15"/>
  <c r="Z90" i="15"/>
  <c r="Z91" i="15"/>
  <c r="Z92" i="15"/>
  <c r="Z93" i="15"/>
  <c r="Z94" i="15"/>
  <c r="Z95" i="15"/>
  <c r="Z16" i="15"/>
  <c r="AA13" i="15"/>
  <c r="AA14" i="15"/>
  <c r="AA58" i="15"/>
  <c r="AA10" i="9"/>
  <c r="AA34" i="15"/>
  <c r="AA26" i="15"/>
  <c r="AA31" i="15"/>
  <c r="AA18" i="15"/>
  <c r="AA32" i="15"/>
  <c r="AA59" i="15"/>
  <c r="AA11" i="9"/>
  <c r="AA35" i="15"/>
  <c r="AA61" i="15"/>
  <c r="AC75" i="8"/>
  <c r="AA12" i="9"/>
  <c r="AA37" i="15"/>
  <c r="AA62" i="15"/>
  <c r="AA13" i="9"/>
  <c r="AA38" i="15"/>
  <c r="AA63" i="15"/>
  <c r="AA14" i="9"/>
  <c r="AA39" i="15"/>
  <c r="AA64" i="15"/>
  <c r="AA40" i="15"/>
  <c r="AA66" i="15"/>
  <c r="AA16" i="9"/>
  <c r="AA42" i="15"/>
  <c r="AA43" i="15"/>
  <c r="AA24" i="15"/>
  <c r="AA30" i="15"/>
  <c r="AA46" i="15"/>
  <c r="AC60" i="11"/>
  <c r="AA47" i="15"/>
  <c r="AA48" i="15"/>
  <c r="AA49" i="15"/>
  <c r="AA86" i="15"/>
  <c r="AA87" i="15"/>
  <c r="AA88" i="15"/>
  <c r="AA89" i="15"/>
  <c r="AA90" i="15"/>
  <c r="AA91" i="15"/>
  <c r="AA92" i="15"/>
  <c r="AA93" i="15"/>
  <c r="AA94" i="15"/>
  <c r="AA95" i="15"/>
  <c r="AA16" i="15"/>
  <c r="AB13" i="15"/>
  <c r="AB14" i="15"/>
  <c r="AB58" i="15"/>
  <c r="AB10" i="9"/>
  <c r="AB34" i="15"/>
  <c r="AB26" i="15"/>
  <c r="AB31" i="15"/>
  <c r="AB18" i="15"/>
  <c r="AB32" i="15"/>
  <c r="AB59" i="15"/>
  <c r="AB11" i="9"/>
  <c r="AB35" i="15"/>
  <c r="AB61" i="15"/>
  <c r="AD75" i="8"/>
  <c r="AB12" i="9"/>
  <c r="AB37" i="15"/>
  <c r="AB62" i="15"/>
  <c r="AB13" i="9"/>
  <c r="AB38" i="15"/>
  <c r="AB63" i="15"/>
  <c r="AB14" i="9"/>
  <c r="AB39" i="15"/>
  <c r="AB64" i="15"/>
  <c r="AB40" i="15"/>
  <c r="AB66" i="15"/>
  <c r="AB16" i="9"/>
  <c r="AB42" i="15"/>
  <c r="AB43" i="15"/>
  <c r="AB24" i="15"/>
  <c r="AB30" i="15"/>
  <c r="AB46" i="15"/>
  <c r="AD60" i="11"/>
  <c r="AB47" i="15"/>
  <c r="AB48" i="15"/>
  <c r="AB49" i="15"/>
  <c r="AB86" i="15"/>
  <c r="AB87" i="15"/>
  <c r="AB88" i="15"/>
  <c r="AB89" i="15"/>
  <c r="AB90" i="15"/>
  <c r="AB91" i="15"/>
  <c r="AB92" i="15"/>
  <c r="AB93" i="15"/>
  <c r="AB94" i="15"/>
  <c r="AB95" i="15"/>
  <c r="AB16" i="15"/>
  <c r="AC58" i="15"/>
  <c r="AC13" i="15"/>
  <c r="AC14" i="15"/>
  <c r="AC10" i="9"/>
  <c r="AC34" i="15"/>
  <c r="AC26" i="15"/>
  <c r="AC31" i="15"/>
  <c r="AC18" i="15"/>
  <c r="AC32" i="15"/>
  <c r="AC59" i="15"/>
  <c r="AC11" i="9"/>
  <c r="AC35" i="15"/>
  <c r="AC61" i="15"/>
  <c r="AE75" i="8"/>
  <c r="AC12" i="9"/>
  <c r="AC37" i="15"/>
  <c r="AC62" i="15"/>
  <c r="AC13" i="9"/>
  <c r="AC38" i="15"/>
  <c r="AC63" i="15"/>
  <c r="AC14" i="9"/>
  <c r="AC39" i="15"/>
  <c r="AC64" i="15"/>
  <c r="AC40" i="15"/>
  <c r="AC66" i="15"/>
  <c r="AC16" i="9"/>
  <c r="AC42" i="15"/>
  <c r="AC43" i="15"/>
  <c r="AC24" i="15"/>
  <c r="AC30" i="15"/>
  <c r="AC46" i="15"/>
  <c r="AE60" i="11"/>
  <c r="AC47" i="15"/>
  <c r="AC48" i="15"/>
  <c r="AC49" i="15"/>
  <c r="AC86" i="15"/>
  <c r="AC87" i="15"/>
  <c r="AC88" i="15"/>
  <c r="AC89" i="15"/>
  <c r="AC90" i="15"/>
  <c r="AC91" i="15"/>
  <c r="AC92" i="15"/>
  <c r="AC93" i="15"/>
  <c r="AC94" i="15"/>
  <c r="AC95" i="15"/>
  <c r="AC16" i="15"/>
  <c r="AD58" i="15"/>
  <c r="AD13" i="15"/>
  <c r="AD14" i="15"/>
  <c r="AD10" i="9"/>
  <c r="AD34" i="15"/>
  <c r="AD26" i="15"/>
  <c r="AD31" i="15"/>
  <c r="AD18" i="15"/>
  <c r="AD32" i="15"/>
  <c r="AD59" i="15"/>
  <c r="AD11" i="9"/>
  <c r="AD35" i="15"/>
  <c r="AD61" i="15"/>
  <c r="AF75" i="8"/>
  <c r="AD12" i="9"/>
  <c r="AD37" i="15"/>
  <c r="AD62" i="15"/>
  <c r="AD13" i="9"/>
  <c r="AD38" i="15"/>
  <c r="AD63" i="15"/>
  <c r="AD14" i="9"/>
  <c r="AD39" i="15"/>
  <c r="AD64" i="15"/>
  <c r="AD40" i="15"/>
  <c r="AD66" i="15"/>
  <c r="AD16" i="9"/>
  <c r="AD42" i="15"/>
  <c r="AD43" i="15"/>
  <c r="AD24" i="15"/>
  <c r="AD30" i="15"/>
  <c r="AD46" i="15"/>
  <c r="AF60" i="11"/>
  <c r="AD47" i="15"/>
  <c r="AD48" i="15"/>
  <c r="AD49" i="15"/>
  <c r="AD86" i="15"/>
  <c r="AD87" i="15"/>
  <c r="AD88" i="15"/>
  <c r="AD89" i="15"/>
  <c r="AD90" i="15"/>
  <c r="AD91" i="15"/>
  <c r="AD92" i="15"/>
  <c r="AD93" i="15"/>
  <c r="AD94" i="15"/>
  <c r="AD95" i="15"/>
  <c r="AD16" i="15"/>
  <c r="AE58" i="15"/>
  <c r="AE13" i="15"/>
  <c r="AE14" i="15"/>
  <c r="AE10" i="9"/>
  <c r="AE34" i="15"/>
  <c r="AE26" i="15"/>
  <c r="AE31" i="15"/>
  <c r="AE18" i="15"/>
  <c r="AE32" i="15"/>
  <c r="AE59" i="15"/>
  <c r="AE11" i="9"/>
  <c r="AE35" i="15"/>
  <c r="AE61" i="15"/>
  <c r="AG75" i="8"/>
  <c r="AE12" i="9"/>
  <c r="AE37" i="15"/>
  <c r="AE62" i="15"/>
  <c r="AE13" i="9"/>
  <c r="AE38" i="15"/>
  <c r="AE63" i="15"/>
  <c r="AE14" i="9"/>
  <c r="AE39" i="15"/>
  <c r="AE64" i="15"/>
  <c r="AE40" i="15"/>
  <c r="AE66" i="15"/>
  <c r="AE16" i="9"/>
  <c r="AE42" i="15"/>
  <c r="AE43" i="15"/>
  <c r="AE24" i="15"/>
  <c r="AE30" i="15"/>
  <c r="AE46" i="15"/>
  <c r="AG60" i="11"/>
  <c r="AE47" i="15"/>
  <c r="AE48" i="15"/>
  <c r="AE49" i="15"/>
  <c r="AE86" i="15"/>
  <c r="AE87" i="15"/>
  <c r="AE88" i="15"/>
  <c r="AE89" i="15"/>
  <c r="AE90" i="15"/>
  <c r="AE91" i="15"/>
  <c r="AE92" i="15"/>
  <c r="AE93" i="15"/>
  <c r="AE94" i="15"/>
  <c r="AE95" i="15"/>
  <c r="AE16" i="15"/>
  <c r="AF58" i="15"/>
  <c r="AF13" i="15"/>
  <c r="AF14" i="15"/>
  <c r="AF10" i="9"/>
  <c r="AF34" i="15"/>
  <c r="AF26" i="15"/>
  <c r="AF31" i="15"/>
  <c r="AF18" i="15"/>
  <c r="AF32" i="15"/>
  <c r="AF59" i="15"/>
  <c r="AF11" i="9"/>
  <c r="AF35" i="15"/>
  <c r="AF61" i="15"/>
  <c r="AH75" i="8"/>
  <c r="AF12" i="9"/>
  <c r="AF37" i="15"/>
  <c r="AF62" i="15"/>
  <c r="AF13" i="9"/>
  <c r="AF38" i="15"/>
  <c r="AF63" i="15"/>
  <c r="AF14" i="9"/>
  <c r="AF39" i="15"/>
  <c r="AF64" i="15"/>
  <c r="AF40" i="15"/>
  <c r="AF66" i="15"/>
  <c r="AF16" i="9"/>
  <c r="AF42" i="15"/>
  <c r="AF43" i="15"/>
  <c r="AF24" i="15"/>
  <c r="AF30" i="15"/>
  <c r="AF46" i="15"/>
  <c r="AH60" i="11"/>
  <c r="AF47" i="15"/>
  <c r="AF48" i="15"/>
  <c r="AF49" i="15"/>
  <c r="AF86" i="15"/>
  <c r="AF87" i="15"/>
  <c r="AF88" i="15"/>
  <c r="AF89" i="15"/>
  <c r="AF90" i="15"/>
  <c r="AF91" i="15"/>
  <c r="AF92" i="15"/>
  <c r="AF93" i="15"/>
  <c r="AF94" i="15"/>
  <c r="AF95" i="15"/>
  <c r="AF16" i="15"/>
  <c r="AG58" i="15"/>
  <c r="AG13" i="15"/>
  <c r="AG14" i="15"/>
  <c r="AG10" i="9"/>
  <c r="AG34" i="15"/>
  <c r="AG26" i="15"/>
  <c r="AG31" i="15"/>
  <c r="AG18" i="15"/>
  <c r="AG32" i="15"/>
  <c r="AG59" i="15"/>
  <c r="AG11" i="9"/>
  <c r="AG35" i="15"/>
  <c r="AG61" i="15"/>
  <c r="AI75" i="8"/>
  <c r="AG12" i="9"/>
  <c r="AG37" i="15"/>
  <c r="AG62" i="15"/>
  <c r="AG13" i="9"/>
  <c r="AG38" i="15"/>
  <c r="AG63" i="15"/>
  <c r="AG14" i="9"/>
  <c r="AG39" i="15"/>
  <c r="AG64" i="15"/>
  <c r="AG40" i="15"/>
  <c r="AG66" i="15"/>
  <c r="AG16" i="9"/>
  <c r="AG42" i="15"/>
  <c r="AG43" i="15"/>
  <c r="AG24" i="15"/>
  <c r="AG30" i="15"/>
  <c r="AG46" i="15"/>
  <c r="AI60" i="11"/>
  <c r="AG47" i="15"/>
  <c r="AG48" i="15"/>
  <c r="AG49" i="15"/>
  <c r="AG86" i="15"/>
  <c r="AG87" i="15"/>
  <c r="AG88" i="15"/>
  <c r="AG89" i="15"/>
  <c r="AG90" i="15"/>
  <c r="AG91" i="15"/>
  <c r="AG92" i="15"/>
  <c r="AG93" i="15"/>
  <c r="AG94" i="15"/>
  <c r="AG95" i="15"/>
  <c r="AG16" i="15"/>
  <c r="Y13" i="15"/>
  <c r="Y14" i="15"/>
  <c r="Y10" i="9"/>
  <c r="Y34" i="15"/>
  <c r="Y31" i="15"/>
  <c r="Y32" i="15"/>
  <c r="Y11" i="9"/>
  <c r="Y35" i="15"/>
  <c r="AA75" i="8"/>
  <c r="Y12" i="9"/>
  <c r="Y37" i="15"/>
  <c r="Y13" i="9"/>
  <c r="Y38" i="15"/>
  <c r="Y14" i="9"/>
  <c r="Y39" i="15"/>
  <c r="Y40" i="15"/>
  <c r="Y16" i="9"/>
  <c r="Y42" i="15"/>
  <c r="Y43" i="15"/>
  <c r="Y30" i="15"/>
  <c r="Y46" i="15"/>
  <c r="AA60" i="11"/>
  <c r="Y47" i="15"/>
  <c r="Y48" i="15"/>
  <c r="Y49" i="15"/>
  <c r="Y86" i="15"/>
  <c r="Y87" i="15"/>
  <c r="Y88" i="15"/>
  <c r="Y89" i="15"/>
  <c r="Y90" i="15"/>
  <c r="Y91" i="15"/>
  <c r="Y92" i="15"/>
  <c r="Y93" i="15"/>
  <c r="Y94" i="15"/>
  <c r="Y95" i="15"/>
  <c r="Y16" i="15"/>
  <c r="G11" i="5"/>
  <c r="E11" i="5"/>
  <c r="H77" i="8"/>
  <c r="I77" i="8"/>
  <c r="J77" i="8"/>
  <c r="K77" i="8"/>
  <c r="L77" i="8"/>
  <c r="M77" i="8"/>
  <c r="N77" i="8"/>
  <c r="O77" i="8"/>
  <c r="P77" i="8"/>
  <c r="Q77" i="8"/>
  <c r="R77" i="8"/>
  <c r="S77" i="8"/>
  <c r="T77" i="8"/>
  <c r="U77" i="8"/>
  <c r="V77" i="8"/>
  <c r="W77" i="8"/>
  <c r="X77" i="8"/>
  <c r="Y77" i="8"/>
  <c r="Z77" i="8"/>
  <c r="AA77" i="8"/>
  <c r="AB77" i="8"/>
  <c r="AC77" i="8"/>
  <c r="AD77" i="8"/>
  <c r="AE77" i="8"/>
  <c r="AF77" i="8"/>
  <c r="AG77" i="8"/>
  <c r="AH77" i="8"/>
  <c r="AI77" i="8"/>
  <c r="AJ77" i="8"/>
  <c r="G77" i="8"/>
  <c r="H75" i="8"/>
  <c r="I75" i="8"/>
  <c r="J75" i="8"/>
  <c r="K75" i="8"/>
  <c r="L75" i="8"/>
  <c r="M75" i="8"/>
  <c r="N75" i="8"/>
  <c r="O75" i="8"/>
  <c r="Q75" i="8"/>
  <c r="R75" i="8"/>
  <c r="S75" i="8"/>
  <c r="T75" i="8"/>
  <c r="U75" i="8"/>
  <c r="V75" i="8"/>
  <c r="W75" i="8"/>
  <c r="X75" i="8"/>
  <c r="Y75" i="8"/>
  <c r="Z75" i="8"/>
  <c r="AJ75" i="8"/>
  <c r="G75" i="8"/>
  <c r="H73" i="8"/>
  <c r="I73" i="8"/>
  <c r="J73" i="8"/>
  <c r="K73" i="8"/>
  <c r="L73" i="8"/>
  <c r="M73" i="8"/>
  <c r="N73" i="8"/>
  <c r="O73" i="8"/>
  <c r="Q73" i="8"/>
  <c r="R73" i="8"/>
  <c r="S73" i="8"/>
  <c r="T73" i="8"/>
  <c r="U73" i="8"/>
  <c r="V73" i="8"/>
  <c r="W73" i="8"/>
  <c r="X73" i="8"/>
  <c r="Y73" i="8"/>
  <c r="AA73" i="8"/>
  <c r="AB73" i="8"/>
  <c r="AC73" i="8"/>
  <c r="AD73" i="8"/>
  <c r="AE73" i="8"/>
  <c r="AF73" i="8"/>
  <c r="AG73" i="8"/>
  <c r="AH73" i="8"/>
  <c r="AI73" i="8"/>
  <c r="AJ73" i="8"/>
  <c r="G73" i="8"/>
  <c r="G50" i="11"/>
  <c r="G51" i="11"/>
  <c r="G49" i="11"/>
  <c r="B58" i="11"/>
  <c r="C58" i="11"/>
  <c r="D58" i="11"/>
  <c r="E58" i="11"/>
  <c r="F58" i="11"/>
  <c r="X10" i="9"/>
  <c r="X11" i="9"/>
  <c r="X12" i="9"/>
  <c r="X13" i="9"/>
  <c r="X14" i="9"/>
  <c r="X16" i="9"/>
  <c r="X18" i="9"/>
  <c r="D12" i="5"/>
  <c r="E12" i="5"/>
  <c r="AH8" i="9"/>
  <c r="AH7" i="9"/>
  <c r="AH10" i="9"/>
  <c r="AH11" i="9"/>
  <c r="AH12" i="9"/>
  <c r="AH13" i="9"/>
  <c r="AH14" i="9"/>
  <c r="AH16" i="9"/>
  <c r="AH18" i="9"/>
  <c r="D13" i="5"/>
  <c r="E13" i="5"/>
  <c r="G13" i="5"/>
  <c r="G12" i="5"/>
  <c r="E60" i="11"/>
  <c r="F60" i="11"/>
  <c r="G60" i="11"/>
  <c r="H60" i="11"/>
  <c r="I60" i="11"/>
  <c r="J60" i="11"/>
  <c r="K60" i="11"/>
  <c r="L60" i="11"/>
  <c r="M60" i="11"/>
  <c r="N60" i="11"/>
  <c r="O60" i="11"/>
  <c r="P60" i="11"/>
  <c r="Q60" i="11"/>
  <c r="R60" i="11"/>
  <c r="S60" i="11"/>
  <c r="T60" i="11"/>
  <c r="U60" i="11"/>
  <c r="V60" i="11"/>
  <c r="W60" i="11"/>
  <c r="X60" i="11"/>
  <c r="Y60" i="11"/>
  <c r="B61" i="11"/>
  <c r="C61" i="11"/>
  <c r="D61" i="11"/>
  <c r="E61" i="11"/>
  <c r="F61" i="11"/>
  <c r="G61" i="11"/>
  <c r="H61" i="11"/>
  <c r="I61" i="11"/>
  <c r="J61" i="11"/>
  <c r="K61" i="11"/>
  <c r="L61" i="11"/>
  <c r="M61" i="11"/>
  <c r="N61" i="11"/>
  <c r="O61" i="11"/>
  <c r="P61" i="11"/>
  <c r="Q61" i="11"/>
  <c r="R61" i="11"/>
  <c r="S61" i="11"/>
  <c r="T61" i="11"/>
  <c r="U61" i="11"/>
  <c r="V61" i="11"/>
  <c r="W61" i="11"/>
  <c r="X61" i="11"/>
  <c r="Y61" i="11"/>
  <c r="Z61" i="11"/>
  <c r="AA61" i="11"/>
  <c r="AB61" i="11"/>
  <c r="AC61" i="11"/>
  <c r="AD61" i="11"/>
  <c r="AE61" i="11"/>
  <c r="AF61" i="11"/>
  <c r="AG61" i="11"/>
  <c r="AH61" i="11"/>
  <c r="AI61" i="11"/>
  <c r="AJ61" i="11"/>
  <c r="B62" i="11"/>
  <c r="C62" i="11"/>
  <c r="D62" i="11"/>
  <c r="E62" i="11"/>
  <c r="F62" i="11"/>
  <c r="G62" i="11"/>
  <c r="H62" i="11"/>
  <c r="I62" i="11"/>
  <c r="J62" i="11"/>
  <c r="K62" i="11"/>
  <c r="L62" i="11"/>
  <c r="M62" i="11"/>
  <c r="N62" i="11"/>
  <c r="O62" i="11"/>
  <c r="P62" i="11"/>
  <c r="Q62" i="11"/>
  <c r="R62" i="11"/>
  <c r="S62" i="11"/>
  <c r="T62" i="11"/>
  <c r="U62" i="11"/>
  <c r="V62" i="11"/>
  <c r="W62" i="11"/>
  <c r="X62" i="11"/>
  <c r="Y62" i="11"/>
  <c r="Z62" i="11"/>
  <c r="AA62" i="11"/>
  <c r="AB62" i="11"/>
  <c r="AC62" i="11"/>
  <c r="AD62" i="11"/>
  <c r="AE62" i="11"/>
  <c r="AF62" i="11"/>
  <c r="AG62" i="11"/>
  <c r="AH62" i="11"/>
  <c r="AI62" i="11"/>
  <c r="AJ62" i="11"/>
  <c r="G64" i="11"/>
  <c r="H64" i="11"/>
  <c r="I64" i="11"/>
  <c r="J64" i="11"/>
  <c r="K64" i="11"/>
  <c r="L64" i="11"/>
  <c r="M64" i="11"/>
  <c r="N64" i="11"/>
  <c r="O64" i="11"/>
  <c r="P64" i="11"/>
  <c r="Q64" i="11"/>
  <c r="R64" i="11"/>
  <c r="S64" i="11"/>
  <c r="T64" i="11"/>
  <c r="U64" i="11"/>
  <c r="H65" i="11"/>
  <c r="I65" i="11"/>
  <c r="J65" i="11"/>
  <c r="K65" i="11"/>
  <c r="L65" i="11"/>
  <c r="M65" i="11"/>
  <c r="N65" i="11"/>
  <c r="O65" i="11"/>
  <c r="P65" i="11"/>
  <c r="Q65" i="11"/>
  <c r="R65" i="11"/>
  <c r="S65" i="11"/>
  <c r="T65" i="11"/>
  <c r="U65" i="11"/>
  <c r="B66" i="11"/>
  <c r="C66" i="11"/>
  <c r="D66" i="11"/>
  <c r="E66" i="11"/>
  <c r="F66" i="11"/>
  <c r="G66" i="11"/>
  <c r="H66" i="11"/>
  <c r="I66" i="11"/>
  <c r="J66" i="11"/>
  <c r="K66" i="11"/>
  <c r="L66" i="11"/>
  <c r="M66" i="11"/>
  <c r="N66" i="11"/>
  <c r="O66" i="11"/>
  <c r="P66" i="11"/>
  <c r="Q66" i="11"/>
  <c r="R66" i="11"/>
  <c r="S66" i="11"/>
  <c r="T66" i="11"/>
  <c r="U66" i="11"/>
  <c r="V66" i="11"/>
  <c r="W66" i="11"/>
  <c r="X66" i="11"/>
  <c r="Y66" i="11"/>
  <c r="Z66" i="11"/>
  <c r="AA66" i="11"/>
  <c r="AB66" i="11"/>
  <c r="AC66" i="11"/>
  <c r="AD66" i="11"/>
  <c r="AE66" i="11"/>
  <c r="AF66" i="11"/>
  <c r="AG66" i="11"/>
  <c r="AH66" i="11"/>
  <c r="AI66" i="11"/>
  <c r="AJ66" i="11"/>
  <c r="C32" i="15"/>
  <c r="C13" i="9"/>
  <c r="C38" i="15"/>
  <c r="C14" i="9"/>
  <c r="C39" i="15"/>
  <c r="C7" i="9"/>
  <c r="C31" i="15"/>
  <c r="C34" i="15"/>
  <c r="C35" i="15"/>
  <c r="C37" i="15"/>
  <c r="C42" i="15"/>
  <c r="C40" i="15"/>
  <c r="C43" i="15"/>
  <c r="C46" i="15"/>
  <c r="C14" i="15"/>
  <c r="C47" i="15"/>
  <c r="C48" i="15"/>
  <c r="C49" i="15"/>
  <c r="C58" i="15"/>
  <c r="N16" i="15"/>
  <c r="N86" i="15"/>
  <c r="H32" i="15"/>
  <c r="H13" i="9"/>
  <c r="H38" i="15"/>
  <c r="H14" i="9"/>
  <c r="H39" i="15"/>
  <c r="H7" i="9"/>
  <c r="H31" i="15"/>
  <c r="H12" i="9"/>
  <c r="H37" i="15"/>
  <c r="H40" i="15"/>
  <c r="H86" i="15"/>
  <c r="N71" i="15"/>
  <c r="D58" i="15"/>
  <c r="D13" i="15"/>
  <c r="D14" i="15"/>
  <c r="D10" i="9"/>
  <c r="D34" i="15"/>
  <c r="C26" i="15"/>
  <c r="D26" i="15"/>
  <c r="D31" i="15"/>
  <c r="C18" i="15"/>
  <c r="D18" i="15"/>
  <c r="D32" i="15"/>
  <c r="C59" i="15"/>
  <c r="D59" i="15"/>
  <c r="D11" i="9"/>
  <c r="D35" i="15"/>
  <c r="C61" i="15"/>
  <c r="N89" i="15"/>
  <c r="H89" i="15"/>
  <c r="N74" i="15"/>
  <c r="D61" i="15"/>
  <c r="D12" i="9"/>
  <c r="D37" i="15"/>
  <c r="C62" i="15"/>
  <c r="N90" i="15"/>
  <c r="H90" i="15"/>
  <c r="N75" i="15"/>
  <c r="D62" i="15"/>
  <c r="D13" i="9"/>
  <c r="D38" i="15"/>
  <c r="C63" i="15"/>
  <c r="N91" i="15"/>
  <c r="H91" i="15"/>
  <c r="N76" i="15"/>
  <c r="D63" i="15"/>
  <c r="D14" i="9"/>
  <c r="D39" i="15"/>
  <c r="C64" i="15"/>
  <c r="N92" i="15"/>
  <c r="H92" i="15"/>
  <c r="N77" i="15"/>
  <c r="D64" i="15"/>
  <c r="D40" i="15"/>
  <c r="C66" i="15"/>
  <c r="D66" i="15"/>
  <c r="D16" i="9"/>
  <c r="D42" i="15"/>
  <c r="D43" i="15"/>
  <c r="D30" i="15"/>
  <c r="D46" i="15"/>
  <c r="D47" i="15"/>
  <c r="D48" i="15"/>
  <c r="D49" i="15"/>
  <c r="D86" i="15"/>
  <c r="D87" i="15"/>
  <c r="D88" i="15"/>
  <c r="D89" i="15"/>
  <c r="D90" i="15"/>
  <c r="D91" i="15"/>
  <c r="D92" i="15"/>
  <c r="D93" i="15"/>
  <c r="D94" i="15"/>
  <c r="D95" i="15"/>
  <c r="E13" i="15"/>
  <c r="E14" i="15"/>
  <c r="E29" i="15"/>
  <c r="E100" i="15"/>
  <c r="E127" i="15"/>
  <c r="E30" i="15"/>
  <c r="E101" i="15"/>
  <c r="E128" i="15"/>
  <c r="E26" i="15"/>
  <c r="E31" i="15"/>
  <c r="E102" i="15"/>
  <c r="E129" i="15"/>
  <c r="E18" i="15"/>
  <c r="E32" i="15"/>
  <c r="E103" i="15"/>
  <c r="E130" i="15"/>
  <c r="E58" i="15"/>
  <c r="E10" i="9"/>
  <c r="E34" i="15"/>
  <c r="E104" i="15"/>
  <c r="E131" i="15"/>
  <c r="E59" i="15"/>
  <c r="E11" i="9"/>
  <c r="E35" i="15"/>
  <c r="E105" i="15"/>
  <c r="E132" i="15"/>
  <c r="E61" i="15"/>
  <c r="E12" i="9"/>
  <c r="E37" i="15"/>
  <c r="E107" i="15"/>
  <c r="E134" i="15"/>
  <c r="E62" i="15"/>
  <c r="E13" i="9"/>
  <c r="E38" i="15"/>
  <c r="E108" i="15"/>
  <c r="E135" i="15"/>
  <c r="E63" i="15"/>
  <c r="E14" i="9"/>
  <c r="E39" i="15"/>
  <c r="E109" i="15"/>
  <c r="E136" i="15"/>
  <c r="E64" i="15"/>
  <c r="E40" i="15"/>
  <c r="E110" i="15"/>
  <c r="E137" i="15"/>
  <c r="E66" i="15"/>
  <c r="E16" i="9"/>
  <c r="E42" i="15"/>
  <c r="E112" i="15"/>
  <c r="E139" i="15"/>
  <c r="E140" i="15"/>
  <c r="E43" i="15"/>
  <c r="E46" i="15"/>
  <c r="E47" i="15"/>
  <c r="E116" i="15"/>
  <c r="E143" i="15"/>
  <c r="E48" i="15"/>
  <c r="E117" i="15"/>
  <c r="E144" i="15"/>
  <c r="E145" i="15"/>
  <c r="E8" i="9"/>
  <c r="E43" i="9"/>
  <c r="E61" i="9"/>
  <c r="E47" i="9"/>
  <c r="E65" i="9"/>
  <c r="E48" i="9"/>
  <c r="E66" i="9"/>
  <c r="E7" i="9"/>
  <c r="E42" i="9"/>
  <c r="E60" i="9"/>
  <c r="E44" i="9"/>
  <c r="E62" i="9"/>
  <c r="E45" i="9"/>
  <c r="E63" i="9"/>
  <c r="E46" i="9"/>
  <c r="E64" i="9"/>
  <c r="E50" i="9"/>
  <c r="E68" i="9"/>
  <c r="E49" i="9"/>
  <c r="E67" i="9"/>
  <c r="E70" i="9"/>
  <c r="E20" i="9"/>
  <c r="E53" i="9"/>
  <c r="E71" i="9"/>
  <c r="E21" i="9"/>
  <c r="E54" i="9"/>
  <c r="E72" i="9"/>
  <c r="E73" i="9"/>
  <c r="E146" i="15"/>
  <c r="D29" i="15"/>
  <c r="D100" i="15"/>
  <c r="D101" i="15"/>
  <c r="D102" i="15"/>
  <c r="D103" i="15"/>
  <c r="D104" i="15"/>
  <c r="D105" i="15"/>
  <c r="D107" i="15"/>
  <c r="D108" i="15"/>
  <c r="D109" i="15"/>
  <c r="D110" i="15"/>
  <c r="D112" i="15"/>
  <c r="D113" i="15"/>
  <c r="D116" i="15"/>
  <c r="D117" i="15"/>
  <c r="D118" i="15"/>
  <c r="D249" i="15"/>
  <c r="D252" i="15"/>
  <c r="D127" i="15"/>
  <c r="D128" i="15"/>
  <c r="D129" i="15"/>
  <c r="D130" i="15"/>
  <c r="D131" i="15"/>
  <c r="D132" i="15"/>
  <c r="D134" i="15"/>
  <c r="D135" i="15"/>
  <c r="D136" i="15"/>
  <c r="D137" i="15"/>
  <c r="D139" i="15"/>
  <c r="D140" i="15"/>
  <c r="D143" i="15"/>
  <c r="D144" i="15"/>
  <c r="D145" i="15"/>
  <c r="D179" i="15"/>
  <c r="D8" i="9"/>
  <c r="D43" i="9"/>
  <c r="D47" i="9"/>
  <c r="D48" i="9"/>
  <c r="D7" i="9"/>
  <c r="D42" i="9"/>
  <c r="D44" i="9"/>
  <c r="D45" i="9"/>
  <c r="D46" i="9"/>
  <c r="D50" i="9"/>
  <c r="D49" i="9"/>
  <c r="D52" i="9"/>
  <c r="D20" i="9"/>
  <c r="D53" i="9"/>
  <c r="D21" i="9"/>
  <c r="D54" i="9"/>
  <c r="D55" i="9"/>
  <c r="D61" i="9"/>
  <c r="D65" i="9"/>
  <c r="D66" i="9"/>
  <c r="D60" i="9"/>
  <c r="D62" i="9"/>
  <c r="D63" i="9"/>
  <c r="D64" i="9"/>
  <c r="D68" i="9"/>
  <c r="D67" i="9"/>
  <c r="D70" i="9"/>
  <c r="D71" i="9"/>
  <c r="D72" i="9"/>
  <c r="D73" i="9"/>
  <c r="D176" i="15"/>
  <c r="D182" i="15"/>
  <c r="D185" i="15"/>
  <c r="E113" i="15"/>
  <c r="E118" i="15"/>
  <c r="E249" i="15"/>
  <c r="E252" i="15"/>
  <c r="E179" i="15"/>
  <c r="E52" i="9"/>
  <c r="E55" i="9"/>
  <c r="E176" i="15"/>
  <c r="E182" i="15"/>
  <c r="E185" i="15"/>
  <c r="E23" i="9"/>
  <c r="F23" i="9"/>
  <c r="G23" i="9"/>
  <c r="H23" i="9"/>
  <c r="I23" i="9"/>
  <c r="J23" i="9"/>
  <c r="K23" i="9"/>
  <c r="L23" i="9"/>
  <c r="M23" i="9"/>
  <c r="N23" i="9"/>
  <c r="O23" i="9"/>
  <c r="P23" i="9"/>
  <c r="Q23" i="9"/>
  <c r="R23" i="9"/>
  <c r="S23" i="9"/>
  <c r="T23" i="9"/>
  <c r="U23" i="9"/>
  <c r="V23" i="9"/>
  <c r="W23" i="9"/>
  <c r="X23" i="9"/>
  <c r="Y23" i="9"/>
  <c r="Z23" i="9"/>
  <c r="AA23" i="9"/>
  <c r="AB23" i="9"/>
  <c r="AC23" i="9"/>
  <c r="AD23" i="9"/>
  <c r="AE23" i="9"/>
  <c r="AF23" i="9"/>
  <c r="AG23" i="9"/>
  <c r="AH23" i="9"/>
  <c r="G46" i="15"/>
  <c r="I46" i="15"/>
  <c r="J46" i="15"/>
  <c r="K46" i="15"/>
  <c r="L46" i="15"/>
  <c r="M46" i="15"/>
  <c r="O46" i="15"/>
  <c r="P46" i="15"/>
  <c r="Q46" i="15"/>
  <c r="R46" i="15"/>
  <c r="S46" i="15"/>
  <c r="T46" i="15"/>
  <c r="U46" i="15"/>
  <c r="V46" i="15"/>
  <c r="W46" i="15"/>
  <c r="F46" i="15"/>
  <c r="C34" i="5"/>
  <c r="N24" i="15"/>
  <c r="F58" i="15"/>
  <c r="F13" i="15"/>
  <c r="F14" i="15"/>
  <c r="F10" i="9"/>
  <c r="F34" i="15"/>
  <c r="F59" i="15"/>
  <c r="F11" i="9"/>
  <c r="F35" i="15"/>
  <c r="F61" i="15"/>
  <c r="F12" i="9"/>
  <c r="F37" i="15"/>
  <c r="F62" i="15"/>
  <c r="F13" i="9"/>
  <c r="F38" i="15"/>
  <c r="F63" i="15"/>
  <c r="F14" i="9"/>
  <c r="F39" i="15"/>
  <c r="F64" i="15"/>
  <c r="F40" i="15"/>
  <c r="F66" i="15"/>
  <c r="F16" i="9"/>
  <c r="F42" i="15"/>
  <c r="F26" i="15"/>
  <c r="F31" i="15"/>
  <c r="F18" i="15"/>
  <c r="F32" i="15"/>
  <c r="F43" i="15"/>
  <c r="D24" i="15"/>
  <c r="E24" i="15"/>
  <c r="F24" i="15"/>
  <c r="F30" i="15"/>
  <c r="F47" i="15"/>
  <c r="F48" i="15"/>
  <c r="H61" i="15"/>
  <c r="I61" i="15"/>
  <c r="J61" i="15"/>
  <c r="K61" i="15"/>
  <c r="L61" i="15"/>
  <c r="M61" i="15"/>
  <c r="N61" i="15"/>
  <c r="X74" i="15"/>
  <c r="O61" i="15"/>
  <c r="P61" i="15"/>
  <c r="P13" i="15"/>
  <c r="P14" i="15"/>
  <c r="P12" i="9"/>
  <c r="P37" i="15"/>
  <c r="Q61" i="15"/>
  <c r="Q13" i="15"/>
  <c r="Q14" i="15"/>
  <c r="Q12" i="9"/>
  <c r="Q37" i="15"/>
  <c r="R61" i="15"/>
  <c r="R13" i="15"/>
  <c r="R14" i="15"/>
  <c r="R12" i="9"/>
  <c r="R37" i="15"/>
  <c r="S61" i="15"/>
  <c r="S13" i="15"/>
  <c r="S14" i="15"/>
  <c r="S12" i="9"/>
  <c r="S37" i="15"/>
  <c r="T61" i="15"/>
  <c r="T13" i="15"/>
  <c r="T14" i="15"/>
  <c r="T12" i="9"/>
  <c r="T37" i="15"/>
  <c r="U61" i="15"/>
  <c r="U13" i="15"/>
  <c r="U14" i="15"/>
  <c r="U12" i="9"/>
  <c r="U37" i="15"/>
  <c r="V61" i="15"/>
  <c r="V13" i="15"/>
  <c r="V14" i="15"/>
  <c r="V12" i="9"/>
  <c r="V37" i="15"/>
  <c r="W61" i="15"/>
  <c r="W13" i="15"/>
  <c r="W14" i="15"/>
  <c r="W12" i="9"/>
  <c r="W37" i="15"/>
  <c r="H62" i="15"/>
  <c r="I62" i="15"/>
  <c r="J62" i="15"/>
  <c r="K62" i="15"/>
  <c r="L62" i="15"/>
  <c r="M62" i="15"/>
  <c r="N62" i="15"/>
  <c r="X75" i="15"/>
  <c r="O62" i="15"/>
  <c r="P62" i="15"/>
  <c r="P13" i="9"/>
  <c r="P38" i="15"/>
  <c r="Q62" i="15"/>
  <c r="Q13" i="9"/>
  <c r="Q38" i="15"/>
  <c r="R62" i="15"/>
  <c r="R13" i="9"/>
  <c r="R38" i="15"/>
  <c r="S62" i="15"/>
  <c r="S13" i="9"/>
  <c r="S38" i="15"/>
  <c r="T62" i="15"/>
  <c r="T13" i="9"/>
  <c r="T38" i="15"/>
  <c r="U62" i="15"/>
  <c r="U13" i="9"/>
  <c r="U38" i="15"/>
  <c r="V62" i="15"/>
  <c r="V13" i="9"/>
  <c r="V38" i="15"/>
  <c r="W62" i="15"/>
  <c r="W13" i="9"/>
  <c r="W38" i="15"/>
  <c r="H63" i="15"/>
  <c r="I63" i="15"/>
  <c r="J63" i="15"/>
  <c r="K63" i="15"/>
  <c r="L63" i="15"/>
  <c r="M63" i="15"/>
  <c r="N63" i="15"/>
  <c r="X76" i="15"/>
  <c r="O63" i="15"/>
  <c r="P63" i="15"/>
  <c r="P14" i="9"/>
  <c r="P39" i="15"/>
  <c r="Q63" i="15"/>
  <c r="Q14" i="9"/>
  <c r="Q39" i="15"/>
  <c r="R63" i="15"/>
  <c r="R14" i="9"/>
  <c r="R39" i="15"/>
  <c r="S63" i="15"/>
  <c r="S14" i="9"/>
  <c r="S39" i="15"/>
  <c r="T63" i="15"/>
  <c r="T14" i="9"/>
  <c r="T39" i="15"/>
  <c r="U63" i="15"/>
  <c r="U14" i="9"/>
  <c r="U39" i="15"/>
  <c r="V63" i="15"/>
  <c r="V14" i="9"/>
  <c r="V39" i="15"/>
  <c r="W63" i="15"/>
  <c r="W14" i="9"/>
  <c r="W39" i="15"/>
  <c r="H64" i="15"/>
  <c r="I64" i="15"/>
  <c r="J64" i="15"/>
  <c r="K64" i="15"/>
  <c r="L64" i="15"/>
  <c r="M64" i="15"/>
  <c r="N64" i="15"/>
  <c r="X77" i="15"/>
  <c r="O64" i="15"/>
  <c r="P64" i="15"/>
  <c r="P40" i="15"/>
  <c r="Q64" i="15"/>
  <c r="Q40" i="15"/>
  <c r="R64" i="15"/>
  <c r="R40" i="15"/>
  <c r="S64" i="15"/>
  <c r="S40" i="15"/>
  <c r="T64" i="15"/>
  <c r="T40" i="15"/>
  <c r="U64" i="15"/>
  <c r="U40" i="15"/>
  <c r="V64" i="15"/>
  <c r="V40" i="15"/>
  <c r="W64" i="15"/>
  <c r="W40" i="15"/>
  <c r="O13" i="15"/>
  <c r="O14" i="15"/>
  <c r="O13" i="9"/>
  <c r="O38" i="15"/>
  <c r="O14" i="9"/>
  <c r="O39" i="15"/>
  <c r="O40" i="15"/>
  <c r="O12" i="9"/>
  <c r="O37" i="15"/>
  <c r="H59" i="15"/>
  <c r="I59" i="15"/>
  <c r="J59" i="15"/>
  <c r="K59" i="15"/>
  <c r="L59" i="15"/>
  <c r="M59" i="15"/>
  <c r="N59" i="15"/>
  <c r="O59" i="15"/>
  <c r="P59" i="15"/>
  <c r="P11" i="9"/>
  <c r="P35" i="15"/>
  <c r="Q59" i="15"/>
  <c r="Q11" i="9"/>
  <c r="Q35" i="15"/>
  <c r="R59" i="15"/>
  <c r="R11" i="9"/>
  <c r="R35" i="15"/>
  <c r="S59" i="15"/>
  <c r="S11" i="9"/>
  <c r="S35" i="15"/>
  <c r="T59" i="15"/>
  <c r="T11" i="9"/>
  <c r="T35" i="15"/>
  <c r="U59" i="15"/>
  <c r="U11" i="9"/>
  <c r="U35" i="15"/>
  <c r="V59" i="15"/>
  <c r="V11" i="9"/>
  <c r="V35" i="15"/>
  <c r="W59" i="15"/>
  <c r="W11" i="9"/>
  <c r="W35" i="15"/>
  <c r="O11" i="9"/>
  <c r="O35" i="15"/>
  <c r="H58" i="15"/>
  <c r="I58" i="15"/>
  <c r="J58" i="15"/>
  <c r="K58" i="15"/>
  <c r="L58" i="15"/>
  <c r="M58" i="15"/>
  <c r="N58" i="15"/>
  <c r="X71" i="15"/>
  <c r="O58" i="15"/>
  <c r="P58" i="15"/>
  <c r="P10" i="9"/>
  <c r="P34" i="15"/>
  <c r="Q58" i="15"/>
  <c r="Q10" i="9"/>
  <c r="Q34" i="15"/>
  <c r="R58" i="15"/>
  <c r="R10" i="9"/>
  <c r="R34" i="15"/>
  <c r="S58" i="15"/>
  <c r="S10" i="9"/>
  <c r="S34" i="15"/>
  <c r="T58" i="15"/>
  <c r="T10" i="9"/>
  <c r="T34" i="15"/>
  <c r="U58" i="15"/>
  <c r="U10" i="9"/>
  <c r="U34" i="15"/>
  <c r="V58" i="15"/>
  <c r="V10" i="9"/>
  <c r="V34" i="15"/>
  <c r="W58" i="15"/>
  <c r="W10" i="9"/>
  <c r="W34" i="15"/>
  <c r="O10" i="9"/>
  <c r="O34" i="15"/>
  <c r="H66" i="15"/>
  <c r="I66" i="15"/>
  <c r="J66" i="15"/>
  <c r="K66" i="15"/>
  <c r="L66" i="15"/>
  <c r="M66" i="15"/>
  <c r="N66" i="15"/>
  <c r="O66" i="15"/>
  <c r="P66" i="15"/>
  <c r="P16" i="9"/>
  <c r="P42" i="15"/>
  <c r="Q66" i="15"/>
  <c r="Q16" i="9"/>
  <c r="Q42" i="15"/>
  <c r="R66" i="15"/>
  <c r="R16" i="9"/>
  <c r="R42" i="15"/>
  <c r="S66" i="15"/>
  <c r="S16" i="9"/>
  <c r="S42" i="15"/>
  <c r="T66" i="15"/>
  <c r="T16" i="9"/>
  <c r="T42" i="15"/>
  <c r="U66" i="15"/>
  <c r="U16" i="9"/>
  <c r="U42" i="15"/>
  <c r="V66" i="15"/>
  <c r="V16" i="9"/>
  <c r="V42" i="15"/>
  <c r="W66" i="15"/>
  <c r="W16" i="9"/>
  <c r="W42" i="15"/>
  <c r="O16" i="9"/>
  <c r="O42" i="15"/>
  <c r="H60" i="15"/>
  <c r="H65" i="15"/>
  <c r="N23" i="15"/>
  <c r="I23" i="15"/>
  <c r="J23" i="15"/>
  <c r="K23" i="15"/>
  <c r="L23" i="15"/>
  <c r="M23" i="15"/>
  <c r="C128" i="15"/>
  <c r="C102" i="15"/>
  <c r="C129" i="15"/>
  <c r="C103" i="15"/>
  <c r="C130" i="15"/>
  <c r="C104" i="15"/>
  <c r="C131" i="15"/>
  <c r="C105" i="15"/>
  <c r="C132" i="15"/>
  <c r="C133" i="15"/>
  <c r="C107" i="15"/>
  <c r="C134" i="15"/>
  <c r="C108" i="15"/>
  <c r="C135" i="15"/>
  <c r="C109" i="15"/>
  <c r="C136" i="15"/>
  <c r="C110" i="15"/>
  <c r="C137" i="15"/>
  <c r="C138" i="15"/>
  <c r="C112" i="15"/>
  <c r="C139" i="15"/>
  <c r="C140" i="15"/>
  <c r="C116" i="15"/>
  <c r="C143" i="15"/>
  <c r="C117" i="15"/>
  <c r="C144" i="15"/>
  <c r="C145" i="15"/>
  <c r="C181" i="15"/>
  <c r="H26" i="15"/>
  <c r="H18" i="15"/>
  <c r="Y211" i="15"/>
  <c r="Y232" i="15"/>
  <c r="Z211" i="15"/>
  <c r="Z232" i="15"/>
  <c r="AC211" i="15"/>
  <c r="AC232" i="15"/>
  <c r="AG211" i="15"/>
  <c r="AG232" i="15"/>
  <c r="AA211" i="15"/>
  <c r="AB211" i="15"/>
  <c r="AB232" i="15"/>
  <c r="AD211" i="15"/>
  <c r="AD232" i="15"/>
  <c r="AE211" i="15"/>
  <c r="AE232" i="15"/>
  <c r="AF211" i="15"/>
  <c r="AF232" i="15"/>
  <c r="AG127" i="15"/>
  <c r="AG212" i="15"/>
  <c r="AG210" i="15"/>
  <c r="AH211" i="15"/>
  <c r="AH232" i="15"/>
  <c r="Y138" i="15"/>
  <c r="Z138" i="15"/>
  <c r="AA138" i="15"/>
  <c r="AB138" i="15"/>
  <c r="AC138" i="15"/>
  <c r="AD138" i="15"/>
  <c r="AE138" i="15"/>
  <c r="AF138" i="15"/>
  <c r="AG138" i="15"/>
  <c r="AH138" i="15"/>
  <c r="Y133" i="15"/>
  <c r="Z133" i="15"/>
  <c r="AA133" i="15"/>
  <c r="AB133" i="15"/>
  <c r="AC133" i="15"/>
  <c r="AD133" i="15"/>
  <c r="AE133" i="15"/>
  <c r="AF133" i="15"/>
  <c r="AG133" i="15"/>
  <c r="AH133" i="15"/>
  <c r="Y128" i="15"/>
  <c r="Z128" i="15"/>
  <c r="AA128" i="15"/>
  <c r="AB128" i="15"/>
  <c r="AC128" i="15"/>
  <c r="AD128" i="15"/>
  <c r="AE128" i="15"/>
  <c r="AF128" i="15"/>
  <c r="AG128" i="15"/>
  <c r="AH128" i="15"/>
  <c r="Y127" i="15"/>
  <c r="Y212" i="15"/>
  <c r="Z127" i="15"/>
  <c r="Z212" i="15"/>
  <c r="Z233" i="15"/>
  <c r="AA127" i="15"/>
  <c r="AA212" i="15"/>
  <c r="AA233" i="15"/>
  <c r="AB127" i="15"/>
  <c r="AB212" i="15"/>
  <c r="AB233" i="15"/>
  <c r="AC127" i="15"/>
  <c r="AC212" i="15"/>
  <c r="AD127" i="15"/>
  <c r="AE127" i="15"/>
  <c r="AE212" i="15"/>
  <c r="AE233" i="15"/>
  <c r="AF127" i="15"/>
  <c r="AF212" i="15"/>
  <c r="AH127" i="15"/>
  <c r="AH212" i="15"/>
  <c r="AH17" i="9"/>
  <c r="AH20" i="9"/>
  <c r="AH21" i="9"/>
  <c r="AH22" i="9"/>
  <c r="AH24" i="9"/>
  <c r="J18" i="5"/>
  <c r="J19" i="5"/>
  <c r="J20" i="5"/>
  <c r="J21" i="5"/>
  <c r="J22" i="5"/>
  <c r="J23" i="5"/>
  <c r="Y7" i="9"/>
  <c r="Y8" i="9"/>
  <c r="Y18" i="9"/>
  <c r="Y20" i="15"/>
  <c r="Z7" i="9"/>
  <c r="Z8" i="9"/>
  <c r="Z18" i="9"/>
  <c r="Z20" i="15"/>
  <c r="AA7" i="9"/>
  <c r="AA8" i="9"/>
  <c r="AA18" i="9"/>
  <c r="AA20" i="15"/>
  <c r="AB7" i="9"/>
  <c r="AB8" i="9"/>
  <c r="AB18" i="9"/>
  <c r="AB20" i="15"/>
  <c r="AC7" i="9"/>
  <c r="AC8" i="9"/>
  <c r="AC18" i="9"/>
  <c r="AC20" i="15"/>
  <c r="AD7" i="9"/>
  <c r="AD8" i="9"/>
  <c r="AD18" i="9"/>
  <c r="AD20" i="15"/>
  <c r="AE7" i="9"/>
  <c r="AE8" i="9"/>
  <c r="AE18" i="9"/>
  <c r="AE20" i="15"/>
  <c r="AF7" i="9"/>
  <c r="AF8" i="9"/>
  <c r="AF18" i="9"/>
  <c r="AF20" i="15"/>
  <c r="AG7" i="9"/>
  <c r="AG8" i="9"/>
  <c r="AG18" i="9"/>
  <c r="AG20" i="15"/>
  <c r="AH20" i="15"/>
  <c r="I36" i="5"/>
  <c r="I35" i="5"/>
  <c r="I37" i="5"/>
  <c r="J17" i="5"/>
  <c r="X17" i="9"/>
  <c r="X20" i="9"/>
  <c r="X21" i="9"/>
  <c r="X22" i="9"/>
  <c r="X24" i="9"/>
  <c r="G17" i="5"/>
  <c r="X16" i="15"/>
  <c r="Y21" i="9"/>
  <c r="Y54" i="9"/>
  <c r="Y72" i="9"/>
  <c r="Z21" i="9"/>
  <c r="Z54" i="9"/>
  <c r="Z72" i="9"/>
  <c r="AA21" i="9"/>
  <c r="AA54" i="9"/>
  <c r="AA72" i="9"/>
  <c r="AB21" i="9"/>
  <c r="AB54" i="9"/>
  <c r="AB72" i="9"/>
  <c r="AC21" i="9"/>
  <c r="AC54" i="9"/>
  <c r="AC72" i="9"/>
  <c r="AD21" i="9"/>
  <c r="AD54" i="9"/>
  <c r="AD72" i="9"/>
  <c r="AE21" i="9"/>
  <c r="AE54" i="9"/>
  <c r="AE72" i="9"/>
  <c r="AF21" i="9"/>
  <c r="AF54" i="9"/>
  <c r="AF72" i="9"/>
  <c r="AG21" i="9"/>
  <c r="AG54" i="9"/>
  <c r="AG72" i="9"/>
  <c r="AH54" i="9"/>
  <c r="AH72" i="9"/>
  <c r="Y20" i="9"/>
  <c r="Y53" i="9"/>
  <c r="Z20" i="9"/>
  <c r="Z53" i="9"/>
  <c r="Z71" i="9"/>
  <c r="AA20" i="9"/>
  <c r="AA53" i="9"/>
  <c r="AB20" i="9"/>
  <c r="AB53" i="9"/>
  <c r="AC20" i="9"/>
  <c r="AC53" i="9"/>
  <c r="AD20" i="9"/>
  <c r="AD53" i="9"/>
  <c r="AD71" i="9"/>
  <c r="AE20" i="9"/>
  <c r="AE53" i="9"/>
  <c r="AF20" i="9"/>
  <c r="AF53" i="9"/>
  <c r="AG20" i="9"/>
  <c r="AG53" i="9"/>
  <c r="AH53" i="9"/>
  <c r="AH71" i="9"/>
  <c r="Y50" i="9"/>
  <c r="Y68" i="9"/>
  <c r="Z50" i="9"/>
  <c r="Z68" i="9"/>
  <c r="AA50" i="9"/>
  <c r="AA68" i="9"/>
  <c r="AB50" i="9"/>
  <c r="AB68" i="9"/>
  <c r="AC50" i="9"/>
  <c r="AC68" i="9"/>
  <c r="AD50" i="9"/>
  <c r="AD68" i="9"/>
  <c r="AE50" i="9"/>
  <c r="AE68" i="9"/>
  <c r="AF50" i="9"/>
  <c r="AF68" i="9"/>
  <c r="AG50" i="9"/>
  <c r="AG68" i="9"/>
  <c r="AH50" i="9"/>
  <c r="AH68" i="9"/>
  <c r="Y49" i="9"/>
  <c r="Y67" i="9"/>
  <c r="Z49" i="9"/>
  <c r="Z67" i="9"/>
  <c r="AA49" i="9"/>
  <c r="AA67" i="9"/>
  <c r="AB49" i="9"/>
  <c r="AB67" i="9"/>
  <c r="AC49" i="9"/>
  <c r="AC67" i="9"/>
  <c r="AD49" i="9"/>
  <c r="AD67" i="9"/>
  <c r="AE49" i="9"/>
  <c r="AE67" i="9"/>
  <c r="AF49" i="9"/>
  <c r="AF67" i="9"/>
  <c r="AG49" i="9"/>
  <c r="AG67" i="9"/>
  <c r="AH49" i="9"/>
  <c r="AH67" i="9"/>
  <c r="Y48" i="9"/>
  <c r="Y66" i="9"/>
  <c r="Z48" i="9"/>
  <c r="Z66" i="9"/>
  <c r="AA48" i="9"/>
  <c r="AA66" i="9"/>
  <c r="AB48" i="9"/>
  <c r="AB66" i="9"/>
  <c r="AC48" i="9"/>
  <c r="AC66" i="9"/>
  <c r="AD48" i="9"/>
  <c r="AD66" i="9"/>
  <c r="AE48" i="9"/>
  <c r="AE66" i="9"/>
  <c r="AF48" i="9"/>
  <c r="AF66" i="9"/>
  <c r="AG48" i="9"/>
  <c r="AG66" i="9"/>
  <c r="AH48" i="9"/>
  <c r="AH66" i="9"/>
  <c r="Y47" i="9"/>
  <c r="Y65" i="9"/>
  <c r="Z47" i="9"/>
  <c r="Z65" i="9"/>
  <c r="AA47" i="9"/>
  <c r="AA65" i="9"/>
  <c r="AB47" i="9"/>
  <c r="AB65" i="9"/>
  <c r="AC47" i="9"/>
  <c r="AC65" i="9"/>
  <c r="AD47" i="9"/>
  <c r="AD65" i="9"/>
  <c r="AE47" i="9"/>
  <c r="AE65" i="9"/>
  <c r="AF47" i="9"/>
  <c r="AF65" i="9"/>
  <c r="AG47" i="9"/>
  <c r="AG65" i="9"/>
  <c r="AH47" i="9"/>
  <c r="AH65" i="9"/>
  <c r="Y46" i="9"/>
  <c r="Y64" i="9"/>
  <c r="Z46" i="9"/>
  <c r="Z64" i="9"/>
  <c r="AA46" i="9"/>
  <c r="AA64" i="9"/>
  <c r="AB46" i="9"/>
  <c r="AB64" i="9"/>
  <c r="AC46" i="9"/>
  <c r="AC64" i="9"/>
  <c r="AD46" i="9"/>
  <c r="AD64" i="9"/>
  <c r="AE46" i="9"/>
  <c r="AE64" i="9"/>
  <c r="AF46" i="9"/>
  <c r="AF64" i="9"/>
  <c r="AG46" i="9"/>
  <c r="AG64" i="9"/>
  <c r="AH46" i="9"/>
  <c r="AH64" i="9"/>
  <c r="Y45" i="9"/>
  <c r="Y63" i="9"/>
  <c r="Z45" i="9"/>
  <c r="Z63" i="9"/>
  <c r="AA45" i="9"/>
  <c r="AA63" i="9"/>
  <c r="AB45" i="9"/>
  <c r="AB63" i="9"/>
  <c r="AC45" i="9"/>
  <c r="AC63" i="9"/>
  <c r="AD45" i="9"/>
  <c r="AD63" i="9"/>
  <c r="AE45" i="9"/>
  <c r="AE63" i="9"/>
  <c r="AF45" i="9"/>
  <c r="AF63" i="9"/>
  <c r="AG45" i="9"/>
  <c r="AG63" i="9"/>
  <c r="AH45" i="9"/>
  <c r="AH63" i="9"/>
  <c r="Y44" i="9"/>
  <c r="Y62" i="9"/>
  <c r="Z44" i="9"/>
  <c r="Z62" i="9"/>
  <c r="AA44" i="9"/>
  <c r="AA62" i="9"/>
  <c r="AB44" i="9"/>
  <c r="AB62" i="9"/>
  <c r="AC44" i="9"/>
  <c r="AC62" i="9"/>
  <c r="AD44" i="9"/>
  <c r="AD62" i="9"/>
  <c r="AE44" i="9"/>
  <c r="AE62" i="9"/>
  <c r="AF44" i="9"/>
  <c r="AF62" i="9"/>
  <c r="AG44" i="9"/>
  <c r="AG62" i="9"/>
  <c r="AH44" i="9"/>
  <c r="AH62" i="9"/>
  <c r="Y43" i="9"/>
  <c r="Y61" i="9"/>
  <c r="Z43" i="9"/>
  <c r="Z61" i="9"/>
  <c r="AA43" i="9"/>
  <c r="AA61" i="9"/>
  <c r="AB43" i="9"/>
  <c r="AC43" i="9"/>
  <c r="AC61" i="9"/>
  <c r="AD43" i="9"/>
  <c r="AD61" i="9"/>
  <c r="AE43" i="9"/>
  <c r="AE61" i="9"/>
  <c r="AF43" i="9"/>
  <c r="AG43" i="9"/>
  <c r="AG61" i="9"/>
  <c r="AH43" i="9"/>
  <c r="AH61" i="9"/>
  <c r="Y42" i="9"/>
  <c r="Y60" i="9"/>
  <c r="Z42" i="9"/>
  <c r="AA42" i="9"/>
  <c r="AA60" i="9"/>
  <c r="AB42" i="9"/>
  <c r="AB60" i="9"/>
  <c r="AC42" i="9"/>
  <c r="AC60" i="9"/>
  <c r="AD42" i="9"/>
  <c r="AE42" i="9"/>
  <c r="AE60" i="9"/>
  <c r="AF42" i="9"/>
  <c r="AF60" i="9"/>
  <c r="AG42" i="9"/>
  <c r="AH42" i="9"/>
  <c r="Y41" i="9"/>
  <c r="Y59" i="9"/>
  <c r="Z41" i="9"/>
  <c r="Z59" i="9"/>
  <c r="AA41" i="9"/>
  <c r="AA59" i="9"/>
  <c r="AB41" i="9"/>
  <c r="AB59" i="9"/>
  <c r="AC41" i="9"/>
  <c r="AC59" i="9"/>
  <c r="AD41" i="9"/>
  <c r="AD59" i="9"/>
  <c r="AE41" i="9"/>
  <c r="AE59" i="9"/>
  <c r="AF41" i="9"/>
  <c r="AF59" i="9"/>
  <c r="AG41" i="9"/>
  <c r="AG59" i="9"/>
  <c r="AH41" i="9"/>
  <c r="AH59" i="9"/>
  <c r="Y40" i="9"/>
  <c r="Z40" i="9"/>
  <c r="AA40" i="9"/>
  <c r="AB40" i="9"/>
  <c r="AB58" i="9"/>
  <c r="AC40" i="9"/>
  <c r="AD40" i="9"/>
  <c r="AE40" i="9"/>
  <c r="AF40" i="9"/>
  <c r="AF58" i="9"/>
  <c r="AG40" i="9"/>
  <c r="AH40" i="9"/>
  <c r="Y34" i="9"/>
  <c r="Z34" i="9"/>
  <c r="AA34" i="9"/>
  <c r="AB34" i="9"/>
  <c r="AC34" i="9"/>
  <c r="AD34" i="9"/>
  <c r="AE34" i="9"/>
  <c r="AF34" i="9"/>
  <c r="AG34" i="9"/>
  <c r="AH34" i="9"/>
  <c r="Y33" i="9"/>
  <c r="Z33" i="9"/>
  <c r="AA33" i="9"/>
  <c r="AB33" i="9"/>
  <c r="AC33" i="9"/>
  <c r="AD33" i="9"/>
  <c r="AE33" i="9"/>
  <c r="AF33" i="9"/>
  <c r="AG33" i="9"/>
  <c r="AH33" i="9"/>
  <c r="Y32" i="9"/>
  <c r="Z32" i="9"/>
  <c r="AA32" i="9"/>
  <c r="AB32" i="9"/>
  <c r="AC32" i="9"/>
  <c r="AD32" i="9"/>
  <c r="AE32" i="9"/>
  <c r="AF32" i="9"/>
  <c r="AG32" i="9"/>
  <c r="AH32" i="9"/>
  <c r="Y31" i="9"/>
  <c r="Z31" i="9"/>
  <c r="AA31" i="9"/>
  <c r="AB31" i="9"/>
  <c r="AC31" i="9"/>
  <c r="AD31" i="9"/>
  <c r="AE31" i="9"/>
  <c r="AF31" i="9"/>
  <c r="AG31" i="9"/>
  <c r="AH31" i="9"/>
  <c r="Y30" i="9"/>
  <c r="Z30" i="9"/>
  <c r="AA30" i="9"/>
  <c r="AB30" i="9"/>
  <c r="AC30" i="9"/>
  <c r="AD30" i="9"/>
  <c r="AE30" i="9"/>
  <c r="AF30" i="9"/>
  <c r="AG30" i="9"/>
  <c r="AH30" i="9"/>
  <c r="Y29" i="9"/>
  <c r="Z29" i="9"/>
  <c r="AA29" i="9"/>
  <c r="AB29" i="9"/>
  <c r="AC29" i="9"/>
  <c r="AD29" i="9"/>
  <c r="AE29" i="9"/>
  <c r="AF29" i="9"/>
  <c r="AG29" i="9"/>
  <c r="AH29" i="9"/>
  <c r="Y28" i="9"/>
  <c r="Z28" i="9"/>
  <c r="AA28" i="9"/>
  <c r="AB28" i="9"/>
  <c r="AC28" i="9"/>
  <c r="AD28" i="9"/>
  <c r="AE28" i="9"/>
  <c r="AF28" i="9"/>
  <c r="AG28" i="9"/>
  <c r="AH28" i="9"/>
  <c r="Y17" i="9"/>
  <c r="Y22" i="9"/>
  <c r="Y24" i="9"/>
  <c r="Y4" i="9"/>
  <c r="Y25" i="9"/>
  <c r="Z17" i="9"/>
  <c r="Z22" i="9"/>
  <c r="Z24" i="9"/>
  <c r="Z4" i="9"/>
  <c r="Z25" i="9"/>
  <c r="AA17" i="9"/>
  <c r="AA22" i="9"/>
  <c r="AA24" i="9"/>
  <c r="AA4" i="9"/>
  <c r="AA25" i="9"/>
  <c r="AB17" i="9"/>
  <c r="AB22" i="9"/>
  <c r="AB24" i="9"/>
  <c r="AB4" i="9"/>
  <c r="AB25" i="9"/>
  <c r="AC17" i="9"/>
  <c r="AC22" i="9"/>
  <c r="AC24" i="9"/>
  <c r="AC4" i="9"/>
  <c r="AC25" i="9"/>
  <c r="AD17" i="9"/>
  <c r="AD22" i="9"/>
  <c r="AD24" i="9"/>
  <c r="AD4" i="9"/>
  <c r="AD25" i="9"/>
  <c r="AE17" i="9"/>
  <c r="AE22" i="9"/>
  <c r="AE24" i="9"/>
  <c r="AE4" i="9"/>
  <c r="AE25" i="9"/>
  <c r="AF17" i="9"/>
  <c r="AF22" i="9"/>
  <c r="AF24" i="9"/>
  <c r="AF4" i="9"/>
  <c r="AF25" i="9"/>
  <c r="AG17" i="9"/>
  <c r="AG22" i="9"/>
  <c r="AG24" i="9"/>
  <c r="AG4" i="9"/>
  <c r="AG25" i="9"/>
  <c r="AH4" i="9"/>
  <c r="AH25" i="9"/>
  <c r="Y19" i="9"/>
  <c r="Z19" i="9"/>
  <c r="AA19" i="9"/>
  <c r="AB19" i="9"/>
  <c r="AC19" i="9"/>
  <c r="AD19" i="9"/>
  <c r="AE19" i="9"/>
  <c r="AF19" i="9"/>
  <c r="AG19" i="9"/>
  <c r="AH19" i="9"/>
  <c r="I12" i="9"/>
  <c r="J12" i="9"/>
  <c r="K12" i="9"/>
  <c r="K46" i="9"/>
  <c r="K64" i="9"/>
  <c r="L12" i="9"/>
  <c r="L46" i="9"/>
  <c r="L64" i="9"/>
  <c r="M12" i="9"/>
  <c r="O46" i="9"/>
  <c r="O64" i="9"/>
  <c r="P46" i="9"/>
  <c r="P64" i="9"/>
  <c r="I10" i="9"/>
  <c r="J10" i="9"/>
  <c r="K10" i="9"/>
  <c r="L10" i="9"/>
  <c r="M10" i="9"/>
  <c r="P44" i="9"/>
  <c r="P62" i="9"/>
  <c r="Q7" i="9"/>
  <c r="R7" i="9"/>
  <c r="L7" i="9"/>
  <c r="M7" i="9"/>
  <c r="O7" i="9"/>
  <c r="P7" i="9"/>
  <c r="F7" i="9"/>
  <c r="G7" i="9"/>
  <c r="I7" i="9"/>
  <c r="J7" i="9"/>
  <c r="K7" i="9"/>
  <c r="AH45" i="18"/>
  <c r="AH46" i="18"/>
  <c r="AG45" i="18"/>
  <c r="AG46" i="18"/>
  <c r="AH47" i="18"/>
  <c r="H44" i="18"/>
  <c r="B81" i="8"/>
  <c r="B82" i="8"/>
  <c r="B83" i="8"/>
  <c r="B84" i="8"/>
  <c r="B85" i="8"/>
  <c r="B86" i="8"/>
  <c r="C81" i="8"/>
  <c r="Y29" i="15"/>
  <c r="AI41" i="15"/>
  <c r="AA49" i="18"/>
  <c r="AB49" i="18"/>
  <c r="AC49" i="18"/>
  <c r="AD49" i="18"/>
  <c r="AE49" i="18"/>
  <c r="AF49" i="18"/>
  <c r="AG49" i="18"/>
  <c r="AH49" i="18"/>
  <c r="AI49" i="18"/>
  <c r="AJ49" i="18"/>
  <c r="AA48" i="18"/>
  <c r="AB48" i="18"/>
  <c r="AC48" i="18"/>
  <c r="AD48" i="18"/>
  <c r="AE48" i="18"/>
  <c r="AF48" i="18"/>
  <c r="AG48" i="18"/>
  <c r="AH48" i="18"/>
  <c r="AI48" i="18"/>
  <c r="AJ48" i="18"/>
  <c r="AA45" i="18"/>
  <c r="AA46" i="18"/>
  <c r="Z45" i="18"/>
  <c r="Z46" i="18"/>
  <c r="AA47" i="18"/>
  <c r="AB45" i="18"/>
  <c r="AB46" i="18"/>
  <c r="AB47" i="18"/>
  <c r="AC45" i="18"/>
  <c r="AC46" i="18"/>
  <c r="AC47" i="18"/>
  <c r="AD45" i="18"/>
  <c r="AD46" i="18"/>
  <c r="AD47" i="18"/>
  <c r="AE45" i="18"/>
  <c r="AE46" i="18"/>
  <c r="AE47" i="18"/>
  <c r="AF45" i="18"/>
  <c r="AF46" i="18"/>
  <c r="AF47" i="18"/>
  <c r="AG47" i="18"/>
  <c r="AI45" i="18"/>
  <c r="AI46" i="18"/>
  <c r="AI47" i="18"/>
  <c r="AJ45" i="18"/>
  <c r="AJ46" i="18"/>
  <c r="AJ47" i="18"/>
  <c r="J45" i="18"/>
  <c r="K45" i="18"/>
  <c r="L45" i="18"/>
  <c r="M45" i="18"/>
  <c r="M46" i="18"/>
  <c r="N45" i="18"/>
  <c r="O45" i="18"/>
  <c r="P45" i="18"/>
  <c r="Q45" i="18"/>
  <c r="Q46" i="18"/>
  <c r="R45" i="18"/>
  <c r="S45" i="18"/>
  <c r="T45" i="18"/>
  <c r="U45" i="18"/>
  <c r="U46" i="18"/>
  <c r="V45" i="18"/>
  <c r="W45" i="18"/>
  <c r="X45" i="18"/>
  <c r="Y45" i="18"/>
  <c r="G45" i="18"/>
  <c r="H45" i="18"/>
  <c r="I45" i="18"/>
  <c r="I46" i="18"/>
  <c r="AA44" i="18"/>
  <c r="AB44" i="18"/>
  <c r="AC44" i="18"/>
  <c r="AD44" i="18"/>
  <c r="AE44" i="18"/>
  <c r="AF44" i="18"/>
  <c r="AG44" i="18"/>
  <c r="AH44" i="18"/>
  <c r="AI44" i="18"/>
  <c r="AJ44" i="18"/>
  <c r="C44" i="18"/>
  <c r="D44" i="18"/>
  <c r="E44" i="18"/>
  <c r="C149" i="15"/>
  <c r="C150" i="15"/>
  <c r="C157" i="15"/>
  <c r="C164" i="15"/>
  <c r="C166" i="15"/>
  <c r="F44" i="18"/>
  <c r="D149" i="15"/>
  <c r="G44" i="18"/>
  <c r="E150" i="15"/>
  <c r="AA81" i="8"/>
  <c r="AA82" i="8"/>
  <c r="AA83" i="8"/>
  <c r="AA84" i="8"/>
  <c r="AA85" i="8"/>
  <c r="AA86" i="8"/>
  <c r="AB81" i="8"/>
  <c r="AB82" i="8"/>
  <c r="AB83" i="8"/>
  <c r="AB84" i="8"/>
  <c r="AB85" i="8"/>
  <c r="AB86" i="8"/>
  <c r="AC81" i="8"/>
  <c r="AC82" i="8"/>
  <c r="AC83" i="8"/>
  <c r="AC84" i="8"/>
  <c r="AC85" i="8"/>
  <c r="AC86" i="8"/>
  <c r="AD81" i="8"/>
  <c r="AD82" i="8"/>
  <c r="AD83" i="8"/>
  <c r="AD84" i="8"/>
  <c r="AD85" i="8"/>
  <c r="AD86" i="8"/>
  <c r="AE81" i="8"/>
  <c r="AE82" i="8"/>
  <c r="AE83" i="8"/>
  <c r="AE84" i="8"/>
  <c r="AE85" i="8"/>
  <c r="AE86" i="8"/>
  <c r="AF81" i="8"/>
  <c r="AF82" i="8"/>
  <c r="AF83" i="8"/>
  <c r="AF84" i="8"/>
  <c r="AF85" i="8"/>
  <c r="AF86" i="8"/>
  <c r="AG81" i="8"/>
  <c r="AG82" i="8"/>
  <c r="AG83" i="8"/>
  <c r="AG84" i="8"/>
  <c r="AG85" i="8"/>
  <c r="AG86" i="8"/>
  <c r="AH81" i="8"/>
  <c r="AH82" i="8"/>
  <c r="AH83" i="8"/>
  <c r="AH84" i="8"/>
  <c r="AH85" i="8"/>
  <c r="AH86" i="8"/>
  <c r="AI81" i="8"/>
  <c r="AI82" i="8"/>
  <c r="AI83" i="8"/>
  <c r="AI84" i="8"/>
  <c r="AI85" i="8"/>
  <c r="AI86" i="8"/>
  <c r="AJ81" i="8"/>
  <c r="AJ82" i="8"/>
  <c r="AJ83" i="8"/>
  <c r="AJ84" i="8"/>
  <c r="AJ85" i="8"/>
  <c r="AJ86" i="8"/>
  <c r="G81" i="8"/>
  <c r="H81" i="8"/>
  <c r="I81" i="8"/>
  <c r="J81" i="8"/>
  <c r="J82" i="8"/>
  <c r="J83" i="8"/>
  <c r="J84" i="8"/>
  <c r="J85" i="8"/>
  <c r="J86" i="8"/>
  <c r="K81" i="8"/>
  <c r="L81" i="8"/>
  <c r="M81" i="8"/>
  <c r="N81" i="8"/>
  <c r="N82" i="8"/>
  <c r="N83" i="8"/>
  <c r="N84" i="8"/>
  <c r="N85" i="8"/>
  <c r="N86" i="8"/>
  <c r="O81" i="8"/>
  <c r="P81" i="8"/>
  <c r="Q81" i="8"/>
  <c r="Q82" i="8"/>
  <c r="Q83" i="8"/>
  <c r="Q84" i="8"/>
  <c r="Q85" i="8"/>
  <c r="Q86" i="8"/>
  <c r="R81" i="8"/>
  <c r="R82" i="8"/>
  <c r="R83" i="8"/>
  <c r="R84" i="8"/>
  <c r="R85" i="8"/>
  <c r="R86" i="8"/>
  <c r="S81" i="8"/>
  <c r="T81" i="8"/>
  <c r="U81" i="8"/>
  <c r="U82" i="8"/>
  <c r="U83" i="8"/>
  <c r="U84" i="8"/>
  <c r="U85" i="8"/>
  <c r="U86" i="8"/>
  <c r="V81" i="8"/>
  <c r="V82" i="8"/>
  <c r="V83" i="8"/>
  <c r="V84" i="8"/>
  <c r="V85" i="8"/>
  <c r="V86" i="8"/>
  <c r="W81" i="8"/>
  <c r="X81" i="8"/>
  <c r="Y81" i="8"/>
  <c r="Y82" i="8"/>
  <c r="Y83" i="8"/>
  <c r="Y84" i="8"/>
  <c r="Y85" i="8"/>
  <c r="Y86" i="8"/>
  <c r="Z81" i="8"/>
  <c r="H80" i="8"/>
  <c r="I80" i="8"/>
  <c r="J80" i="8"/>
  <c r="K80" i="8"/>
  <c r="L80" i="8"/>
  <c r="M80" i="8"/>
  <c r="N80" i="8"/>
  <c r="O80" i="8"/>
  <c r="P80" i="8"/>
  <c r="Q80" i="8"/>
  <c r="R80" i="8"/>
  <c r="S80" i="8"/>
  <c r="T80" i="8"/>
  <c r="U80" i="8"/>
  <c r="V80" i="8"/>
  <c r="W80" i="8"/>
  <c r="X80" i="8"/>
  <c r="Y80" i="8"/>
  <c r="Z80" i="8"/>
  <c r="AA80" i="8"/>
  <c r="AB80" i="8"/>
  <c r="AC80" i="8"/>
  <c r="AD80" i="8"/>
  <c r="AE80" i="8"/>
  <c r="AF80" i="8"/>
  <c r="AG80" i="8"/>
  <c r="AH80" i="8"/>
  <c r="AI80" i="8"/>
  <c r="AJ80" i="8"/>
  <c r="D23" i="15"/>
  <c r="E23" i="15"/>
  <c r="F23" i="15"/>
  <c r="G23" i="15"/>
  <c r="AL32" i="18"/>
  <c r="B44" i="18"/>
  <c r="F150" i="15"/>
  <c r="I44" i="18"/>
  <c r="J44" i="18"/>
  <c r="K44" i="18"/>
  <c r="I150" i="15"/>
  <c r="L44" i="18"/>
  <c r="M44" i="18"/>
  <c r="N44" i="18"/>
  <c r="L150" i="15"/>
  <c r="O44" i="18"/>
  <c r="M150" i="15"/>
  <c r="P44" i="18"/>
  <c r="N150" i="15"/>
  <c r="Q44" i="18"/>
  <c r="R44" i="18"/>
  <c r="S44" i="18"/>
  <c r="Q150" i="15"/>
  <c r="T44" i="18"/>
  <c r="R150" i="15"/>
  <c r="U44" i="18"/>
  <c r="V44" i="18"/>
  <c r="T150" i="15"/>
  <c r="T149" i="15"/>
  <c r="T157" i="15"/>
  <c r="W44" i="18"/>
  <c r="U150" i="15"/>
  <c r="X44" i="18"/>
  <c r="V150" i="15"/>
  <c r="Y44" i="18"/>
  <c r="Z44" i="18"/>
  <c r="B45" i="18"/>
  <c r="C45" i="18"/>
  <c r="D45" i="18"/>
  <c r="D46" i="18"/>
  <c r="E45" i="18"/>
  <c r="F45" i="18"/>
  <c r="G46" i="18"/>
  <c r="H46" i="18"/>
  <c r="J46" i="18"/>
  <c r="H151" i="15"/>
  <c r="H149" i="15"/>
  <c r="H152" i="15"/>
  <c r="L46" i="18"/>
  <c r="J78" i="9"/>
  <c r="C58" i="5"/>
  <c r="J83" i="9"/>
  <c r="N46" i="18"/>
  <c r="P46" i="18"/>
  <c r="T46" i="18"/>
  <c r="V46" i="18"/>
  <c r="W46" i="18"/>
  <c r="X46" i="18"/>
  <c r="B46" i="18"/>
  <c r="C46" i="18"/>
  <c r="C47" i="18"/>
  <c r="E46" i="18"/>
  <c r="F46" i="18"/>
  <c r="K46" i="18"/>
  <c r="I151" i="15"/>
  <c r="O46" i="18"/>
  <c r="O47" i="18"/>
  <c r="R46" i="18"/>
  <c r="P78" i="9"/>
  <c r="P83" i="9"/>
  <c r="S46" i="18"/>
  <c r="Q78" i="9"/>
  <c r="Q83" i="9"/>
  <c r="Y46" i="18"/>
  <c r="W153" i="15"/>
  <c r="X78" i="9"/>
  <c r="X83" i="9"/>
  <c r="F47" i="18"/>
  <c r="B48" i="18"/>
  <c r="C48" i="18"/>
  <c r="D48" i="18"/>
  <c r="E48" i="18"/>
  <c r="F48" i="18"/>
  <c r="G48" i="18"/>
  <c r="H48" i="18"/>
  <c r="I48" i="18"/>
  <c r="J48" i="18"/>
  <c r="K48" i="18"/>
  <c r="L48" i="18"/>
  <c r="M48" i="18"/>
  <c r="N48" i="18"/>
  <c r="O48" i="18"/>
  <c r="P48" i="18"/>
  <c r="Q48" i="18"/>
  <c r="R48" i="18"/>
  <c r="S48" i="18"/>
  <c r="T48" i="18"/>
  <c r="U48" i="18"/>
  <c r="V48" i="18"/>
  <c r="W48" i="18"/>
  <c r="X48" i="18"/>
  <c r="Y48" i="18"/>
  <c r="Z48" i="18"/>
  <c r="B49" i="18"/>
  <c r="C49" i="18"/>
  <c r="D49" i="18"/>
  <c r="E49" i="18"/>
  <c r="F49" i="18"/>
  <c r="G49" i="18"/>
  <c r="H49" i="18"/>
  <c r="I49" i="18"/>
  <c r="J49" i="18"/>
  <c r="K49" i="18"/>
  <c r="L49" i="18"/>
  <c r="M49" i="18"/>
  <c r="N49" i="18"/>
  <c r="O49" i="18"/>
  <c r="P49" i="18"/>
  <c r="Q49" i="18"/>
  <c r="R49" i="18"/>
  <c r="S49" i="18"/>
  <c r="T49" i="18"/>
  <c r="U49" i="18"/>
  <c r="V49" i="18"/>
  <c r="W49" i="18"/>
  <c r="X49" i="18"/>
  <c r="Y49" i="18"/>
  <c r="Z49" i="18"/>
  <c r="B25" i="21"/>
  <c r="C25" i="21"/>
  <c r="D25" i="21"/>
  <c r="E25" i="21"/>
  <c r="F25" i="21"/>
  <c r="G25" i="21"/>
  <c r="H25" i="21"/>
  <c r="I25" i="21"/>
  <c r="J25" i="21"/>
  <c r="K25" i="21"/>
  <c r="L25" i="21"/>
  <c r="M25" i="21"/>
  <c r="N25" i="21"/>
  <c r="O25" i="21"/>
  <c r="P25" i="21"/>
  <c r="Q25" i="21"/>
  <c r="R25" i="21"/>
  <c r="S25" i="21"/>
  <c r="T25" i="21"/>
  <c r="U25" i="21"/>
  <c r="V25" i="21"/>
  <c r="W25" i="21"/>
  <c r="X25" i="21"/>
  <c r="Y25" i="21"/>
  <c r="Z25" i="21"/>
  <c r="AA25" i="21"/>
  <c r="AB25" i="21"/>
  <c r="AC25" i="21"/>
  <c r="AD25" i="21"/>
  <c r="AE25" i="21"/>
  <c r="AF25" i="21"/>
  <c r="AG25" i="21"/>
  <c r="AH25" i="21"/>
  <c r="AI25" i="21"/>
  <c r="AJ25" i="21"/>
  <c r="AK25" i="21"/>
  <c r="AL25" i="21"/>
  <c r="AM25" i="21"/>
  <c r="AN25" i="21"/>
  <c r="AO25" i="21"/>
  <c r="AP25" i="21"/>
  <c r="AQ25" i="21"/>
  <c r="AR25" i="21"/>
  <c r="AS25" i="21"/>
  <c r="AT25" i="21"/>
  <c r="AU25" i="21"/>
  <c r="AV25" i="21"/>
  <c r="AW25" i="21"/>
  <c r="AX25" i="21"/>
  <c r="F26" i="21"/>
  <c r="G26" i="21"/>
  <c r="H26" i="21"/>
  <c r="I26" i="21"/>
  <c r="J26" i="21"/>
  <c r="K26" i="21"/>
  <c r="L26" i="21"/>
  <c r="M26" i="21"/>
  <c r="N26" i="21"/>
  <c r="O26" i="21"/>
  <c r="P26" i="21"/>
  <c r="Q26" i="21"/>
  <c r="R26" i="21"/>
  <c r="S26" i="21"/>
  <c r="T26" i="21"/>
  <c r="U26" i="21"/>
  <c r="V26" i="21"/>
  <c r="W26" i="21"/>
  <c r="X26" i="21"/>
  <c r="Y26" i="21"/>
  <c r="Z26" i="21"/>
  <c r="AA26" i="21"/>
  <c r="AB26" i="21"/>
  <c r="AC26" i="21"/>
  <c r="AD26" i="21"/>
  <c r="AE26" i="21"/>
  <c r="AF26" i="21"/>
  <c r="AG26" i="21"/>
  <c r="AH26" i="21"/>
  <c r="AI26" i="21"/>
  <c r="AJ26" i="21"/>
  <c r="AK26" i="21"/>
  <c r="AL26" i="21"/>
  <c r="AM26" i="21"/>
  <c r="AN26" i="21"/>
  <c r="AO26" i="21"/>
  <c r="AP26" i="21"/>
  <c r="AQ26" i="21"/>
  <c r="AR26" i="21"/>
  <c r="AS26" i="21"/>
  <c r="AT26" i="21"/>
  <c r="AU26" i="21"/>
  <c r="AV26" i="21"/>
  <c r="AW26" i="21"/>
  <c r="AX26" i="21"/>
  <c r="AY26" i="21"/>
  <c r="AZ26" i="21"/>
  <c r="BA26" i="21"/>
  <c r="BB26" i="21"/>
  <c r="BC26" i="21"/>
  <c r="D61" i="21"/>
  <c r="B80" i="8"/>
  <c r="C80" i="8"/>
  <c r="D80" i="8"/>
  <c r="E80" i="8"/>
  <c r="F80" i="8"/>
  <c r="G80" i="8"/>
  <c r="D81" i="8"/>
  <c r="E81" i="8"/>
  <c r="F81" i="8"/>
  <c r="Z82" i="8"/>
  <c r="Z83" i="8"/>
  <c r="Z84" i="8"/>
  <c r="Z85" i="8"/>
  <c r="Z86" i="8"/>
  <c r="C82" i="8"/>
  <c r="D82" i="8"/>
  <c r="E82" i="8"/>
  <c r="F82" i="8"/>
  <c r="G82" i="8"/>
  <c r="H82" i="8"/>
  <c r="I82" i="8"/>
  <c r="K82" i="8"/>
  <c r="L82" i="8"/>
  <c r="L83" i="8"/>
  <c r="L84" i="8"/>
  <c r="L85" i="8"/>
  <c r="L86" i="8"/>
  <c r="M82" i="8"/>
  <c r="O82" i="8"/>
  <c r="O83" i="8"/>
  <c r="O84" i="8"/>
  <c r="O85" i="8"/>
  <c r="O86" i="8"/>
  <c r="P82" i="8"/>
  <c r="P83" i="8"/>
  <c r="P84" i="8"/>
  <c r="P85" i="8"/>
  <c r="P86" i="8"/>
  <c r="S82" i="8"/>
  <c r="S83" i="8"/>
  <c r="S84" i="8"/>
  <c r="S85" i="8"/>
  <c r="S86" i="8"/>
  <c r="T82" i="8"/>
  <c r="T83" i="8"/>
  <c r="T84" i="8"/>
  <c r="T85" i="8"/>
  <c r="T86" i="8"/>
  <c r="W82" i="8"/>
  <c r="X82" i="8"/>
  <c r="X83" i="8"/>
  <c r="X84" i="8"/>
  <c r="X85" i="8"/>
  <c r="X86" i="8"/>
  <c r="C83" i="8"/>
  <c r="C84" i="8"/>
  <c r="C85" i="8"/>
  <c r="C86" i="8"/>
  <c r="D83" i="8"/>
  <c r="E83" i="8"/>
  <c r="F83" i="8"/>
  <c r="G83" i="8"/>
  <c r="H83" i="8"/>
  <c r="H84" i="8"/>
  <c r="H85" i="8"/>
  <c r="H86" i="8"/>
  <c r="I83" i="8"/>
  <c r="K83" i="8"/>
  <c r="M83" i="8"/>
  <c r="W83" i="8"/>
  <c r="D84" i="8"/>
  <c r="E84" i="8"/>
  <c r="F84" i="8"/>
  <c r="F85" i="8"/>
  <c r="F86" i="8"/>
  <c r="G84" i="8"/>
  <c r="I84" i="8"/>
  <c r="K84" i="8"/>
  <c r="M84" i="8"/>
  <c r="W84" i="8"/>
  <c r="D85" i="8"/>
  <c r="E85" i="8"/>
  <c r="G85" i="8"/>
  <c r="G86" i="8"/>
  <c r="I85" i="8"/>
  <c r="K85" i="8"/>
  <c r="K86" i="8"/>
  <c r="M85" i="8"/>
  <c r="W85" i="8"/>
  <c r="W86" i="8"/>
  <c r="D86" i="8"/>
  <c r="F11" i="30"/>
  <c r="B12" i="30"/>
  <c r="B13" i="30"/>
  <c r="F12" i="30"/>
  <c r="F13" i="30"/>
  <c r="B14" i="30"/>
  <c r="B15" i="30"/>
  <c r="F14" i="30"/>
  <c r="F15" i="30"/>
  <c r="B16" i="30"/>
  <c r="F16" i="30"/>
  <c r="F17" i="30"/>
  <c r="F18" i="30"/>
  <c r="F19" i="30"/>
  <c r="F20" i="30"/>
  <c r="F21" i="30"/>
  <c r="F22" i="30"/>
  <c r="F23" i="30"/>
  <c r="F24" i="30"/>
  <c r="F25" i="30"/>
  <c r="F26" i="30"/>
  <c r="B27" i="30"/>
  <c r="C4" i="9"/>
  <c r="D4" i="9"/>
  <c r="E4" i="9"/>
  <c r="F4" i="9"/>
  <c r="G4" i="9"/>
  <c r="H4" i="9"/>
  <c r="I4" i="9"/>
  <c r="J4" i="9"/>
  <c r="K4" i="9"/>
  <c r="L4" i="9"/>
  <c r="M4" i="9"/>
  <c r="N4" i="9"/>
  <c r="O4" i="9"/>
  <c r="P4" i="9"/>
  <c r="Q4" i="9"/>
  <c r="R4" i="9"/>
  <c r="S4" i="9"/>
  <c r="T4" i="9"/>
  <c r="U4" i="9"/>
  <c r="V4" i="9"/>
  <c r="W4" i="9"/>
  <c r="X4" i="9"/>
  <c r="C8" i="9"/>
  <c r="C43" i="9"/>
  <c r="C61" i="9"/>
  <c r="F8" i="9"/>
  <c r="F43" i="9"/>
  <c r="F61" i="9"/>
  <c r="G8" i="9"/>
  <c r="G43" i="9"/>
  <c r="G61" i="9"/>
  <c r="H8" i="9"/>
  <c r="I8" i="9"/>
  <c r="I43" i="9"/>
  <c r="I61" i="9"/>
  <c r="J8" i="9"/>
  <c r="J43" i="9"/>
  <c r="J61" i="9"/>
  <c r="K8" i="9"/>
  <c r="K43" i="9"/>
  <c r="K61" i="9"/>
  <c r="L8" i="9"/>
  <c r="L43" i="9"/>
  <c r="L61" i="9"/>
  <c r="M8" i="9"/>
  <c r="N43" i="9"/>
  <c r="N61" i="9"/>
  <c r="O8" i="9"/>
  <c r="O43" i="9"/>
  <c r="O61" i="9"/>
  <c r="P8" i="9"/>
  <c r="Q8" i="9"/>
  <c r="Q43" i="9"/>
  <c r="Q61" i="9"/>
  <c r="R8" i="9"/>
  <c r="R43" i="9"/>
  <c r="R61" i="9"/>
  <c r="S8" i="9"/>
  <c r="S43" i="9"/>
  <c r="S61" i="9"/>
  <c r="T8" i="9"/>
  <c r="U8" i="9"/>
  <c r="U43" i="9"/>
  <c r="U61" i="9"/>
  <c r="V8" i="9"/>
  <c r="V43" i="9"/>
  <c r="V61" i="9"/>
  <c r="W8" i="9"/>
  <c r="W43" i="9"/>
  <c r="W61" i="9"/>
  <c r="C10" i="9"/>
  <c r="C44" i="9"/>
  <c r="C62" i="9"/>
  <c r="F44" i="9"/>
  <c r="F62" i="9"/>
  <c r="G10" i="9"/>
  <c r="G44" i="9"/>
  <c r="G62" i="9"/>
  <c r="H44" i="9"/>
  <c r="H62" i="9"/>
  <c r="I44" i="9"/>
  <c r="I62" i="9"/>
  <c r="K44" i="9"/>
  <c r="K62" i="9"/>
  <c r="L44" i="9"/>
  <c r="L62" i="9"/>
  <c r="M44" i="9"/>
  <c r="M62" i="9"/>
  <c r="Q44" i="9"/>
  <c r="Q62" i="9"/>
  <c r="R44" i="9"/>
  <c r="R62" i="9"/>
  <c r="S44" i="9"/>
  <c r="S62" i="9"/>
  <c r="T44" i="9"/>
  <c r="T62" i="9"/>
  <c r="U44" i="9"/>
  <c r="U62" i="9"/>
  <c r="V44" i="9"/>
  <c r="V62" i="9"/>
  <c r="W44" i="9"/>
  <c r="W62" i="9"/>
  <c r="X44" i="9"/>
  <c r="X62" i="9"/>
  <c r="C11" i="9"/>
  <c r="C45" i="9"/>
  <c r="C63" i="9"/>
  <c r="F45" i="9"/>
  <c r="F63" i="9"/>
  <c r="G11" i="9"/>
  <c r="G45" i="9"/>
  <c r="G63" i="9"/>
  <c r="I11" i="9"/>
  <c r="I45" i="9"/>
  <c r="I63" i="9"/>
  <c r="J11" i="9"/>
  <c r="J45" i="9"/>
  <c r="J63" i="9"/>
  <c r="K11" i="9"/>
  <c r="K45" i="9"/>
  <c r="K63" i="9"/>
  <c r="L11" i="9"/>
  <c r="L45" i="9"/>
  <c r="L63" i="9"/>
  <c r="M11" i="9"/>
  <c r="M45" i="9"/>
  <c r="M63" i="9"/>
  <c r="N45" i="9"/>
  <c r="N63" i="9"/>
  <c r="O45" i="9"/>
  <c r="O63" i="9"/>
  <c r="P45" i="9"/>
  <c r="P63" i="9"/>
  <c r="Q45" i="9"/>
  <c r="Q63" i="9"/>
  <c r="R45" i="9"/>
  <c r="R63" i="9"/>
  <c r="S45" i="9"/>
  <c r="S63" i="9"/>
  <c r="U45" i="9"/>
  <c r="U63" i="9"/>
  <c r="V45" i="9"/>
  <c r="V63" i="9"/>
  <c r="W45" i="9"/>
  <c r="W63" i="9"/>
  <c r="C12" i="9"/>
  <c r="F46" i="9"/>
  <c r="F64" i="9"/>
  <c r="G12" i="9"/>
  <c r="G46" i="9"/>
  <c r="G64" i="9"/>
  <c r="H46" i="9"/>
  <c r="H64" i="9"/>
  <c r="I46" i="9"/>
  <c r="I64" i="9"/>
  <c r="J46" i="9"/>
  <c r="J64" i="9"/>
  <c r="M46" i="9"/>
  <c r="M64" i="9"/>
  <c r="Q46" i="9"/>
  <c r="Q64" i="9"/>
  <c r="S46" i="9"/>
  <c r="S64" i="9"/>
  <c r="T46" i="9"/>
  <c r="T64" i="9"/>
  <c r="U46" i="9"/>
  <c r="U64" i="9"/>
  <c r="V46" i="9"/>
  <c r="V64" i="9"/>
  <c r="W46" i="9"/>
  <c r="W64" i="9"/>
  <c r="X46" i="9"/>
  <c r="X64" i="9"/>
  <c r="F47" i="9"/>
  <c r="F65" i="9"/>
  <c r="G13" i="9"/>
  <c r="G47" i="9"/>
  <c r="G65" i="9"/>
  <c r="I13" i="9"/>
  <c r="I47" i="9"/>
  <c r="I65" i="9"/>
  <c r="J13" i="9"/>
  <c r="J47" i="9"/>
  <c r="J65" i="9"/>
  <c r="K13" i="9"/>
  <c r="K47" i="9"/>
  <c r="K65" i="9"/>
  <c r="L13" i="9"/>
  <c r="M13" i="9"/>
  <c r="M47" i="9"/>
  <c r="M65" i="9"/>
  <c r="O47" i="9"/>
  <c r="O65" i="9"/>
  <c r="Q47" i="9"/>
  <c r="Q65" i="9"/>
  <c r="R47" i="9"/>
  <c r="R65" i="9"/>
  <c r="S47" i="9"/>
  <c r="S65" i="9"/>
  <c r="U47" i="9"/>
  <c r="U65" i="9"/>
  <c r="V47" i="9"/>
  <c r="V65" i="9"/>
  <c r="W47" i="9"/>
  <c r="W65" i="9"/>
  <c r="G14" i="9"/>
  <c r="G48" i="9"/>
  <c r="G66" i="9"/>
  <c r="H48" i="9"/>
  <c r="H66" i="9"/>
  <c r="I14" i="9"/>
  <c r="I48" i="9"/>
  <c r="I66" i="9"/>
  <c r="J14" i="9"/>
  <c r="K14" i="9"/>
  <c r="K48" i="9"/>
  <c r="K66" i="9"/>
  <c r="L14" i="9"/>
  <c r="L48" i="9"/>
  <c r="L66" i="9"/>
  <c r="M14" i="9"/>
  <c r="M48" i="9"/>
  <c r="M66" i="9"/>
  <c r="N48" i="9"/>
  <c r="N66" i="9"/>
  <c r="O48" i="9"/>
  <c r="O66" i="9"/>
  <c r="P48" i="9"/>
  <c r="P66" i="9"/>
  <c r="R48" i="9"/>
  <c r="R66" i="9"/>
  <c r="S48" i="9"/>
  <c r="S66" i="9"/>
  <c r="T48" i="9"/>
  <c r="T66" i="9"/>
  <c r="V48" i="9"/>
  <c r="V66" i="9"/>
  <c r="W48" i="9"/>
  <c r="W66" i="9"/>
  <c r="X48" i="9"/>
  <c r="X66" i="9"/>
  <c r="C16" i="9"/>
  <c r="F50" i="9"/>
  <c r="F68" i="9"/>
  <c r="G16" i="9"/>
  <c r="G50" i="9"/>
  <c r="G68" i="9"/>
  <c r="H50" i="9"/>
  <c r="H68" i="9"/>
  <c r="I16" i="9"/>
  <c r="I50" i="9"/>
  <c r="I68" i="9"/>
  <c r="J16" i="9"/>
  <c r="J50" i="9"/>
  <c r="J68" i="9"/>
  <c r="K16" i="9"/>
  <c r="K50" i="9"/>
  <c r="K68" i="9"/>
  <c r="L16" i="9"/>
  <c r="L50" i="9"/>
  <c r="L68" i="9"/>
  <c r="M16" i="9"/>
  <c r="M50" i="9"/>
  <c r="M68" i="9"/>
  <c r="N50" i="9"/>
  <c r="N68" i="9"/>
  <c r="O50" i="9"/>
  <c r="O68" i="9"/>
  <c r="P50" i="9"/>
  <c r="P68" i="9"/>
  <c r="Q50" i="9"/>
  <c r="Q68" i="9"/>
  <c r="R50" i="9"/>
  <c r="R68" i="9"/>
  <c r="S50" i="9"/>
  <c r="S68" i="9"/>
  <c r="T50" i="9"/>
  <c r="T68" i="9"/>
  <c r="U50" i="9"/>
  <c r="U68" i="9"/>
  <c r="V50" i="9"/>
  <c r="V68" i="9"/>
  <c r="W50" i="9"/>
  <c r="W68" i="9"/>
  <c r="C20" i="9"/>
  <c r="C53" i="9"/>
  <c r="C71" i="9"/>
  <c r="F20" i="9"/>
  <c r="F53" i="9"/>
  <c r="F71" i="9"/>
  <c r="G20" i="9"/>
  <c r="G53" i="9"/>
  <c r="H20" i="9"/>
  <c r="H53" i="9"/>
  <c r="H71" i="9"/>
  <c r="I20" i="9"/>
  <c r="I53" i="9"/>
  <c r="I71" i="9"/>
  <c r="J20" i="9"/>
  <c r="J53" i="9"/>
  <c r="J71" i="9"/>
  <c r="K20" i="9"/>
  <c r="K53" i="9"/>
  <c r="K71" i="9"/>
  <c r="L20" i="9"/>
  <c r="L53" i="9"/>
  <c r="M20" i="9"/>
  <c r="N20" i="9"/>
  <c r="N53" i="9"/>
  <c r="N71" i="9"/>
  <c r="O20" i="9"/>
  <c r="O53" i="9"/>
  <c r="O71" i="9"/>
  <c r="P20" i="9"/>
  <c r="P53" i="9"/>
  <c r="Q20" i="9"/>
  <c r="Q53" i="9"/>
  <c r="Q71" i="9"/>
  <c r="R20" i="9"/>
  <c r="R53" i="9"/>
  <c r="R71" i="9"/>
  <c r="S20" i="9"/>
  <c r="S53" i="9"/>
  <c r="S71" i="9"/>
  <c r="S21" i="9"/>
  <c r="S54" i="9"/>
  <c r="S72" i="9"/>
  <c r="S202" i="15"/>
  <c r="T20" i="9"/>
  <c r="T53" i="9"/>
  <c r="U20" i="9"/>
  <c r="U53" i="9"/>
  <c r="U71" i="9"/>
  <c r="V20" i="9"/>
  <c r="V53" i="9"/>
  <c r="V71" i="9"/>
  <c r="W20" i="9"/>
  <c r="W53" i="9"/>
  <c r="X53" i="9"/>
  <c r="C21" i="9"/>
  <c r="C54" i="9"/>
  <c r="C72" i="9"/>
  <c r="F21" i="9"/>
  <c r="F54" i="9"/>
  <c r="F72" i="9"/>
  <c r="G21" i="9"/>
  <c r="G54" i="9"/>
  <c r="G72" i="9"/>
  <c r="H21" i="9"/>
  <c r="H54" i="9"/>
  <c r="H72" i="9"/>
  <c r="I21" i="9"/>
  <c r="I54" i="9"/>
  <c r="I72" i="9"/>
  <c r="J21" i="9"/>
  <c r="J54" i="9"/>
  <c r="J72" i="9"/>
  <c r="K21" i="9"/>
  <c r="K54" i="9"/>
  <c r="K72" i="9"/>
  <c r="K202" i="15"/>
  <c r="L21" i="9"/>
  <c r="L54" i="9"/>
  <c r="L72" i="9"/>
  <c r="M21" i="9"/>
  <c r="M54" i="9"/>
  <c r="N21" i="9"/>
  <c r="N54" i="9"/>
  <c r="N72" i="9"/>
  <c r="O21" i="9"/>
  <c r="O54" i="9"/>
  <c r="O72" i="9"/>
  <c r="P21" i="9"/>
  <c r="P54" i="9"/>
  <c r="P72" i="9"/>
  <c r="Q21" i="9"/>
  <c r="Q54" i="9"/>
  <c r="R21" i="9"/>
  <c r="R54" i="9"/>
  <c r="R72" i="9"/>
  <c r="T21" i="9"/>
  <c r="T54" i="9"/>
  <c r="T72" i="9"/>
  <c r="U21" i="9"/>
  <c r="U54" i="9"/>
  <c r="U72" i="9"/>
  <c r="V21" i="9"/>
  <c r="V54" i="9"/>
  <c r="V72" i="9"/>
  <c r="W21" i="9"/>
  <c r="X54" i="9"/>
  <c r="X72" i="9"/>
  <c r="C23" i="9"/>
  <c r="D23" i="9"/>
  <c r="C40" i="9"/>
  <c r="C58" i="9"/>
  <c r="D40" i="9"/>
  <c r="D58" i="9"/>
  <c r="E40" i="9"/>
  <c r="E58" i="9"/>
  <c r="F40" i="9"/>
  <c r="F58" i="9"/>
  <c r="G40" i="9"/>
  <c r="G58" i="9"/>
  <c r="H40" i="9"/>
  <c r="H58" i="9"/>
  <c r="I40" i="9"/>
  <c r="I58" i="9"/>
  <c r="J40" i="9"/>
  <c r="J58" i="9"/>
  <c r="K40" i="9"/>
  <c r="K58" i="9"/>
  <c r="L40" i="9"/>
  <c r="L58" i="9"/>
  <c r="M40" i="9"/>
  <c r="M58" i="9"/>
  <c r="N40" i="9"/>
  <c r="N58" i="9"/>
  <c r="O40" i="9"/>
  <c r="O58" i="9"/>
  <c r="P40" i="9"/>
  <c r="P58" i="9"/>
  <c r="Q40" i="9"/>
  <c r="Q58" i="9"/>
  <c r="R40" i="9"/>
  <c r="R58" i="9"/>
  <c r="S40" i="9"/>
  <c r="S58" i="9"/>
  <c r="T40" i="9"/>
  <c r="T58" i="9"/>
  <c r="U40" i="9"/>
  <c r="U58" i="9"/>
  <c r="V40" i="9"/>
  <c r="V58" i="9"/>
  <c r="W40" i="9"/>
  <c r="W58" i="9"/>
  <c r="X40" i="9"/>
  <c r="X58" i="9"/>
  <c r="C41" i="9"/>
  <c r="C59" i="9"/>
  <c r="D41" i="9"/>
  <c r="D59" i="9"/>
  <c r="F41" i="9"/>
  <c r="F59" i="9"/>
  <c r="G41" i="9"/>
  <c r="G59" i="9"/>
  <c r="H41" i="9"/>
  <c r="H59" i="9"/>
  <c r="I41" i="9"/>
  <c r="I59" i="9"/>
  <c r="J41" i="9"/>
  <c r="J59" i="9"/>
  <c r="K41" i="9"/>
  <c r="K59" i="9"/>
  <c r="L41" i="9"/>
  <c r="L59" i="9"/>
  <c r="M41" i="9"/>
  <c r="M59" i="9"/>
  <c r="N41" i="9"/>
  <c r="N59" i="9"/>
  <c r="O41" i="9"/>
  <c r="O59" i="9"/>
  <c r="P41" i="9"/>
  <c r="P59" i="9"/>
  <c r="Q41" i="9"/>
  <c r="Q59" i="9"/>
  <c r="R41" i="9"/>
  <c r="R59" i="9"/>
  <c r="S41" i="9"/>
  <c r="S59" i="9"/>
  <c r="T41" i="9"/>
  <c r="T59" i="9"/>
  <c r="U41" i="9"/>
  <c r="U59" i="9"/>
  <c r="V41" i="9"/>
  <c r="V59" i="9"/>
  <c r="W41" i="9"/>
  <c r="W59" i="9"/>
  <c r="X41" i="9"/>
  <c r="X59" i="9"/>
  <c r="AI41" i="9"/>
  <c r="O44" i="9"/>
  <c r="O62" i="9"/>
  <c r="C46" i="9"/>
  <c r="C64" i="9"/>
  <c r="Q48" i="9"/>
  <c r="Q66" i="9"/>
  <c r="U48" i="9"/>
  <c r="U66" i="9"/>
  <c r="C49" i="9"/>
  <c r="C67" i="9"/>
  <c r="C50" i="9"/>
  <c r="C68" i="9"/>
  <c r="M53" i="9"/>
  <c r="M71" i="9"/>
  <c r="C78" i="9"/>
  <c r="C83" i="9"/>
  <c r="D78" i="9"/>
  <c r="AK11" i="15"/>
  <c r="AK13" i="15"/>
  <c r="C13" i="15"/>
  <c r="G13" i="15"/>
  <c r="H13" i="15"/>
  <c r="I13" i="15"/>
  <c r="I14" i="15"/>
  <c r="I29" i="15"/>
  <c r="I253" i="15"/>
  <c r="I254" i="15"/>
  <c r="J13" i="15"/>
  <c r="J14" i="15"/>
  <c r="J29" i="15"/>
  <c r="K13" i="15"/>
  <c r="K14" i="15"/>
  <c r="L13" i="15"/>
  <c r="L14" i="15"/>
  <c r="L29" i="15"/>
  <c r="M13" i="15"/>
  <c r="M14" i="15"/>
  <c r="P15" i="15"/>
  <c r="U15" i="15"/>
  <c r="AJ13" i="15"/>
  <c r="D133" i="15"/>
  <c r="E133" i="15"/>
  <c r="F133" i="15"/>
  <c r="G133" i="15"/>
  <c r="H133" i="15"/>
  <c r="I133" i="15"/>
  <c r="J133" i="15"/>
  <c r="K133" i="15"/>
  <c r="L133" i="15"/>
  <c r="M133" i="15"/>
  <c r="N133" i="15"/>
  <c r="O133" i="15"/>
  <c r="P133" i="15"/>
  <c r="Q133" i="15"/>
  <c r="R133" i="15"/>
  <c r="S133" i="15"/>
  <c r="T133" i="15"/>
  <c r="U133" i="15"/>
  <c r="V133" i="15"/>
  <c r="W133" i="15"/>
  <c r="X133" i="15"/>
  <c r="D138" i="15"/>
  <c r="E138" i="15"/>
  <c r="F138" i="15"/>
  <c r="G138" i="15"/>
  <c r="H138" i="15"/>
  <c r="I138" i="15"/>
  <c r="J138" i="15"/>
  <c r="K138" i="15"/>
  <c r="L138" i="15"/>
  <c r="M138" i="15"/>
  <c r="N138" i="15"/>
  <c r="O138" i="15"/>
  <c r="P138" i="15"/>
  <c r="Q138" i="15"/>
  <c r="R138" i="15"/>
  <c r="S138" i="15"/>
  <c r="T138" i="15"/>
  <c r="U138" i="15"/>
  <c r="V138" i="15"/>
  <c r="W138" i="15"/>
  <c r="X138" i="15"/>
  <c r="F149" i="15"/>
  <c r="G149" i="15"/>
  <c r="I149" i="15"/>
  <c r="J149" i="15"/>
  <c r="K149" i="15"/>
  <c r="K150" i="15"/>
  <c r="K157" i="15"/>
  <c r="K164" i="15"/>
  <c r="L149" i="15"/>
  <c r="M149" i="15"/>
  <c r="N149" i="15"/>
  <c r="O149" i="15"/>
  <c r="P149" i="15"/>
  <c r="Q149" i="15"/>
  <c r="R149" i="15"/>
  <c r="S149" i="15"/>
  <c r="U149" i="15"/>
  <c r="V149" i="15"/>
  <c r="W149" i="15"/>
  <c r="W150" i="15"/>
  <c r="W157" i="15"/>
  <c r="X149" i="15"/>
  <c r="D150" i="15"/>
  <c r="G150" i="15"/>
  <c r="H150" i="15"/>
  <c r="J150" i="15"/>
  <c r="O150" i="15"/>
  <c r="P150" i="15"/>
  <c r="S150" i="15"/>
  <c r="X150" i="15"/>
  <c r="C151" i="15"/>
  <c r="D151" i="15"/>
  <c r="C153" i="15"/>
  <c r="D153" i="15"/>
  <c r="P153" i="15"/>
  <c r="C211" i="15"/>
  <c r="C212" i="15"/>
  <c r="C233" i="15"/>
  <c r="D9" i="5"/>
  <c r="M44" i="5"/>
  <c r="C45" i="5"/>
  <c r="M45" i="5"/>
  <c r="M46" i="5"/>
  <c r="M47" i="5"/>
  <c r="M48" i="5"/>
  <c r="M49" i="5"/>
  <c r="M50" i="5"/>
  <c r="M51" i="5"/>
  <c r="M52" i="5"/>
  <c r="M53" i="5"/>
  <c r="M54" i="5"/>
  <c r="M55" i="5"/>
  <c r="M56" i="5"/>
  <c r="M57" i="5"/>
  <c r="D83" i="9"/>
  <c r="C59" i="5"/>
  <c r="M60" i="5"/>
  <c r="M61" i="5"/>
  <c r="C232" i="15"/>
  <c r="X47" i="9"/>
  <c r="X65" i="9"/>
  <c r="T47" i="9"/>
  <c r="T65" i="9"/>
  <c r="P47" i="9"/>
  <c r="P65" i="9"/>
  <c r="L47" i="9"/>
  <c r="L65" i="9"/>
  <c r="R46" i="9"/>
  <c r="R64" i="9"/>
  <c r="N46" i="9"/>
  <c r="N64" i="9"/>
  <c r="X45" i="9"/>
  <c r="X63" i="9"/>
  <c r="T45" i="9"/>
  <c r="T63" i="9"/>
  <c r="H45" i="9"/>
  <c r="H63" i="9"/>
  <c r="N44" i="9"/>
  <c r="N62" i="9"/>
  <c r="J44" i="9"/>
  <c r="J62" i="9"/>
  <c r="BC30" i="21"/>
  <c r="BC31" i="21"/>
  <c r="M59" i="5"/>
  <c r="M58" i="5"/>
  <c r="J48" i="9"/>
  <c r="J66" i="9"/>
  <c r="F48" i="9"/>
  <c r="F66" i="9"/>
  <c r="BD26" i="21"/>
  <c r="BC27" i="21"/>
  <c r="M86" i="8"/>
  <c r="I86" i="8"/>
  <c r="E86" i="8"/>
  <c r="D47" i="18"/>
  <c r="E47" i="18"/>
  <c r="BD27" i="21"/>
  <c r="BE27" i="21"/>
  <c r="BE32" i="21"/>
  <c r="BE33" i="21"/>
  <c r="BC32" i="21"/>
  <c r="BE26" i="21"/>
  <c r="BD30" i="21"/>
  <c r="BD31" i="21"/>
  <c r="BF26" i="21"/>
  <c r="BE30" i="21"/>
  <c r="BE31" i="21"/>
  <c r="BG26" i="21"/>
  <c r="BF30" i="21"/>
  <c r="BF31" i="21"/>
  <c r="BH26" i="21"/>
  <c r="BG30" i="21"/>
  <c r="BG31" i="21"/>
  <c r="BI26" i="21"/>
  <c r="BH30" i="21"/>
  <c r="BH31" i="21"/>
  <c r="BJ26" i="21"/>
  <c r="BI30" i="21"/>
  <c r="BI31" i="21"/>
  <c r="BK26" i="21"/>
  <c r="BJ30" i="21"/>
  <c r="BJ31" i="21"/>
  <c r="BL26" i="21"/>
  <c r="BK30" i="21"/>
  <c r="BK31" i="21"/>
  <c r="BM26" i="21"/>
  <c r="BL30" i="21"/>
  <c r="BL31" i="21"/>
  <c r="BN26" i="21"/>
  <c r="BM30" i="21"/>
  <c r="BM31" i="21"/>
  <c r="BO26" i="21"/>
  <c r="BN30" i="21"/>
  <c r="BN31" i="21"/>
  <c r="BP26" i="21"/>
  <c r="BO30" i="21"/>
  <c r="BO31" i="21"/>
  <c r="BQ26" i="21"/>
  <c r="BP30" i="21"/>
  <c r="BP31" i="21"/>
  <c r="BR26" i="21"/>
  <c r="BQ30" i="21"/>
  <c r="BQ31" i="21"/>
  <c r="BS26" i="21"/>
  <c r="BR30" i="21"/>
  <c r="BR31" i="21"/>
  <c r="BT26" i="21"/>
  <c r="BS30" i="21"/>
  <c r="BS31" i="21"/>
  <c r="BU26" i="21"/>
  <c r="BT30" i="21"/>
  <c r="BT31" i="21"/>
  <c r="BV26" i="21"/>
  <c r="BU30" i="21"/>
  <c r="BU31" i="21"/>
  <c r="BW26" i="21"/>
  <c r="BV30" i="21"/>
  <c r="BV31" i="21"/>
  <c r="BX26" i="21"/>
  <c r="BX30" i="21"/>
  <c r="BX31" i="21"/>
  <c r="BW30" i="21"/>
  <c r="BW31" i="21"/>
  <c r="D7" i="5"/>
  <c r="N201" i="15"/>
  <c r="F29" i="15"/>
  <c r="F249" i="15"/>
  <c r="M43" i="9"/>
  <c r="M61" i="9"/>
  <c r="G14" i="15"/>
  <c r="G29" i="15"/>
  <c r="G252" i="15"/>
  <c r="P43" i="9"/>
  <c r="P61" i="9"/>
  <c r="T43" i="9"/>
  <c r="T61" i="9"/>
  <c r="W54" i="9"/>
  <c r="W201" i="15"/>
  <c r="H43" i="9"/>
  <c r="H61" i="9"/>
  <c r="W71" i="9"/>
  <c r="P71" i="9"/>
  <c r="U202" i="15"/>
  <c r="S201" i="15"/>
  <c r="S200" i="15"/>
  <c r="P202" i="15"/>
  <c r="I202" i="15"/>
  <c r="AH52" i="9"/>
  <c r="AH55" i="9"/>
  <c r="AD52" i="9"/>
  <c r="AD55" i="9"/>
  <c r="AB198" i="15"/>
  <c r="AG233" i="15"/>
  <c r="AE58" i="9"/>
  <c r="AE199" i="15"/>
  <c r="AE198" i="15"/>
  <c r="Y71" i="9"/>
  <c r="Y202" i="15"/>
  <c r="Y201" i="15"/>
  <c r="X201" i="15"/>
  <c r="AB61" i="9"/>
  <c r="AB199" i="15"/>
  <c r="AH202" i="15"/>
  <c r="AH201" i="15"/>
  <c r="AH200" i="15"/>
  <c r="AD202" i="15"/>
  <c r="Z202" i="15"/>
  <c r="AF198" i="15"/>
  <c r="AC71" i="9"/>
  <c r="AC202" i="15"/>
  <c r="AC201" i="15"/>
  <c r="Z210" i="15"/>
  <c r="Z231" i="15"/>
  <c r="G15" i="15"/>
  <c r="O202" i="15"/>
  <c r="C202" i="15"/>
  <c r="AH58" i="9"/>
  <c r="AH198" i="15"/>
  <c r="AD58" i="9"/>
  <c r="AD60" i="9"/>
  <c r="AD70" i="9"/>
  <c r="AD73" i="9"/>
  <c r="AD178" i="15"/>
  <c r="AD198" i="15"/>
  <c r="Z58" i="9"/>
  <c r="Z198" i="15"/>
  <c r="AH177" i="15"/>
  <c r="AD177" i="15"/>
  <c r="AF71" i="9"/>
  <c r="AF202" i="15"/>
  <c r="AF201" i="15"/>
  <c r="AB71" i="9"/>
  <c r="AB202" i="15"/>
  <c r="AB201" i="15"/>
  <c r="AB200" i="15"/>
  <c r="AD201" i="15"/>
  <c r="AD200" i="15"/>
  <c r="AA58" i="9"/>
  <c r="AA199" i="15"/>
  <c r="AA198" i="15"/>
  <c r="AA197" i="15"/>
  <c r="AG71" i="9"/>
  <c r="AG202" i="15"/>
  <c r="AG201" i="15"/>
  <c r="AG200" i="15"/>
  <c r="X71" i="9"/>
  <c r="X202" i="15"/>
  <c r="X200" i="15"/>
  <c r="L201" i="15"/>
  <c r="J202" i="15"/>
  <c r="AG58" i="9"/>
  <c r="AG198" i="15"/>
  <c r="AC58" i="9"/>
  <c r="AC199" i="15"/>
  <c r="AC198" i="15"/>
  <c r="Y58" i="9"/>
  <c r="Y199" i="15"/>
  <c r="Y198" i="15"/>
  <c r="Y197" i="15"/>
  <c r="AE71" i="9"/>
  <c r="AE202" i="15"/>
  <c r="AE201" i="15"/>
  <c r="AE200" i="15"/>
  <c r="AA71" i="9"/>
  <c r="AA202" i="15"/>
  <c r="AA201" i="15"/>
  <c r="Z201" i="15"/>
  <c r="Z200" i="15"/>
  <c r="AB210" i="15"/>
  <c r="AB231" i="15"/>
  <c r="AD212" i="15"/>
  <c r="AF200" i="15"/>
  <c r="R29" i="15"/>
  <c r="R252" i="15"/>
  <c r="AF15" i="15"/>
  <c r="C210" i="15"/>
  <c r="C231" i="15"/>
  <c r="AH29" i="15"/>
  <c r="AH252" i="15"/>
  <c r="Y19" i="15"/>
  <c r="Y21" i="15"/>
  <c r="AB29" i="15"/>
  <c r="AB253" i="15"/>
  <c r="AA29" i="15"/>
  <c r="J24" i="5"/>
  <c r="K24" i="5"/>
  <c r="K23" i="5"/>
  <c r="N29" i="15"/>
  <c r="I201" i="15"/>
  <c r="I200" i="15"/>
  <c r="L71" i="9"/>
  <c r="L202" i="15"/>
  <c r="L200" i="15"/>
  <c r="Y52" i="9"/>
  <c r="Y55" i="9"/>
  <c r="D202" i="15"/>
  <c r="H202" i="15"/>
  <c r="W72" i="9"/>
  <c r="W202" i="15"/>
  <c r="W200" i="15"/>
  <c r="H201" i="15"/>
  <c r="I15" i="15"/>
  <c r="Q201" i="15"/>
  <c r="Q72" i="9"/>
  <c r="Q202" i="15"/>
  <c r="O201" i="15"/>
  <c r="O200" i="15"/>
  <c r="T71" i="9"/>
  <c r="T202" i="15"/>
  <c r="T201" i="15"/>
  <c r="E202" i="15"/>
  <c r="E201" i="15"/>
  <c r="R202" i="15"/>
  <c r="G71" i="9"/>
  <c r="G202" i="15"/>
  <c r="G201" i="15"/>
  <c r="AE69" i="9"/>
  <c r="AE196" i="15"/>
  <c r="J201" i="15"/>
  <c r="J200" i="15"/>
  <c r="R201" i="15"/>
  <c r="BD32" i="21"/>
  <c r="P201" i="15"/>
  <c r="N202" i="15"/>
  <c r="N200" i="15"/>
  <c r="F202" i="15"/>
  <c r="Y70" i="9"/>
  <c r="Y73" i="9"/>
  <c r="Y178" i="15"/>
  <c r="Y69" i="9"/>
  <c r="Y196" i="15"/>
  <c r="AE51" i="9"/>
  <c r="AE195" i="15"/>
  <c r="AE194" i="15"/>
  <c r="V202" i="15"/>
  <c r="V201" i="15"/>
  <c r="V200" i="15"/>
  <c r="U201" i="15"/>
  <c r="U200" i="15"/>
  <c r="F201" i="15"/>
  <c r="F200" i="15"/>
  <c r="D201" i="15"/>
  <c r="D200" i="15"/>
  <c r="D207" i="15"/>
  <c r="E200" i="15"/>
  <c r="E207" i="15"/>
  <c r="F207" i="15"/>
  <c r="G200" i="15"/>
  <c r="G207" i="15"/>
  <c r="H200" i="15"/>
  <c r="H207" i="15"/>
  <c r="I207" i="15"/>
  <c r="J207" i="15"/>
  <c r="K201" i="15"/>
  <c r="K200" i="15"/>
  <c r="K207" i="15"/>
  <c r="L207" i="15"/>
  <c r="M201" i="15"/>
  <c r="M72" i="9"/>
  <c r="M202" i="15"/>
  <c r="M200" i="15"/>
  <c r="M207" i="15"/>
  <c r="N207" i="15"/>
  <c r="O207" i="15"/>
  <c r="P200" i="15"/>
  <c r="P207" i="15"/>
  <c r="Q200" i="15"/>
  <c r="Q207" i="15"/>
  <c r="R200" i="15"/>
  <c r="R207" i="15"/>
  <c r="S207" i="15"/>
  <c r="T200" i="15"/>
  <c r="T207" i="15"/>
  <c r="U207" i="15"/>
  <c r="V207" i="15"/>
  <c r="W207" i="15"/>
  <c r="X207" i="15"/>
  <c r="Y200" i="15"/>
  <c r="Y207" i="15"/>
  <c r="Z207" i="15"/>
  <c r="AA200" i="15"/>
  <c r="AA207" i="15"/>
  <c r="AB207" i="15"/>
  <c r="AC200" i="15"/>
  <c r="AC207" i="15"/>
  <c r="AD207" i="15"/>
  <c r="AE207" i="15"/>
  <c r="AF207" i="15"/>
  <c r="AG207" i="15"/>
  <c r="AH207" i="15"/>
  <c r="Y51" i="9"/>
  <c r="Y195" i="15"/>
  <c r="F253" i="15"/>
  <c r="F254" i="15"/>
  <c r="Z60" i="9"/>
  <c r="Z69" i="9"/>
  <c r="Z196" i="15"/>
  <c r="Z51" i="9"/>
  <c r="Z195" i="15"/>
  <c r="Z52" i="9"/>
  <c r="Z55" i="9"/>
  <c r="AF61" i="9"/>
  <c r="AF70" i="9"/>
  <c r="AF73" i="9"/>
  <c r="AF178" i="15"/>
  <c r="AF51" i="9"/>
  <c r="AF195" i="15"/>
  <c r="AC69" i="9"/>
  <c r="AC196" i="15"/>
  <c r="BF27" i="21"/>
  <c r="BC34" i="21"/>
  <c r="C173" i="15"/>
  <c r="BC33" i="21"/>
  <c r="AH60" i="9"/>
  <c r="AH69" i="9"/>
  <c r="AH196" i="15"/>
  <c r="AH51" i="9"/>
  <c r="AH195" i="15"/>
  <c r="AH194" i="15"/>
  <c r="AD69" i="9"/>
  <c r="AD196" i="15"/>
  <c r="AD51" i="9"/>
  <c r="AD195" i="15"/>
  <c r="AD194" i="15"/>
  <c r="AD199" i="15"/>
  <c r="AD197" i="15"/>
  <c r="AD204" i="15"/>
  <c r="AB69" i="9"/>
  <c r="AB196" i="15"/>
  <c r="AB51" i="9"/>
  <c r="AB195" i="15"/>
  <c r="AB194" i="15"/>
  <c r="C201" i="15"/>
  <c r="BE34" i="21"/>
  <c r="E173" i="15"/>
  <c r="AG60" i="9"/>
  <c r="AG69" i="9"/>
  <c r="AG196" i="15"/>
  <c r="AG52" i="9"/>
  <c r="AG55" i="9"/>
  <c r="AG51" i="9"/>
  <c r="AG195" i="15"/>
  <c r="AA69" i="9"/>
  <c r="AA196" i="15"/>
  <c r="AE52" i="9"/>
  <c r="AE55" i="9"/>
  <c r="AA51" i="9"/>
  <c r="AA195" i="15"/>
  <c r="AA194" i="15"/>
  <c r="AC51" i="9"/>
  <c r="AC195" i="15"/>
  <c r="AC52" i="9"/>
  <c r="AC55" i="9"/>
  <c r="N15" i="15"/>
  <c r="AF52" i="9"/>
  <c r="AF55" i="9"/>
  <c r="AB52" i="9"/>
  <c r="AB55" i="9"/>
  <c r="AA52" i="9"/>
  <c r="AA55" i="9"/>
  <c r="R249" i="15"/>
  <c r="N249" i="15"/>
  <c r="N253" i="15"/>
  <c r="N254" i="15"/>
  <c r="N100" i="15"/>
  <c r="G249" i="15"/>
  <c r="G250" i="15"/>
  <c r="G251" i="15"/>
  <c r="G100" i="15"/>
  <c r="G253" i="15"/>
  <c r="G254" i="15"/>
  <c r="J15" i="15"/>
  <c r="Q15" i="15"/>
  <c r="E15" i="15"/>
  <c r="U29" i="15"/>
  <c r="U253" i="15"/>
  <c r="U254" i="15"/>
  <c r="L252" i="15"/>
  <c r="R250" i="15"/>
  <c r="R251" i="15"/>
  <c r="R253" i="15"/>
  <c r="R254" i="15"/>
  <c r="R100" i="15"/>
  <c r="R127" i="15"/>
  <c r="R212" i="15"/>
  <c r="D250" i="15"/>
  <c r="D251" i="15"/>
  <c r="AI13" i="15"/>
  <c r="X15" i="15"/>
  <c r="T15" i="15"/>
  <c r="D157" i="15"/>
  <c r="D164" i="15"/>
  <c r="W151" i="15"/>
  <c r="W155" i="15"/>
  <c r="E149" i="15"/>
  <c r="E157" i="15"/>
  <c r="E164" i="15"/>
  <c r="C152" i="15"/>
  <c r="M157" i="15"/>
  <c r="M164" i="15"/>
  <c r="I157" i="15"/>
  <c r="I164" i="15"/>
  <c r="T164" i="15"/>
  <c r="S78" i="9"/>
  <c r="S83" i="9"/>
  <c r="S153" i="15"/>
  <c r="S154" i="15"/>
  <c r="S151" i="15"/>
  <c r="O78" i="9"/>
  <c r="O83" i="9"/>
  <c r="O153" i="15"/>
  <c r="O154" i="15"/>
  <c r="O151" i="15"/>
  <c r="X153" i="15"/>
  <c r="X154" i="15"/>
  <c r="W78" i="9"/>
  <c r="W83" i="9"/>
  <c r="P151" i="15"/>
  <c r="P155" i="15"/>
  <c r="S47" i="18"/>
  <c r="T47" i="18"/>
  <c r="U47" i="18"/>
  <c r="R78" i="9"/>
  <c r="R83" i="9"/>
  <c r="G78" i="9"/>
  <c r="G83" i="9"/>
  <c r="G151" i="15"/>
  <c r="G153" i="15"/>
  <c r="P47" i="18"/>
  <c r="N151" i="15"/>
  <c r="N152" i="15"/>
  <c r="N153" i="15"/>
  <c r="N154" i="15"/>
  <c r="Q151" i="15"/>
  <c r="J151" i="15"/>
  <c r="J152" i="15"/>
  <c r="M78" i="9"/>
  <c r="M83" i="9"/>
  <c r="Y47" i="18"/>
  <c r="N78" i="9"/>
  <c r="N83" i="9"/>
  <c r="Q153" i="15"/>
  <c r="J153" i="15"/>
  <c r="J154" i="15"/>
  <c r="X151" i="15"/>
  <c r="Z47" i="18"/>
  <c r="U153" i="15"/>
  <c r="U154" i="15"/>
  <c r="W47" i="18"/>
  <c r="U78" i="9"/>
  <c r="U83" i="9"/>
  <c r="U151" i="15"/>
  <c r="U152" i="15"/>
  <c r="K78" i="9"/>
  <c r="K83" i="9"/>
  <c r="K153" i="15"/>
  <c r="K154" i="15"/>
  <c r="M47" i="18"/>
  <c r="K151" i="15"/>
  <c r="K152" i="15"/>
  <c r="T151" i="15"/>
  <c r="T153" i="15"/>
  <c r="T155" i="15"/>
  <c r="T154" i="15"/>
  <c r="T78" i="9"/>
  <c r="T83" i="9"/>
  <c r="V47" i="18"/>
  <c r="H47" i="18"/>
  <c r="I47" i="18"/>
  <c r="F153" i="15"/>
  <c r="F154" i="15"/>
  <c r="F151" i="15"/>
  <c r="F152" i="15"/>
  <c r="F78" i="9"/>
  <c r="F83" i="9"/>
  <c r="X47" i="18"/>
  <c r="V151" i="15"/>
  <c r="V153" i="15"/>
  <c r="V154" i="15"/>
  <c r="V78" i="9"/>
  <c r="V83" i="9"/>
  <c r="L151" i="15"/>
  <c r="L152" i="15"/>
  <c r="L153" i="15"/>
  <c r="L154" i="15"/>
  <c r="L78" i="9"/>
  <c r="L83" i="9"/>
  <c r="N47" i="18"/>
  <c r="E153" i="15"/>
  <c r="E151" i="15"/>
  <c r="E152" i="15"/>
  <c r="E78" i="9"/>
  <c r="E83" i="9"/>
  <c r="L47" i="18"/>
  <c r="R153" i="15"/>
  <c r="R154" i="15"/>
  <c r="R151" i="15"/>
  <c r="R47" i="18"/>
  <c r="J47" i="18"/>
  <c r="I78" i="9"/>
  <c r="I83" i="9"/>
  <c r="K47" i="18"/>
  <c r="Q47" i="18"/>
  <c r="M153" i="15"/>
  <c r="M154" i="15"/>
  <c r="I153" i="15"/>
  <c r="I155" i="15"/>
  <c r="M151" i="15"/>
  <c r="M152" i="15"/>
  <c r="H78" i="9"/>
  <c r="H83" i="9"/>
  <c r="H153" i="15"/>
  <c r="H154" i="15"/>
  <c r="P154" i="15"/>
  <c r="L157" i="15"/>
  <c r="L164" i="15"/>
  <c r="D152" i="15"/>
  <c r="V157" i="15"/>
  <c r="V164" i="15"/>
  <c r="J157" i="15"/>
  <c r="J164" i="15"/>
  <c r="X157" i="15"/>
  <c r="X164" i="15"/>
  <c r="P157" i="15"/>
  <c r="P164" i="15"/>
  <c r="H157" i="15"/>
  <c r="H164" i="15"/>
  <c r="C154" i="15"/>
  <c r="S155" i="15"/>
  <c r="W154" i="15"/>
  <c r="W164" i="15"/>
  <c r="S157" i="15"/>
  <c r="S164" i="15"/>
  <c r="U157" i="15"/>
  <c r="U164" i="15"/>
  <c r="Q157" i="15"/>
  <c r="Q164" i="15"/>
  <c r="C155" i="15"/>
  <c r="F157" i="15"/>
  <c r="F164" i="15"/>
  <c r="I152" i="15"/>
  <c r="R157" i="15"/>
  <c r="R164" i="15"/>
  <c r="N157" i="15"/>
  <c r="N164" i="15"/>
  <c r="N47" i="9"/>
  <c r="N65" i="9"/>
  <c r="D18" i="9"/>
  <c r="D20" i="15"/>
  <c r="D17" i="9"/>
  <c r="D22" i="9"/>
  <c r="D24" i="9"/>
  <c r="D25" i="9"/>
  <c r="E17" i="9"/>
  <c r="E22" i="9"/>
  <c r="E24" i="9"/>
  <c r="E25" i="9"/>
  <c r="C47" i="9"/>
  <c r="C65" i="9"/>
  <c r="E18" i="9"/>
  <c r="E34" i="9"/>
  <c r="D198" i="15"/>
  <c r="D199" i="15"/>
  <c r="D197" i="15"/>
  <c r="D51" i="9"/>
  <c r="D195" i="15"/>
  <c r="D69" i="9"/>
  <c r="D196" i="15"/>
  <c r="D194" i="15"/>
  <c r="D203" i="15"/>
  <c r="C42" i="9"/>
  <c r="C17" i="9"/>
  <c r="C22" i="9"/>
  <c r="C24" i="9"/>
  <c r="C25" i="9"/>
  <c r="C18" i="9"/>
  <c r="X50" i="9"/>
  <c r="X68" i="9"/>
  <c r="X43" i="9"/>
  <c r="X61" i="9"/>
  <c r="C48" i="9"/>
  <c r="C66" i="9"/>
  <c r="AB197" i="15"/>
  <c r="AE197" i="15"/>
  <c r="AE204" i="15"/>
  <c r="AA70" i="9"/>
  <c r="AA73" i="9"/>
  <c r="AA178" i="15"/>
  <c r="AC70" i="9"/>
  <c r="AC73" i="9"/>
  <c r="AC178" i="15"/>
  <c r="AG194" i="15"/>
  <c r="C200" i="15"/>
  <c r="Y194" i="15"/>
  <c r="Y203" i="15"/>
  <c r="AH199" i="15"/>
  <c r="AH197" i="15"/>
  <c r="AB204" i="15"/>
  <c r="AB203" i="15"/>
  <c r="AH254" i="15"/>
  <c r="AB177" i="15"/>
  <c r="AC177" i="15"/>
  <c r="AC176" i="15"/>
  <c r="AB252" i="15"/>
  <c r="AB249" i="15"/>
  <c r="AB254" i="15"/>
  <c r="AB250" i="15"/>
  <c r="AF176" i="15"/>
  <c r="AF177" i="15"/>
  <c r="Y233" i="15"/>
  <c r="Y210" i="15"/>
  <c r="AA204" i="15"/>
  <c r="AH203" i="15"/>
  <c r="AH204" i="15"/>
  <c r="Z177" i="15"/>
  <c r="AE70" i="9"/>
  <c r="AE73" i="9"/>
  <c r="AE178" i="15"/>
  <c r="Y177" i="15"/>
  <c r="Y176" i="15"/>
  <c r="AA253" i="15"/>
  <c r="AA249" i="15"/>
  <c r="AA252" i="15"/>
  <c r="AA254" i="15"/>
  <c r="AA250" i="15"/>
  <c r="AA251" i="15"/>
  <c r="AA203" i="15"/>
  <c r="AG199" i="15"/>
  <c r="AG197" i="15"/>
  <c r="AF199" i="15"/>
  <c r="AF197" i="15"/>
  <c r="AG231" i="15"/>
  <c r="AD176" i="15"/>
  <c r="AG177" i="15"/>
  <c r="AE203" i="15"/>
  <c r="Y250" i="15"/>
  <c r="Y252" i="15"/>
  <c r="Y254" i="15"/>
  <c r="Y251" i="15"/>
  <c r="Y253" i="15"/>
  <c r="Y249" i="15"/>
  <c r="Z199" i="15"/>
  <c r="Z197" i="15"/>
  <c r="Z194" i="15"/>
  <c r="Z204" i="15"/>
  <c r="AA176" i="15"/>
  <c r="AA177" i="15"/>
  <c r="AE176" i="15"/>
  <c r="AE177" i="15"/>
  <c r="AC194" i="15"/>
  <c r="AC197" i="15"/>
  <c r="AC204" i="15"/>
  <c r="AD233" i="15"/>
  <c r="AD210" i="15"/>
  <c r="G155" i="15"/>
  <c r="AH15" i="15"/>
  <c r="AH19" i="15"/>
  <c r="AH21" i="15"/>
  <c r="AF19" i="15"/>
  <c r="AE15" i="15"/>
  <c r="AE19" i="15"/>
  <c r="AE21" i="15"/>
  <c r="Z15" i="15"/>
  <c r="Z19" i="15"/>
  <c r="Z21" i="15"/>
  <c r="AB15" i="15"/>
  <c r="AB19" i="15"/>
  <c r="AB21" i="15"/>
  <c r="P152" i="15"/>
  <c r="E154" i="15"/>
  <c r="AA15" i="15"/>
  <c r="AA19" i="15"/>
  <c r="AA21" i="15"/>
  <c r="AE29" i="15"/>
  <c r="AE254" i="15"/>
  <c r="Z29" i="15"/>
  <c r="Z249" i="15"/>
  <c r="K17" i="5"/>
  <c r="K19" i="5"/>
  <c r="K18" i="5"/>
  <c r="K20" i="5"/>
  <c r="K22" i="5"/>
  <c r="K21" i="5"/>
  <c r="AF69" i="9"/>
  <c r="AF196" i="15"/>
  <c r="AF194" i="15"/>
  <c r="AF203" i="15"/>
  <c r="O15" i="15"/>
  <c r="N250" i="15"/>
  <c r="N251" i="15"/>
  <c r="N252" i="15"/>
  <c r="BD34" i="21"/>
  <c r="D173" i="15"/>
  <c r="BD33" i="21"/>
  <c r="T29" i="15"/>
  <c r="T252" i="15"/>
  <c r="AH70" i="9"/>
  <c r="AH73" i="9"/>
  <c r="BG27" i="21"/>
  <c r="BF32" i="21"/>
  <c r="D15" i="15"/>
  <c r="AB70" i="9"/>
  <c r="AB73" i="9"/>
  <c r="AB178" i="15"/>
  <c r="Z70" i="9"/>
  <c r="Z73" i="9"/>
  <c r="Z178" i="15"/>
  <c r="AG70" i="9"/>
  <c r="AG73" i="9"/>
  <c r="AG178" i="15"/>
  <c r="D211" i="15"/>
  <c r="D253" i="15"/>
  <c r="D254" i="15"/>
  <c r="U250" i="15"/>
  <c r="U251" i="15"/>
  <c r="U100" i="15"/>
  <c r="U211" i="15"/>
  <c r="U232" i="15"/>
  <c r="U249" i="15"/>
  <c r="Q29" i="15"/>
  <c r="Q252" i="15"/>
  <c r="R211" i="15"/>
  <c r="X19" i="15"/>
  <c r="X29" i="15"/>
  <c r="X254" i="15"/>
  <c r="N211" i="15"/>
  <c r="N127" i="15"/>
  <c r="N212" i="15"/>
  <c r="G127" i="15"/>
  <c r="G212" i="15"/>
  <c r="G233" i="15"/>
  <c r="G211" i="15"/>
  <c r="G210" i="15"/>
  <c r="G231" i="15"/>
  <c r="O155" i="15"/>
  <c r="T152" i="15"/>
  <c r="G152" i="15"/>
  <c r="Q152" i="15"/>
  <c r="N155" i="15"/>
  <c r="H155" i="15"/>
  <c r="R155" i="15"/>
  <c r="R152" i="15"/>
  <c r="E155" i="15"/>
  <c r="L155" i="15"/>
  <c r="F155" i="15"/>
  <c r="M155" i="15"/>
  <c r="D32" i="9"/>
  <c r="D28" i="9"/>
  <c r="D30" i="9"/>
  <c r="D29" i="9"/>
  <c r="D31" i="9"/>
  <c r="D34" i="9"/>
  <c r="D33" i="9"/>
  <c r="D19" i="9"/>
  <c r="E19" i="9"/>
  <c r="E32" i="9"/>
  <c r="E33" i="9"/>
  <c r="E31" i="9"/>
  <c r="E20" i="15"/>
  <c r="E28" i="9"/>
  <c r="E199" i="15"/>
  <c r="E198" i="15"/>
  <c r="E197" i="15"/>
  <c r="E29" i="9"/>
  <c r="E30" i="9"/>
  <c r="C34" i="9"/>
  <c r="C20" i="15"/>
  <c r="C19" i="9"/>
  <c r="C30" i="9"/>
  <c r="C29" i="9"/>
  <c r="C28" i="9"/>
  <c r="C32" i="9"/>
  <c r="C31" i="9"/>
  <c r="C33" i="9"/>
  <c r="F49" i="9"/>
  <c r="F67" i="9"/>
  <c r="E51" i="9"/>
  <c r="E195" i="15"/>
  <c r="D178" i="15"/>
  <c r="C52" i="9"/>
  <c r="C55" i="9"/>
  <c r="C60" i="9"/>
  <c r="C51" i="9"/>
  <c r="C195" i="15"/>
  <c r="C69" i="9"/>
  <c r="C196" i="15"/>
  <c r="C194" i="15"/>
  <c r="C198" i="15"/>
  <c r="C199" i="15"/>
  <c r="C197" i="15"/>
  <c r="C203" i="15"/>
  <c r="D177" i="15"/>
  <c r="AG176" i="15"/>
  <c r="AF204" i="15"/>
  <c r="AD203" i="15"/>
  <c r="Z254" i="15"/>
  <c r="Z250" i="15"/>
  <c r="Z253" i="15"/>
  <c r="Z251" i="15"/>
  <c r="Z252" i="15"/>
  <c r="Z203" i="15"/>
  <c r="AE253" i="15"/>
  <c r="AE249" i="15"/>
  <c r="AE252" i="15"/>
  <c r="AE250" i="15"/>
  <c r="AE251" i="15"/>
  <c r="AC203" i="15"/>
  <c r="T249" i="15"/>
  <c r="X250" i="15"/>
  <c r="X252" i="15"/>
  <c r="X251" i="15"/>
  <c r="X253" i="15"/>
  <c r="AH178" i="15"/>
  <c r="AH176" i="15"/>
  <c r="Y231" i="15"/>
  <c r="T250" i="15"/>
  <c r="T251" i="15"/>
  <c r="AD231" i="15"/>
  <c r="Z176" i="15"/>
  <c r="AB176" i="15"/>
  <c r="T100" i="15"/>
  <c r="T211" i="15"/>
  <c r="T253" i="15"/>
  <c r="T254" i="15"/>
  <c r="BF34" i="21"/>
  <c r="F173" i="15"/>
  <c r="BF33" i="21"/>
  <c r="BG32" i="21"/>
  <c r="BH27" i="21"/>
  <c r="G232" i="15"/>
  <c r="R232" i="15"/>
  <c r="E250" i="15"/>
  <c r="E251" i="15"/>
  <c r="E253" i="15"/>
  <c r="E254" i="15"/>
  <c r="N232" i="15"/>
  <c r="X249" i="15"/>
  <c r="Q249" i="15"/>
  <c r="Q253" i="15"/>
  <c r="Q254" i="15"/>
  <c r="D212" i="15"/>
  <c r="D233" i="15"/>
  <c r="D206" i="15"/>
  <c r="D204" i="15"/>
  <c r="E177" i="15"/>
  <c r="C177" i="15"/>
  <c r="E178" i="15"/>
  <c r="E69" i="9"/>
  <c r="E196" i="15"/>
  <c r="C70" i="9"/>
  <c r="C73" i="9"/>
  <c r="C178" i="15"/>
  <c r="F42" i="9"/>
  <c r="F18" i="9"/>
  <c r="F17" i="9"/>
  <c r="F22" i="9"/>
  <c r="F24" i="9"/>
  <c r="F25" i="9"/>
  <c r="G49" i="9"/>
  <c r="G67" i="9"/>
  <c r="BG33" i="21"/>
  <c r="BG34" i="21"/>
  <c r="G173" i="15"/>
  <c r="BI27" i="21"/>
  <c r="BH32" i="21"/>
  <c r="E211" i="15"/>
  <c r="E212" i="15"/>
  <c r="E210" i="15"/>
  <c r="E231" i="15"/>
  <c r="E233" i="15"/>
  <c r="T232" i="15"/>
  <c r="C176" i="15"/>
  <c r="G17" i="9"/>
  <c r="G22" i="9"/>
  <c r="G24" i="9"/>
  <c r="G25" i="9"/>
  <c r="G18" i="9"/>
  <c r="G42" i="9"/>
  <c r="F20" i="15"/>
  <c r="F32" i="9"/>
  <c r="F34" i="9"/>
  <c r="F31" i="9"/>
  <c r="F30" i="9"/>
  <c r="F28" i="9"/>
  <c r="F19" i="9"/>
  <c r="F29" i="9"/>
  <c r="F33" i="9"/>
  <c r="H49" i="9"/>
  <c r="H67" i="9"/>
  <c r="F60" i="9"/>
  <c r="F198" i="15"/>
  <c r="F52" i="9"/>
  <c r="F55" i="9"/>
  <c r="F51" i="9"/>
  <c r="F195" i="15"/>
  <c r="BH34" i="21"/>
  <c r="H173" i="15"/>
  <c r="BH33" i="21"/>
  <c r="BJ27" i="21"/>
  <c r="BI32" i="21"/>
  <c r="E232" i="15"/>
  <c r="F177" i="15"/>
  <c r="G198" i="15"/>
  <c r="G60" i="9"/>
  <c r="G52" i="9"/>
  <c r="G55" i="9"/>
  <c r="G51" i="9"/>
  <c r="G195" i="15"/>
  <c r="F69" i="9"/>
  <c r="F196" i="15"/>
  <c r="F194" i="15"/>
  <c r="F199" i="15"/>
  <c r="F197" i="15"/>
  <c r="F70" i="9"/>
  <c r="F73" i="9"/>
  <c r="F178" i="15"/>
  <c r="H17" i="9"/>
  <c r="H22" i="9"/>
  <c r="H24" i="9"/>
  <c r="H25" i="9"/>
  <c r="H42" i="9"/>
  <c r="H18" i="9"/>
  <c r="H30" i="9"/>
  <c r="G19" i="9"/>
  <c r="G32" i="9"/>
  <c r="G28" i="9"/>
  <c r="G29" i="9"/>
  <c r="G34" i="9"/>
  <c r="G31" i="9"/>
  <c r="G20" i="15"/>
  <c r="G30" i="9"/>
  <c r="G33" i="9"/>
  <c r="I49" i="9"/>
  <c r="I67" i="9"/>
  <c r="BK27" i="21"/>
  <c r="BJ32" i="21"/>
  <c r="BI34" i="21"/>
  <c r="I173" i="15"/>
  <c r="BI33" i="21"/>
  <c r="G177" i="15"/>
  <c r="G70" i="9"/>
  <c r="G73" i="9"/>
  <c r="G178" i="15"/>
  <c r="G69" i="9"/>
  <c r="G196" i="15"/>
  <c r="G194" i="15"/>
  <c r="G199" i="15"/>
  <c r="G197" i="15"/>
  <c r="I42" i="9"/>
  <c r="I17" i="9"/>
  <c r="I22" i="9"/>
  <c r="I24" i="9"/>
  <c r="I25" i="9"/>
  <c r="I18" i="9"/>
  <c r="H19" i="9"/>
  <c r="H32" i="9"/>
  <c r="H28" i="9"/>
  <c r="H20" i="15"/>
  <c r="H29" i="9"/>
  <c r="H34" i="9"/>
  <c r="J49" i="9"/>
  <c r="J67" i="9"/>
  <c r="H60" i="9"/>
  <c r="H198" i="15"/>
  <c r="F176" i="15"/>
  <c r="F204" i="15"/>
  <c r="BJ33" i="21"/>
  <c r="BJ34" i="21"/>
  <c r="J173" i="15"/>
  <c r="BK32" i="21"/>
  <c r="BL27" i="21"/>
  <c r="G204" i="15"/>
  <c r="G203" i="15"/>
  <c r="J42" i="9"/>
  <c r="J17" i="9"/>
  <c r="J22" i="9"/>
  <c r="J24" i="9"/>
  <c r="J25" i="9"/>
  <c r="J18" i="9"/>
  <c r="I60" i="9"/>
  <c r="I52" i="9"/>
  <c r="I55" i="9"/>
  <c r="I51" i="9"/>
  <c r="I195" i="15"/>
  <c r="I198" i="15"/>
  <c r="K49" i="9"/>
  <c r="K67" i="9"/>
  <c r="G176" i="15"/>
  <c r="H199" i="15"/>
  <c r="H197" i="15"/>
  <c r="I30" i="9"/>
  <c r="I31" i="9"/>
  <c r="I34" i="9"/>
  <c r="I29" i="9"/>
  <c r="I28" i="9"/>
  <c r="I20" i="15"/>
  <c r="I19" i="9"/>
  <c r="I32" i="9"/>
  <c r="I33" i="9"/>
  <c r="BK34" i="21"/>
  <c r="K173" i="15"/>
  <c r="BK33" i="21"/>
  <c r="BM27" i="21"/>
  <c r="BL32" i="21"/>
  <c r="I177" i="15"/>
  <c r="K42" i="9"/>
  <c r="K17" i="9"/>
  <c r="K22" i="9"/>
  <c r="K24" i="9"/>
  <c r="K25" i="9"/>
  <c r="K18" i="9"/>
  <c r="I70" i="9"/>
  <c r="I73" i="9"/>
  <c r="I178" i="15"/>
  <c r="I69" i="9"/>
  <c r="I196" i="15"/>
  <c r="I194" i="15"/>
  <c r="I199" i="15"/>
  <c r="I197" i="15"/>
  <c r="J60" i="9"/>
  <c r="J52" i="9"/>
  <c r="J55" i="9"/>
  <c r="J198" i="15"/>
  <c r="J51" i="9"/>
  <c r="J195" i="15"/>
  <c r="L49" i="9"/>
  <c r="L67" i="9"/>
  <c r="J32" i="9"/>
  <c r="J19" i="9"/>
  <c r="J34" i="9"/>
  <c r="J31" i="9"/>
  <c r="J29" i="9"/>
  <c r="J30" i="9"/>
  <c r="J28" i="9"/>
  <c r="J20" i="15"/>
  <c r="J33" i="9"/>
  <c r="BL34" i="21"/>
  <c r="L173" i="15"/>
  <c r="BL33" i="21"/>
  <c r="BM32" i="21"/>
  <c r="BN27" i="21"/>
  <c r="M49" i="9"/>
  <c r="M67" i="9"/>
  <c r="K198" i="15"/>
  <c r="K60" i="9"/>
  <c r="K52" i="9"/>
  <c r="K55" i="9"/>
  <c r="K51" i="9"/>
  <c r="K195" i="15"/>
  <c r="K69" i="9"/>
  <c r="K196" i="15"/>
  <c r="K194" i="15"/>
  <c r="L17" i="9"/>
  <c r="L22" i="9"/>
  <c r="L24" i="9"/>
  <c r="L25" i="9"/>
  <c r="L42" i="9"/>
  <c r="L18" i="9"/>
  <c r="J177" i="15"/>
  <c r="J70" i="9"/>
  <c r="J73" i="9"/>
  <c r="J178" i="15"/>
  <c r="J69" i="9"/>
  <c r="J196" i="15"/>
  <c r="J194" i="15"/>
  <c r="J199" i="15"/>
  <c r="J197" i="15"/>
  <c r="K34" i="9"/>
  <c r="K31" i="9"/>
  <c r="K29" i="9"/>
  <c r="K30" i="9"/>
  <c r="K20" i="15"/>
  <c r="K28" i="9"/>
  <c r="K19" i="9"/>
  <c r="K32" i="9"/>
  <c r="K33" i="9"/>
  <c r="I176" i="15"/>
  <c r="BN32" i="21"/>
  <c r="BO27" i="21"/>
  <c r="BM33" i="21"/>
  <c r="BM34" i="21"/>
  <c r="M173" i="15"/>
  <c r="K177" i="15"/>
  <c r="M17" i="9"/>
  <c r="M22" i="9"/>
  <c r="M24" i="9"/>
  <c r="M25" i="9"/>
  <c r="M42" i="9"/>
  <c r="M18" i="9"/>
  <c r="L60" i="9"/>
  <c r="L198" i="15"/>
  <c r="L52" i="9"/>
  <c r="L55" i="9"/>
  <c r="L51" i="9"/>
  <c r="L195" i="15"/>
  <c r="L69" i="9"/>
  <c r="L196" i="15"/>
  <c r="L194" i="15"/>
  <c r="K199" i="15"/>
  <c r="K197" i="15"/>
  <c r="K70" i="9"/>
  <c r="K73" i="9"/>
  <c r="K178" i="15"/>
  <c r="L19" i="9"/>
  <c r="L34" i="9"/>
  <c r="L30" i="9"/>
  <c r="L32" i="9"/>
  <c r="L20" i="15"/>
  <c r="L28" i="9"/>
  <c r="L29" i="9"/>
  <c r="L31" i="9"/>
  <c r="L33" i="9"/>
  <c r="J176" i="15"/>
  <c r="N49" i="9"/>
  <c r="N67" i="9"/>
  <c r="BO32" i="21"/>
  <c r="BP27" i="21"/>
  <c r="BN33" i="21"/>
  <c r="BN34" i="21"/>
  <c r="N173" i="15"/>
  <c r="K176" i="15"/>
  <c r="N42" i="9"/>
  <c r="N17" i="9"/>
  <c r="N22" i="9"/>
  <c r="N24" i="9"/>
  <c r="N25" i="9"/>
  <c r="L199" i="15"/>
  <c r="L197" i="15"/>
  <c r="L70" i="9"/>
  <c r="L73" i="9"/>
  <c r="L178" i="15"/>
  <c r="M19" i="9"/>
  <c r="M28" i="9"/>
  <c r="M34" i="9"/>
  <c r="M30" i="9"/>
  <c r="M20" i="15"/>
  <c r="M32" i="9"/>
  <c r="M31" i="9"/>
  <c r="M29" i="9"/>
  <c r="M33" i="9"/>
  <c r="L177" i="15"/>
  <c r="M60" i="9"/>
  <c r="M52" i="9"/>
  <c r="M55" i="9"/>
  <c r="M51" i="9"/>
  <c r="M195" i="15"/>
  <c r="M198" i="15"/>
  <c r="K203" i="15"/>
  <c r="K204" i="15"/>
  <c r="O49" i="9"/>
  <c r="O67" i="9"/>
  <c r="BQ27" i="21"/>
  <c r="BP32" i="21"/>
  <c r="BO34" i="21"/>
  <c r="O173" i="15"/>
  <c r="BO33" i="21"/>
  <c r="M177" i="15"/>
  <c r="M70" i="9"/>
  <c r="M73" i="9"/>
  <c r="M178" i="15"/>
  <c r="M69" i="9"/>
  <c r="M196" i="15"/>
  <c r="M194" i="15"/>
  <c r="M199" i="15"/>
  <c r="N28" i="9"/>
  <c r="N29" i="9"/>
  <c r="N30" i="9"/>
  <c r="N19" i="9"/>
  <c r="N32" i="9"/>
  <c r="N34" i="9"/>
  <c r="N31" i="9"/>
  <c r="N33" i="9"/>
  <c r="P49" i="9"/>
  <c r="P67" i="9"/>
  <c r="O42" i="9"/>
  <c r="O17" i="9"/>
  <c r="O22" i="9"/>
  <c r="O24" i="9"/>
  <c r="O25" i="9"/>
  <c r="O18" i="9"/>
  <c r="L176" i="15"/>
  <c r="N60" i="9"/>
  <c r="N51" i="9"/>
  <c r="N195" i="15"/>
  <c r="N69" i="9"/>
  <c r="N196" i="15"/>
  <c r="N194" i="15"/>
  <c r="N198" i="15"/>
  <c r="N52" i="9"/>
  <c r="N55" i="9"/>
  <c r="X107" i="15"/>
  <c r="X134" i="15"/>
  <c r="BP34" i="21"/>
  <c r="P173" i="15"/>
  <c r="BP33" i="21"/>
  <c r="BQ32" i="21"/>
  <c r="BR27" i="21"/>
  <c r="N199" i="15"/>
  <c r="N70" i="9"/>
  <c r="N73" i="9"/>
  <c r="N178" i="15"/>
  <c r="O28" i="9"/>
  <c r="O34" i="9"/>
  <c r="O31" i="9"/>
  <c r="O30" i="9"/>
  <c r="O20" i="15"/>
  <c r="O29" i="9"/>
  <c r="O19" i="9"/>
  <c r="O32" i="9"/>
  <c r="O33" i="9"/>
  <c r="M176" i="15"/>
  <c r="N177" i="15"/>
  <c r="O60" i="9"/>
  <c r="O198" i="15"/>
  <c r="O52" i="9"/>
  <c r="O55" i="9"/>
  <c r="O51" i="9"/>
  <c r="O195" i="15"/>
  <c r="P17" i="9"/>
  <c r="P22" i="9"/>
  <c r="P24" i="9"/>
  <c r="P25" i="9"/>
  <c r="P42" i="9"/>
  <c r="P18" i="9"/>
  <c r="N197" i="15"/>
  <c r="Q49" i="9"/>
  <c r="Q67" i="9"/>
  <c r="BS27" i="21"/>
  <c r="BR32" i="21"/>
  <c r="BQ33" i="21"/>
  <c r="BQ34" i="21"/>
  <c r="Q173" i="15"/>
  <c r="R49" i="9"/>
  <c r="R67" i="9"/>
  <c r="O69" i="9"/>
  <c r="O196" i="15"/>
  <c r="O194" i="15"/>
  <c r="O199" i="15"/>
  <c r="O197" i="15"/>
  <c r="O204" i="15"/>
  <c r="O70" i="9"/>
  <c r="O73" i="9"/>
  <c r="O178" i="15"/>
  <c r="Q42" i="9"/>
  <c r="Q18" i="9"/>
  <c r="Q17" i="9"/>
  <c r="Q22" i="9"/>
  <c r="Q24" i="9"/>
  <c r="Q25" i="9"/>
  <c r="P28" i="9"/>
  <c r="P30" i="9"/>
  <c r="P32" i="9"/>
  <c r="P20" i="15"/>
  <c r="P34" i="9"/>
  <c r="P31" i="9"/>
  <c r="P29" i="9"/>
  <c r="P19" i="9"/>
  <c r="P33" i="9"/>
  <c r="O177" i="15"/>
  <c r="N176" i="15"/>
  <c r="P60" i="9"/>
  <c r="P198" i="15"/>
  <c r="P199" i="15"/>
  <c r="P197" i="15"/>
  <c r="P51" i="9"/>
  <c r="P195" i="15"/>
  <c r="P52" i="9"/>
  <c r="P55" i="9"/>
  <c r="BR33" i="21"/>
  <c r="BR34" i="21"/>
  <c r="R173" i="15"/>
  <c r="BS32" i="21"/>
  <c r="BT27" i="21"/>
  <c r="O176" i="15"/>
  <c r="P177" i="15"/>
  <c r="Q31" i="9"/>
  <c r="Q34" i="9"/>
  <c r="Q32" i="9"/>
  <c r="Q19" i="9"/>
  <c r="Q30" i="9"/>
  <c r="Q20" i="15"/>
  <c r="Q29" i="9"/>
  <c r="Q28" i="9"/>
  <c r="Q33" i="9"/>
  <c r="R42" i="9"/>
  <c r="R17" i="9"/>
  <c r="R22" i="9"/>
  <c r="R24" i="9"/>
  <c r="R25" i="9"/>
  <c r="R18" i="9"/>
  <c r="Q60" i="9"/>
  <c r="Q198" i="15"/>
  <c r="Q51" i="9"/>
  <c r="Q195" i="15"/>
  <c r="Q52" i="9"/>
  <c r="Q55" i="9"/>
  <c r="P69" i="9"/>
  <c r="P196" i="15"/>
  <c r="P194" i="15"/>
  <c r="P70" i="9"/>
  <c r="P73" i="9"/>
  <c r="P178" i="15"/>
  <c r="S49" i="9"/>
  <c r="S67" i="9"/>
  <c r="S7" i="9"/>
  <c r="BU27" i="21"/>
  <c r="BT32" i="21"/>
  <c r="BS34" i="21"/>
  <c r="S173" i="15"/>
  <c r="BS33" i="21"/>
  <c r="Q69" i="9"/>
  <c r="Q196" i="15"/>
  <c r="Q194" i="15"/>
  <c r="Q70" i="9"/>
  <c r="Q73" i="9"/>
  <c r="Q178" i="15"/>
  <c r="Q199" i="15"/>
  <c r="Q197" i="15"/>
  <c r="R60" i="9"/>
  <c r="R51" i="9"/>
  <c r="R195" i="15"/>
  <c r="R198" i="15"/>
  <c r="R199" i="15"/>
  <c r="R197" i="15"/>
  <c r="R52" i="9"/>
  <c r="R55" i="9"/>
  <c r="Q177" i="15"/>
  <c r="T7" i="9"/>
  <c r="T49" i="9"/>
  <c r="T67" i="9"/>
  <c r="S18" i="9"/>
  <c r="S42" i="9"/>
  <c r="S17" i="9"/>
  <c r="S22" i="9"/>
  <c r="S24" i="9"/>
  <c r="S25" i="9"/>
  <c r="R34" i="9"/>
  <c r="R30" i="9"/>
  <c r="R20" i="15"/>
  <c r="R31" i="9"/>
  <c r="R29" i="9"/>
  <c r="R28" i="9"/>
  <c r="R32" i="9"/>
  <c r="R19" i="9"/>
  <c r="R33" i="9"/>
  <c r="P176" i="15"/>
  <c r="BT33" i="21"/>
  <c r="BT34" i="21"/>
  <c r="T173" i="15"/>
  <c r="BU32" i="21"/>
  <c r="BV27" i="21"/>
  <c r="Q176" i="15"/>
  <c r="S198" i="15"/>
  <c r="S60" i="9"/>
  <c r="S199" i="15"/>
  <c r="S197" i="15"/>
  <c r="S51" i="9"/>
  <c r="S195" i="15"/>
  <c r="S69" i="9"/>
  <c r="S196" i="15"/>
  <c r="S194" i="15"/>
  <c r="S204" i="15"/>
  <c r="S52" i="9"/>
  <c r="S55" i="9"/>
  <c r="R70" i="9"/>
  <c r="R73" i="9"/>
  <c r="R178" i="15"/>
  <c r="R69" i="9"/>
  <c r="R196" i="15"/>
  <c r="S20" i="15"/>
  <c r="S34" i="9"/>
  <c r="S32" i="9"/>
  <c r="S29" i="9"/>
  <c r="S31" i="9"/>
  <c r="S19" i="9"/>
  <c r="S30" i="9"/>
  <c r="S28" i="9"/>
  <c r="S33" i="9"/>
  <c r="T42" i="9"/>
  <c r="T18" i="9"/>
  <c r="T17" i="9"/>
  <c r="T22" i="9"/>
  <c r="T24" i="9"/>
  <c r="T25" i="9"/>
  <c r="R177" i="15"/>
  <c r="R176" i="15"/>
  <c r="U49" i="9"/>
  <c r="U67" i="9"/>
  <c r="U7" i="9"/>
  <c r="R194" i="15"/>
  <c r="BV32" i="21"/>
  <c r="BW27" i="21"/>
  <c r="BU34" i="21"/>
  <c r="U173" i="15"/>
  <c r="BU33" i="21"/>
  <c r="S177" i="15"/>
  <c r="T60" i="9"/>
  <c r="T52" i="9"/>
  <c r="T55" i="9"/>
  <c r="T198" i="15"/>
  <c r="T51" i="9"/>
  <c r="T195" i="15"/>
  <c r="T69" i="9"/>
  <c r="T196" i="15"/>
  <c r="T194" i="15"/>
  <c r="S70" i="9"/>
  <c r="S73" i="9"/>
  <c r="S178" i="15"/>
  <c r="T29" i="9"/>
  <c r="T28" i="9"/>
  <c r="T34" i="9"/>
  <c r="T31" i="9"/>
  <c r="T32" i="9"/>
  <c r="T20" i="15"/>
  <c r="T19" i="9"/>
  <c r="T30" i="9"/>
  <c r="T33" i="9"/>
  <c r="U18" i="9"/>
  <c r="U42" i="9"/>
  <c r="U17" i="9"/>
  <c r="U22" i="9"/>
  <c r="U24" i="9"/>
  <c r="U25" i="9"/>
  <c r="V49" i="9"/>
  <c r="V67" i="9"/>
  <c r="V7" i="9"/>
  <c r="BW32" i="21"/>
  <c r="BX27" i="21"/>
  <c r="BX32" i="21"/>
  <c r="BV34" i="21"/>
  <c r="V173" i="15"/>
  <c r="BV33" i="21"/>
  <c r="W7" i="9"/>
  <c r="W49" i="9"/>
  <c r="W67" i="9"/>
  <c r="V17" i="9"/>
  <c r="V22" i="9"/>
  <c r="V24" i="9"/>
  <c r="V25" i="9"/>
  <c r="V18" i="9"/>
  <c r="V42" i="9"/>
  <c r="S176" i="15"/>
  <c r="U60" i="9"/>
  <c r="U198" i="15"/>
  <c r="U52" i="9"/>
  <c r="U55" i="9"/>
  <c r="U51" i="9"/>
  <c r="U195" i="15"/>
  <c r="T177" i="15"/>
  <c r="U30" i="9"/>
  <c r="U28" i="9"/>
  <c r="U34" i="9"/>
  <c r="U31" i="9"/>
  <c r="U32" i="9"/>
  <c r="U29" i="9"/>
  <c r="U20" i="15"/>
  <c r="U19" i="9"/>
  <c r="U33" i="9"/>
  <c r="T199" i="15"/>
  <c r="T197" i="15"/>
  <c r="T70" i="9"/>
  <c r="T73" i="9"/>
  <c r="T178" i="15"/>
  <c r="BX33" i="21"/>
  <c r="BX34" i="21"/>
  <c r="X173" i="15"/>
  <c r="BW33" i="21"/>
  <c r="BW34" i="21"/>
  <c r="W173" i="15"/>
  <c r="T176" i="15"/>
  <c r="U177" i="15"/>
  <c r="X49" i="9"/>
  <c r="X67" i="9"/>
  <c r="U199" i="15"/>
  <c r="U197" i="15"/>
  <c r="U69" i="9"/>
  <c r="U196" i="15"/>
  <c r="U194" i="15"/>
  <c r="U70" i="9"/>
  <c r="U73" i="9"/>
  <c r="U178" i="15"/>
  <c r="V60" i="9"/>
  <c r="V198" i="15"/>
  <c r="V52" i="9"/>
  <c r="V55" i="9"/>
  <c r="V51" i="9"/>
  <c r="V195" i="15"/>
  <c r="V19" i="9"/>
  <c r="V31" i="9"/>
  <c r="V34" i="9"/>
  <c r="V30" i="9"/>
  <c r="V28" i="9"/>
  <c r="V20" i="15"/>
  <c r="V29" i="9"/>
  <c r="V32" i="9"/>
  <c r="V33" i="9"/>
  <c r="W18" i="9"/>
  <c r="W42" i="9"/>
  <c r="W17" i="9"/>
  <c r="W22" i="9"/>
  <c r="W24" i="9"/>
  <c r="W25" i="9"/>
  <c r="V177" i="15"/>
  <c r="W20" i="15"/>
  <c r="W34" i="9"/>
  <c r="W19" i="9"/>
  <c r="W29" i="9"/>
  <c r="W32" i="9"/>
  <c r="W28" i="9"/>
  <c r="W30" i="9"/>
  <c r="W31" i="9"/>
  <c r="W33" i="9"/>
  <c r="U176" i="15"/>
  <c r="W60" i="9"/>
  <c r="W198" i="15"/>
  <c r="W51" i="9"/>
  <c r="W195" i="15"/>
  <c r="W69" i="9"/>
  <c r="W196" i="15"/>
  <c r="W194" i="15"/>
  <c r="W52" i="9"/>
  <c r="W55" i="9"/>
  <c r="V199" i="15"/>
  <c r="V197" i="15"/>
  <c r="V69" i="9"/>
  <c r="V196" i="15"/>
  <c r="V194" i="15"/>
  <c r="V70" i="9"/>
  <c r="V73" i="9"/>
  <c r="V178" i="15"/>
  <c r="X42" i="9"/>
  <c r="G35" i="5"/>
  <c r="X30" i="9"/>
  <c r="X31" i="9"/>
  <c r="X20" i="15"/>
  <c r="X21" i="15"/>
  <c r="X19" i="9"/>
  <c r="X28" i="9"/>
  <c r="X29" i="9"/>
  <c r="X32" i="9"/>
  <c r="X34" i="9"/>
  <c r="X33" i="9"/>
  <c r="V176" i="15"/>
  <c r="G19" i="5"/>
  <c r="X25" i="9"/>
  <c r="G22" i="5"/>
  <c r="G21" i="5"/>
  <c r="G20" i="5"/>
  <c r="G23" i="5"/>
  <c r="G36" i="5"/>
  <c r="G18" i="5"/>
  <c r="W177" i="15"/>
  <c r="X60" i="9"/>
  <c r="X198" i="15"/>
  <c r="X52" i="9"/>
  <c r="X55" i="9"/>
  <c r="X51" i="9"/>
  <c r="W70" i="9"/>
  <c r="W73" i="9"/>
  <c r="W178" i="15"/>
  <c r="W199" i="15"/>
  <c r="W197" i="15"/>
  <c r="G37" i="5"/>
  <c r="W176" i="15"/>
  <c r="X195" i="15"/>
  <c r="X177" i="15"/>
  <c r="X70" i="9"/>
  <c r="X73" i="9"/>
  <c r="X178" i="15"/>
  <c r="X199" i="15"/>
  <c r="X197" i="15"/>
  <c r="X69" i="9"/>
  <c r="X196" i="15"/>
  <c r="X194" i="15"/>
  <c r="X203" i="15"/>
  <c r="G24" i="5"/>
  <c r="H23" i="5"/>
  <c r="H17" i="5"/>
  <c r="X176" i="15"/>
  <c r="H19" i="5"/>
  <c r="H21" i="5"/>
  <c r="H20" i="5"/>
  <c r="H22" i="5"/>
  <c r="H18" i="5"/>
  <c r="H24" i="5"/>
  <c r="X204" i="15"/>
  <c r="U127" i="15"/>
  <c r="U212" i="15"/>
  <c r="U210" i="15"/>
  <c r="U231" i="15"/>
  <c r="U233" i="15"/>
  <c r="Q250" i="15"/>
  <c r="Q251" i="15"/>
  <c r="U252" i="15"/>
  <c r="AF29" i="15"/>
  <c r="AF253" i="15"/>
  <c r="Q100" i="15"/>
  <c r="R233" i="15"/>
  <c r="R210" i="15"/>
  <c r="R231" i="15"/>
  <c r="X23" i="15"/>
  <c r="R15" i="15"/>
  <c r="T127" i="15"/>
  <c r="T212" i="15"/>
  <c r="T233" i="15"/>
  <c r="AF21" i="15"/>
  <c r="H69" i="9"/>
  <c r="H196" i="15"/>
  <c r="H178" i="15"/>
  <c r="H51" i="9"/>
  <c r="H195" i="15"/>
  <c r="H194" i="15"/>
  <c r="H204" i="15"/>
  <c r="H33" i="9"/>
  <c r="H31" i="9"/>
  <c r="W204" i="15"/>
  <c r="W203" i="15"/>
  <c r="N204" i="15"/>
  <c r="N203" i="15"/>
  <c r="M197" i="15"/>
  <c r="M203" i="15"/>
  <c r="P204" i="15"/>
  <c r="P203" i="15"/>
  <c r="V204" i="15"/>
  <c r="V203" i="15"/>
  <c r="T203" i="15"/>
  <c r="T204" i="15"/>
  <c r="Q204" i="15"/>
  <c r="J204" i="15"/>
  <c r="J203" i="15"/>
  <c r="U203" i="15"/>
  <c r="U204" i="15"/>
  <c r="L204" i="15"/>
  <c r="L203" i="15"/>
  <c r="O203" i="15"/>
  <c r="AH107" i="15"/>
  <c r="AH134" i="15"/>
  <c r="I203" i="15"/>
  <c r="E194" i="15"/>
  <c r="K155" i="15"/>
  <c r="AF252" i="15"/>
  <c r="AF251" i="15"/>
  <c r="AG204" i="15"/>
  <c r="AG203" i="15"/>
  <c r="C114" i="15"/>
  <c r="C217" i="15"/>
  <c r="V152" i="15"/>
  <c r="V155" i="15"/>
  <c r="Q154" i="15"/>
  <c r="Q155" i="15"/>
  <c r="AH233" i="15"/>
  <c r="AH210" i="15"/>
  <c r="AH231" i="15"/>
  <c r="AA210" i="15"/>
  <c r="AA231" i="15"/>
  <c r="AA232" i="15"/>
  <c r="S203" i="15"/>
  <c r="M204" i="15"/>
  <c r="I204" i="15"/>
  <c r="F203" i="15"/>
  <c r="U155" i="15"/>
  <c r="I154" i="15"/>
  <c r="X155" i="15"/>
  <c r="X152" i="15"/>
  <c r="R203" i="15"/>
  <c r="Q203" i="15"/>
  <c r="N233" i="15"/>
  <c r="N210" i="15"/>
  <c r="N231" i="15"/>
  <c r="R204" i="15"/>
  <c r="D232" i="15"/>
  <c r="D210" i="15"/>
  <c r="D231" i="15"/>
  <c r="Y204" i="15"/>
  <c r="C44" i="15"/>
  <c r="C45" i="15"/>
  <c r="AH249" i="15"/>
  <c r="AH250" i="15"/>
  <c r="AH253" i="15"/>
  <c r="AH251" i="15"/>
  <c r="W15" i="15"/>
  <c r="W29" i="15"/>
  <c r="S29" i="15"/>
  <c r="J249" i="15"/>
  <c r="J250" i="15"/>
  <c r="J251" i="15"/>
  <c r="J100" i="15"/>
  <c r="J253" i="15"/>
  <c r="J254" i="15"/>
  <c r="J252" i="15"/>
  <c r="D155" i="15"/>
  <c r="D154" i="15"/>
  <c r="O157" i="15"/>
  <c r="O164" i="15"/>
  <c r="O152" i="15"/>
  <c r="G154" i="15"/>
  <c r="G157" i="15"/>
  <c r="G164" i="15"/>
  <c r="V29" i="15"/>
  <c r="L250" i="15"/>
  <c r="L251" i="15"/>
  <c r="L249" i="15"/>
  <c r="L100" i="15"/>
  <c r="L253" i="15"/>
  <c r="L254" i="15"/>
  <c r="C15" i="15"/>
  <c r="F15" i="15"/>
  <c r="L15" i="15"/>
  <c r="H29" i="15"/>
  <c r="H15" i="15"/>
  <c r="AD29" i="15"/>
  <c r="X100" i="15"/>
  <c r="J155" i="15"/>
  <c r="AB251" i="15"/>
  <c r="W152" i="15"/>
  <c r="S152" i="15"/>
  <c r="O29" i="15"/>
  <c r="F100" i="15"/>
  <c r="F250" i="15"/>
  <c r="F251" i="15"/>
  <c r="F252" i="15"/>
  <c r="M29" i="15"/>
  <c r="M15" i="15"/>
  <c r="K15" i="15"/>
  <c r="K29" i="15"/>
  <c r="I100" i="15"/>
  <c r="I250" i="15"/>
  <c r="I251" i="15"/>
  <c r="I249" i="15"/>
  <c r="I252" i="15"/>
  <c r="AG29" i="15"/>
  <c r="AG19" i="15"/>
  <c r="AG21" i="15"/>
  <c r="AG15" i="15"/>
  <c r="AC29" i="15"/>
  <c r="AC15" i="15"/>
  <c r="AC19" i="15"/>
  <c r="AC21" i="15"/>
  <c r="AF233" i="15"/>
  <c r="AF210" i="15"/>
  <c r="AF231" i="15"/>
  <c r="AC233" i="15"/>
  <c r="AC210" i="15"/>
  <c r="AC231" i="15"/>
  <c r="D24" i="5"/>
  <c r="P29" i="15"/>
  <c r="Y15" i="15"/>
  <c r="AE210" i="15"/>
  <c r="AE231" i="15"/>
  <c r="E35" i="5"/>
  <c r="I26" i="15"/>
  <c r="J26" i="15"/>
  <c r="K26" i="15"/>
  <c r="L26" i="15"/>
  <c r="M26" i="15"/>
  <c r="D37" i="5"/>
  <c r="AF254" i="15"/>
  <c r="T210" i="15"/>
  <c r="T231" i="15"/>
  <c r="AF250" i="15"/>
  <c r="AF249" i="15"/>
  <c r="Q127" i="15"/>
  <c r="Q212" i="15"/>
  <c r="Q233" i="15"/>
  <c r="Q211" i="15"/>
  <c r="AH23" i="15"/>
  <c r="Y23" i="15"/>
  <c r="Z23" i="15"/>
  <c r="AA23" i="15"/>
  <c r="AB23" i="15"/>
  <c r="AC23" i="15"/>
  <c r="AD23" i="15"/>
  <c r="AE23" i="15"/>
  <c r="AF23" i="15"/>
  <c r="AG23" i="15"/>
  <c r="O23" i="15"/>
  <c r="P23" i="15"/>
  <c r="Q23" i="15"/>
  <c r="R23" i="15"/>
  <c r="S23" i="15"/>
  <c r="T23" i="15"/>
  <c r="U23" i="15"/>
  <c r="V23" i="15"/>
  <c r="W23" i="15"/>
  <c r="I18" i="15"/>
  <c r="J18" i="15"/>
  <c r="K18" i="15"/>
  <c r="L18" i="15"/>
  <c r="M18" i="15"/>
  <c r="H203" i="15"/>
  <c r="H177" i="15"/>
  <c r="S253" i="15"/>
  <c r="S254" i="15"/>
  <c r="S252" i="15"/>
  <c r="S250" i="15"/>
  <c r="S251" i="15"/>
  <c r="S100" i="15"/>
  <c r="S249" i="15"/>
  <c r="P253" i="15"/>
  <c r="P254" i="15"/>
  <c r="P250" i="15"/>
  <c r="P251" i="15"/>
  <c r="P252" i="15"/>
  <c r="P100" i="15"/>
  <c r="P249" i="15"/>
  <c r="AG251" i="15"/>
  <c r="AG249" i="15"/>
  <c r="AG254" i="15"/>
  <c r="AG250" i="15"/>
  <c r="AG252" i="15"/>
  <c r="AG253" i="15"/>
  <c r="I211" i="15"/>
  <c r="I127" i="15"/>
  <c r="I212" i="15"/>
  <c r="I233" i="15"/>
  <c r="M100" i="15"/>
  <c r="M253" i="15"/>
  <c r="M254" i="15"/>
  <c r="M252" i="15"/>
  <c r="M249" i="15"/>
  <c r="M250" i="15"/>
  <c r="M251" i="15"/>
  <c r="O253" i="15"/>
  <c r="O254" i="15"/>
  <c r="O252" i="15"/>
  <c r="O249" i="15"/>
  <c r="O100" i="15"/>
  <c r="O250" i="15"/>
  <c r="O251" i="15"/>
  <c r="AD15" i="15"/>
  <c r="AD19" i="15"/>
  <c r="AD21" i="15"/>
  <c r="J211" i="15"/>
  <c r="J127" i="15"/>
  <c r="J212" i="15"/>
  <c r="J233" i="15"/>
  <c r="S15" i="15"/>
  <c r="K252" i="15"/>
  <c r="K250" i="15"/>
  <c r="K251" i="15"/>
  <c r="K249" i="15"/>
  <c r="K253" i="15"/>
  <c r="K254" i="15"/>
  <c r="K100" i="15"/>
  <c r="C238" i="15"/>
  <c r="X127" i="15"/>
  <c r="X212" i="15"/>
  <c r="X233" i="15"/>
  <c r="X211" i="15"/>
  <c r="X121" i="15"/>
  <c r="H249" i="15"/>
  <c r="H252" i="15"/>
  <c r="H250" i="15"/>
  <c r="H251" i="15"/>
  <c r="H253" i="15"/>
  <c r="H254" i="15"/>
  <c r="H100" i="15"/>
  <c r="V15" i="15"/>
  <c r="W249" i="15"/>
  <c r="W252" i="15"/>
  <c r="W100" i="15"/>
  <c r="W250" i="15"/>
  <c r="W251" i="15"/>
  <c r="W253" i="15"/>
  <c r="W254" i="15"/>
  <c r="C141" i="15"/>
  <c r="C218" i="15"/>
  <c r="C239" i="15"/>
  <c r="X101" i="15"/>
  <c r="AC250" i="15"/>
  <c r="AC252" i="15"/>
  <c r="AC251" i="15"/>
  <c r="AC249" i="15"/>
  <c r="AC254" i="15"/>
  <c r="AC253" i="15"/>
  <c r="F211" i="15"/>
  <c r="F127" i="15"/>
  <c r="F212" i="15"/>
  <c r="F233" i="15"/>
  <c r="AD250" i="15"/>
  <c r="AD252" i="15"/>
  <c r="AD253" i="15"/>
  <c r="AD249" i="15"/>
  <c r="AD251" i="15"/>
  <c r="AD254" i="15"/>
  <c r="L127" i="15"/>
  <c r="L212" i="15"/>
  <c r="L233" i="15"/>
  <c r="L211" i="15"/>
  <c r="V253" i="15"/>
  <c r="V254" i="15"/>
  <c r="V252" i="15"/>
  <c r="V249" i="15"/>
  <c r="V250" i="15"/>
  <c r="V251" i="15"/>
  <c r="V100" i="15"/>
  <c r="C115" i="15"/>
  <c r="C214" i="15"/>
  <c r="C142" i="15"/>
  <c r="C215" i="15"/>
  <c r="C236" i="15"/>
  <c r="C113" i="15"/>
  <c r="E203" i="15"/>
  <c r="E206" i="15"/>
  <c r="F206" i="15"/>
  <c r="G206" i="15"/>
  <c r="H206" i="15"/>
  <c r="I206" i="15"/>
  <c r="J206" i="15"/>
  <c r="K206" i="15"/>
  <c r="L206" i="15"/>
  <c r="M206" i="15"/>
  <c r="N206" i="15"/>
  <c r="O206" i="15"/>
  <c r="P206" i="15"/>
  <c r="Q206" i="15"/>
  <c r="R206" i="15"/>
  <c r="S206" i="15"/>
  <c r="T206" i="15"/>
  <c r="U206" i="15"/>
  <c r="V206" i="15"/>
  <c r="W206" i="15"/>
  <c r="X206" i="15"/>
  <c r="Y206" i="15"/>
  <c r="Z206" i="15"/>
  <c r="AA206" i="15"/>
  <c r="AB206" i="15"/>
  <c r="AC206" i="15"/>
  <c r="AD206" i="15"/>
  <c r="AE206" i="15"/>
  <c r="AF206" i="15"/>
  <c r="AG206" i="15"/>
  <c r="AH206" i="15"/>
  <c r="E204" i="15"/>
  <c r="E36" i="5"/>
  <c r="O26" i="15"/>
  <c r="N56" i="15"/>
  <c r="X110" i="15"/>
  <c r="X137" i="15"/>
  <c r="AH110" i="15"/>
  <c r="AH137" i="15"/>
  <c r="Q210" i="15"/>
  <c r="Q231" i="15"/>
  <c r="Q232" i="15"/>
  <c r="O18" i="15"/>
  <c r="P18" i="15"/>
  <c r="Q18" i="15"/>
  <c r="C235" i="15"/>
  <c r="C213" i="15"/>
  <c r="W127" i="15"/>
  <c r="W212" i="15"/>
  <c r="W233" i="15"/>
  <c r="W211" i="15"/>
  <c r="C57" i="15"/>
  <c r="C93" i="15"/>
  <c r="C87" i="15"/>
  <c r="C50" i="15"/>
  <c r="C89" i="15"/>
  <c r="C60" i="15"/>
  <c r="C56" i="15"/>
  <c r="C90" i="15"/>
  <c r="C92" i="15"/>
  <c r="C84" i="15"/>
  <c r="C94" i="15"/>
  <c r="C91" i="15"/>
  <c r="C65" i="15"/>
  <c r="C85" i="15"/>
  <c r="C88" i="15"/>
  <c r="C86" i="15"/>
  <c r="F232" i="15"/>
  <c r="F210" i="15"/>
  <c r="F231" i="15"/>
  <c r="X128" i="15"/>
  <c r="X124" i="15"/>
  <c r="C30" i="15"/>
  <c r="C118" i="15"/>
  <c r="S127" i="15"/>
  <c r="S212" i="15"/>
  <c r="S233" i="15"/>
  <c r="S211" i="15"/>
  <c r="C216" i="15"/>
  <c r="C237" i="15"/>
  <c r="V127" i="15"/>
  <c r="V212" i="15"/>
  <c r="V233" i="15"/>
  <c r="V211" i="15"/>
  <c r="H211" i="15"/>
  <c r="H127" i="15"/>
  <c r="H212" i="15"/>
  <c r="H233" i="15"/>
  <c r="J232" i="15"/>
  <c r="J210" i="15"/>
  <c r="J231" i="15"/>
  <c r="O211" i="15"/>
  <c r="O127" i="15"/>
  <c r="O212" i="15"/>
  <c r="O233" i="15"/>
  <c r="M211" i="15"/>
  <c r="M127" i="15"/>
  <c r="M212" i="15"/>
  <c r="M233" i="15"/>
  <c r="L232" i="15"/>
  <c r="L210" i="15"/>
  <c r="L231" i="15"/>
  <c r="X210" i="15"/>
  <c r="X231" i="15"/>
  <c r="X232" i="15"/>
  <c r="K211" i="15"/>
  <c r="K127" i="15"/>
  <c r="K212" i="15"/>
  <c r="K233" i="15"/>
  <c r="I210" i="15"/>
  <c r="I231" i="15"/>
  <c r="I232" i="15"/>
  <c r="P211" i="15"/>
  <c r="P127" i="15"/>
  <c r="P212" i="15"/>
  <c r="P233" i="15"/>
  <c r="F24" i="5"/>
  <c r="I24" i="5"/>
  <c r="AH108" i="15"/>
  <c r="AH135" i="15"/>
  <c r="AH112" i="15"/>
  <c r="AH139" i="15"/>
  <c r="X108" i="15"/>
  <c r="X135" i="15"/>
  <c r="AH109" i="15"/>
  <c r="AH136" i="15"/>
  <c r="AH102" i="15"/>
  <c r="X105" i="15"/>
  <c r="X132" i="15"/>
  <c r="X112" i="15"/>
  <c r="X139" i="15"/>
  <c r="N102" i="15"/>
  <c r="N129" i="15"/>
  <c r="F37" i="5"/>
  <c r="C25" i="5"/>
  <c r="C40" i="5"/>
  <c r="P26" i="15"/>
  <c r="O31" i="15"/>
  <c r="O102" i="15"/>
  <c r="O129" i="15"/>
  <c r="X109" i="15"/>
  <c r="X136" i="15"/>
  <c r="AH105" i="15"/>
  <c r="AH132" i="15"/>
  <c r="C119" i="15"/>
  <c r="C180" i="15"/>
  <c r="P210" i="15"/>
  <c r="P231" i="15"/>
  <c r="P232" i="15"/>
  <c r="O210" i="15"/>
  <c r="O231" i="15"/>
  <c r="O232" i="15"/>
  <c r="H210" i="15"/>
  <c r="H231" i="15"/>
  <c r="H232" i="15"/>
  <c r="W232" i="15"/>
  <c r="W210" i="15"/>
  <c r="W231" i="15"/>
  <c r="K232" i="15"/>
  <c r="K210" i="15"/>
  <c r="K231" i="15"/>
  <c r="S232" i="15"/>
  <c r="S210" i="15"/>
  <c r="S231" i="15"/>
  <c r="M232" i="15"/>
  <c r="M210" i="15"/>
  <c r="M231" i="15"/>
  <c r="V232" i="15"/>
  <c r="V210" i="15"/>
  <c r="V231" i="15"/>
  <c r="C95" i="15"/>
  <c r="C16" i="15"/>
  <c r="C19" i="15"/>
  <c r="C21" i="15"/>
  <c r="C234" i="15"/>
  <c r="C221" i="15"/>
  <c r="C242" i="15"/>
  <c r="C220" i="15"/>
  <c r="N112" i="15"/>
  <c r="N139" i="15"/>
  <c r="N110" i="15"/>
  <c r="N137" i="15"/>
  <c r="E24" i="5"/>
  <c r="AH129" i="15"/>
  <c r="N105" i="15"/>
  <c r="N132" i="15"/>
  <c r="N108" i="15"/>
  <c r="N135" i="15"/>
  <c r="AH104" i="15"/>
  <c r="AH44" i="15"/>
  <c r="Q26" i="15"/>
  <c r="P31" i="15"/>
  <c r="P102" i="15"/>
  <c r="P129" i="15"/>
  <c r="N109" i="15"/>
  <c r="N136" i="15"/>
  <c r="N107" i="15"/>
  <c r="N134" i="15"/>
  <c r="X102" i="15"/>
  <c r="X104" i="15"/>
  <c r="X44" i="15"/>
  <c r="X45" i="15"/>
  <c r="C241" i="15"/>
  <c r="C219" i="15"/>
  <c r="G26" i="15"/>
  <c r="X131" i="15"/>
  <c r="X142" i="15"/>
  <c r="X215" i="15"/>
  <c r="X236" i="15"/>
  <c r="X115" i="15"/>
  <c r="AH45" i="15"/>
  <c r="X129" i="15"/>
  <c r="AH131" i="15"/>
  <c r="AH142" i="15"/>
  <c r="AH215" i="15"/>
  <c r="AH236" i="15"/>
  <c r="AH115" i="15"/>
  <c r="AH214" i="15"/>
  <c r="Y102" i="15"/>
  <c r="R26" i="15"/>
  <c r="Q31" i="15"/>
  <c r="Q102" i="15"/>
  <c r="Q129" i="15"/>
  <c r="N44" i="15"/>
  <c r="N45" i="15"/>
  <c r="N104" i="15"/>
  <c r="C146" i="15"/>
  <c r="C179" i="15"/>
  <c r="C240" i="15"/>
  <c r="C222" i="15"/>
  <c r="C243" i="15"/>
  <c r="Y129" i="15"/>
  <c r="AH213" i="15"/>
  <c r="AH235" i="15"/>
  <c r="F102" i="15"/>
  <c r="F129" i="15"/>
  <c r="N131" i="15"/>
  <c r="N142" i="15"/>
  <c r="N215" i="15"/>
  <c r="N236" i="15"/>
  <c r="N115" i="15"/>
  <c r="N214" i="15"/>
  <c r="R31" i="15"/>
  <c r="R102" i="15"/>
  <c r="R129" i="15"/>
  <c r="S26" i="15"/>
  <c r="Z102" i="15"/>
  <c r="X214" i="15"/>
  <c r="X123" i="15"/>
  <c r="G31" i="15"/>
  <c r="X213" i="15"/>
  <c r="X235" i="15"/>
  <c r="G102" i="15"/>
  <c r="G129" i="15"/>
  <c r="Z129" i="15"/>
  <c r="AA102" i="15"/>
  <c r="T26" i="15"/>
  <c r="S31" i="15"/>
  <c r="S102" i="15"/>
  <c r="S129" i="15"/>
  <c r="N213" i="15"/>
  <c r="N235" i="15"/>
  <c r="AH223" i="15"/>
  <c r="AH234" i="15"/>
  <c r="H103" i="15"/>
  <c r="H130" i="15"/>
  <c r="I31" i="15"/>
  <c r="U26" i="15"/>
  <c r="T31" i="15"/>
  <c r="T102" i="15"/>
  <c r="T129" i="15"/>
  <c r="X223" i="15"/>
  <c r="X234" i="15"/>
  <c r="AA129" i="15"/>
  <c r="AB102" i="15"/>
  <c r="N234" i="15"/>
  <c r="N223" i="15"/>
  <c r="H102" i="15"/>
  <c r="H129" i="15"/>
  <c r="AH244" i="15"/>
  <c r="AC102" i="15"/>
  <c r="I102" i="15"/>
  <c r="I129" i="15"/>
  <c r="N244" i="15"/>
  <c r="X244" i="15"/>
  <c r="U31" i="15"/>
  <c r="U102" i="15"/>
  <c r="U129" i="15"/>
  <c r="V26" i="15"/>
  <c r="AB129" i="15"/>
  <c r="J31" i="15"/>
  <c r="J102" i="15"/>
  <c r="J129" i="15"/>
  <c r="K31" i="15"/>
  <c r="W26" i="15"/>
  <c r="W31" i="15"/>
  <c r="W102" i="15"/>
  <c r="W129" i="15"/>
  <c r="V31" i="15"/>
  <c r="V102" i="15"/>
  <c r="V129" i="15"/>
  <c r="AD102" i="15"/>
  <c r="AC129" i="15"/>
  <c r="AE102" i="15"/>
  <c r="AD129" i="15"/>
  <c r="M31" i="15"/>
  <c r="M102" i="15"/>
  <c r="M129" i="15"/>
  <c r="L31" i="15"/>
  <c r="K102" i="15"/>
  <c r="K129" i="15"/>
  <c r="AE129" i="15"/>
  <c r="L102" i="15"/>
  <c r="L129" i="15"/>
  <c r="AG102" i="15"/>
  <c r="AF102" i="15"/>
  <c r="AG129" i="15"/>
  <c r="AF129" i="15"/>
  <c r="C67" i="15"/>
  <c r="AB103" i="15"/>
  <c r="AA103" i="15"/>
  <c r="AA114" i="15"/>
  <c r="AA217" i="15"/>
  <c r="Y103" i="15"/>
  <c r="AG103" i="15"/>
  <c r="AA130" i="15"/>
  <c r="AA141" i="15"/>
  <c r="AA218" i="15"/>
  <c r="AA239" i="15"/>
  <c r="X25" i="15"/>
  <c r="X116" i="15"/>
  <c r="AF103" i="15"/>
  <c r="AG114" i="15"/>
  <c r="AG217" i="15"/>
  <c r="AG130" i="15"/>
  <c r="Y114" i="15"/>
  <c r="Y217" i="15"/>
  <c r="Y130" i="15"/>
  <c r="AD103" i="15"/>
  <c r="AC103" i="15"/>
  <c r="Z103" i="15"/>
  <c r="AE103" i="15"/>
  <c r="AB114" i="15"/>
  <c r="AB217" i="15"/>
  <c r="AB130" i="15"/>
  <c r="X103" i="15"/>
  <c r="AA216" i="15"/>
  <c r="AA237" i="15"/>
  <c r="AA238" i="15"/>
  <c r="AH25" i="15"/>
  <c r="AH116" i="15"/>
  <c r="AH103" i="15"/>
  <c r="Y238" i="15"/>
  <c r="AH114" i="15"/>
  <c r="AH217" i="15"/>
  <c r="AH113" i="15"/>
  <c r="AH130" i="15"/>
  <c r="X143" i="15"/>
  <c r="X117" i="15"/>
  <c r="X144" i="15"/>
  <c r="AB141" i="15"/>
  <c r="AB218" i="15"/>
  <c r="AB239" i="15"/>
  <c r="AE130" i="15"/>
  <c r="AE114" i="15"/>
  <c r="AE217" i="15"/>
  <c r="Y141" i="15"/>
  <c r="Y218" i="15"/>
  <c r="Y239" i="15"/>
  <c r="AG141" i="15"/>
  <c r="AG218" i="15"/>
  <c r="AG239" i="15"/>
  <c r="X114" i="15"/>
  <c r="X217" i="15"/>
  <c r="X130" i="15"/>
  <c r="X122" i="15"/>
  <c r="X125" i="15"/>
  <c r="X113" i="15"/>
  <c r="X118" i="15"/>
  <c r="Z114" i="15"/>
  <c r="Z217" i="15"/>
  <c r="Z130" i="15"/>
  <c r="AD114" i="15"/>
  <c r="AD217" i="15"/>
  <c r="AD130" i="15"/>
  <c r="AF130" i="15"/>
  <c r="AF114" i="15"/>
  <c r="AF217" i="15"/>
  <c r="AH117" i="15"/>
  <c r="AH144" i="15"/>
  <c r="AH143" i="15"/>
  <c r="AB238" i="15"/>
  <c r="AC114" i="15"/>
  <c r="AC217" i="15"/>
  <c r="AC130" i="15"/>
  <c r="AG238" i="15"/>
  <c r="AB216" i="15"/>
  <c r="AB237" i="15"/>
  <c r="AG216" i="15"/>
  <c r="AG237" i="15"/>
  <c r="X220" i="15"/>
  <c r="Y216" i="15"/>
  <c r="Y237" i="15"/>
  <c r="AH64" i="15"/>
  <c r="AH60" i="15"/>
  <c r="AH56" i="15"/>
  <c r="AH88" i="15"/>
  <c r="AH84" i="15"/>
  <c r="AH62" i="15"/>
  <c r="AH63" i="15"/>
  <c r="AH59" i="15"/>
  <c r="AH61" i="15"/>
  <c r="AH65" i="15"/>
  <c r="AH50" i="15"/>
  <c r="AH66" i="15"/>
  <c r="AH58" i="15"/>
  <c r="AH85" i="15"/>
  <c r="AH57" i="15"/>
  <c r="Z141" i="15"/>
  <c r="Z218" i="15"/>
  <c r="Z239" i="15"/>
  <c r="X241" i="15"/>
  <c r="X84" i="15"/>
  <c r="X50" i="15"/>
  <c r="X56" i="15"/>
  <c r="X88" i="15"/>
  <c r="X65" i="15"/>
  <c r="X60" i="15"/>
  <c r="Y60" i="15"/>
  <c r="Z60" i="15"/>
  <c r="AA60" i="15"/>
  <c r="AB60" i="15"/>
  <c r="AC60" i="15"/>
  <c r="AD60" i="15"/>
  <c r="AE60" i="15"/>
  <c r="AF60" i="15"/>
  <c r="AG60" i="15"/>
  <c r="X57" i="15"/>
  <c r="X85" i="15"/>
  <c r="AH141" i="15"/>
  <c r="AH218" i="15"/>
  <c r="AH239" i="15"/>
  <c r="AH140" i="15"/>
  <c r="AH145" i="15"/>
  <c r="AH221" i="15"/>
  <c r="AH242" i="15"/>
  <c r="AF238" i="15"/>
  <c r="AD141" i="15"/>
  <c r="AD218" i="15"/>
  <c r="AD239" i="15"/>
  <c r="Z216" i="15"/>
  <c r="Z237" i="15"/>
  <c r="Z238" i="15"/>
  <c r="X238" i="15"/>
  <c r="AE141" i="15"/>
  <c r="AE218" i="15"/>
  <c r="AE239" i="15"/>
  <c r="AH118" i="15"/>
  <c r="AE238" i="15"/>
  <c r="AC141" i="15"/>
  <c r="AC218" i="15"/>
  <c r="AC239" i="15"/>
  <c r="X141" i="15"/>
  <c r="X218" i="15"/>
  <c r="X239" i="15"/>
  <c r="X140" i="15"/>
  <c r="X145" i="15"/>
  <c r="AC238" i="15"/>
  <c r="AH220" i="15"/>
  <c r="AF141" i="15"/>
  <c r="AF218" i="15"/>
  <c r="AF239" i="15"/>
  <c r="AD216" i="15"/>
  <c r="AD237" i="15"/>
  <c r="AD238" i="15"/>
  <c r="X119" i="15"/>
  <c r="X180" i="15"/>
  <c r="X183" i="15"/>
  <c r="O17" i="5"/>
  <c r="X221" i="15"/>
  <c r="X242" i="15"/>
  <c r="AH238" i="15"/>
  <c r="AH216" i="15"/>
  <c r="AH224" i="15"/>
  <c r="X216" i="15"/>
  <c r="AC216" i="15"/>
  <c r="AC237" i="15"/>
  <c r="AF216" i="15"/>
  <c r="AF237" i="15"/>
  <c r="AH119" i="15"/>
  <c r="AH179" i="15"/>
  <c r="AH182" i="15"/>
  <c r="P19" i="5"/>
  <c r="AH180" i="15"/>
  <c r="AH183" i="15"/>
  <c r="P17" i="5"/>
  <c r="X237" i="15"/>
  <c r="X245" i="15"/>
  <c r="X224" i="15"/>
  <c r="AH146" i="15"/>
  <c r="AH181" i="15"/>
  <c r="AH184" i="15"/>
  <c r="P18" i="5"/>
  <c r="AH241" i="15"/>
  <c r="AH219" i="15"/>
  <c r="AH240" i="15"/>
  <c r="X95" i="15"/>
  <c r="X67" i="15"/>
  <c r="AH95" i="15"/>
  <c r="AH237" i="15"/>
  <c r="AH245" i="15"/>
  <c r="X146" i="15"/>
  <c r="X181" i="15"/>
  <c r="X184" i="15"/>
  <c r="O18" i="5"/>
  <c r="AH67" i="15"/>
  <c r="X179" i="15"/>
  <c r="X182" i="15"/>
  <c r="O19" i="5"/>
  <c r="AE216" i="15"/>
  <c r="AE237" i="15"/>
  <c r="X219" i="15"/>
  <c r="X240" i="15"/>
  <c r="Y110" i="15"/>
  <c r="Y137" i="15"/>
  <c r="AH222" i="15"/>
  <c r="AH243" i="15"/>
  <c r="X222" i="15"/>
  <c r="X243" i="15"/>
  <c r="Y109" i="15"/>
  <c r="Y136" i="15"/>
  <c r="Z109" i="15"/>
  <c r="Z136" i="15"/>
  <c r="Y108" i="15"/>
  <c r="Y135" i="15"/>
  <c r="Y107" i="15"/>
  <c r="Y134" i="15"/>
  <c r="Y44" i="15"/>
  <c r="Y104" i="15"/>
  <c r="Y112" i="15"/>
  <c r="Y139" i="15"/>
  <c r="Y105" i="15"/>
  <c r="Y132" i="15"/>
  <c r="Z110" i="15"/>
  <c r="Z137" i="15"/>
  <c r="Z108" i="15"/>
  <c r="Z135" i="15"/>
  <c r="Z112" i="15"/>
  <c r="Z139" i="15"/>
  <c r="Z107" i="15"/>
  <c r="Z134" i="15"/>
  <c r="Y51" i="15"/>
  <c r="Y45" i="15"/>
  <c r="Z105" i="15"/>
  <c r="Z132" i="15"/>
  <c r="Z44" i="15"/>
  <c r="Z104" i="15"/>
  <c r="AA109" i="15"/>
  <c r="AA136" i="15"/>
  <c r="Y115" i="15"/>
  <c r="Y214" i="15"/>
  <c r="Y131" i="15"/>
  <c r="Y113" i="15"/>
  <c r="AA110" i="15"/>
  <c r="AA137" i="15"/>
  <c r="AB109" i="15"/>
  <c r="AB136" i="15"/>
  <c r="Y142" i="15"/>
  <c r="Y215" i="15"/>
  <c r="Y236" i="15"/>
  <c r="Y140" i="15"/>
  <c r="Y25" i="15"/>
  <c r="Y116" i="15"/>
  <c r="Y117" i="15"/>
  <c r="Y144" i="15"/>
  <c r="AB110" i="15"/>
  <c r="AB137" i="15"/>
  <c r="AA105" i="15"/>
  <c r="AA132" i="15"/>
  <c r="AA107" i="15"/>
  <c r="AA134" i="15"/>
  <c r="Y213" i="15"/>
  <c r="Y235" i="15"/>
  <c r="Z45" i="15"/>
  <c r="Z51" i="15"/>
  <c r="AA112" i="15"/>
  <c r="AA139" i="15"/>
  <c r="AA108" i="15"/>
  <c r="AA135" i="15"/>
  <c r="Z115" i="15"/>
  <c r="Z214" i="15"/>
  <c r="Z131" i="15"/>
  <c r="Z113" i="15"/>
  <c r="AA44" i="15"/>
  <c r="AA104" i="15"/>
  <c r="Y84" i="15"/>
  <c r="AC110" i="15"/>
  <c r="AC137" i="15"/>
  <c r="Y234" i="15"/>
  <c r="Y223" i="15"/>
  <c r="Y224" i="15"/>
  <c r="Z142" i="15"/>
  <c r="Z215" i="15"/>
  <c r="Z236" i="15"/>
  <c r="Z140" i="15"/>
  <c r="Y118" i="15"/>
  <c r="Y220" i="15"/>
  <c r="Y143" i="15"/>
  <c r="Y221" i="15"/>
  <c r="Y242" i="15"/>
  <c r="Z25" i="15"/>
  <c r="Z116" i="15"/>
  <c r="AB107" i="15"/>
  <c r="AB134" i="15"/>
  <c r="AC109" i="15"/>
  <c r="AC136" i="15"/>
  <c r="AA115" i="15"/>
  <c r="AA214" i="15"/>
  <c r="AA131" i="15"/>
  <c r="AA113" i="15"/>
  <c r="AA45" i="15"/>
  <c r="AA51" i="15"/>
  <c r="Z235" i="15"/>
  <c r="AB108" i="15"/>
  <c r="AB135" i="15"/>
  <c r="AB105" i="15"/>
  <c r="AB132" i="15"/>
  <c r="AB44" i="15"/>
  <c r="AB104" i="15"/>
  <c r="AB112" i="15"/>
  <c r="AB139" i="15"/>
  <c r="Y50" i="15"/>
  <c r="Y56" i="15"/>
  <c r="Y57" i="15"/>
  <c r="Y65" i="15"/>
  <c r="Y67" i="15"/>
  <c r="Y68" i="15"/>
  <c r="Y96" i="15"/>
  <c r="Y85" i="15"/>
  <c r="Y145" i="15"/>
  <c r="Y179" i="15"/>
  <c r="Y182" i="15"/>
  <c r="Q19" i="5"/>
  <c r="AB131" i="15"/>
  <c r="AB115" i="15"/>
  <c r="AB214" i="15"/>
  <c r="AB113" i="15"/>
  <c r="AC105" i="15"/>
  <c r="AC132" i="15"/>
  <c r="AB45" i="15"/>
  <c r="AB51" i="15"/>
  <c r="AD109" i="15"/>
  <c r="AD136" i="15"/>
  <c r="AC107" i="15"/>
  <c r="AC134" i="15"/>
  <c r="AA142" i="15"/>
  <c r="AA215" i="15"/>
  <c r="AA236" i="15"/>
  <c r="AA140" i="15"/>
  <c r="AC44" i="15"/>
  <c r="AC104" i="15"/>
  <c r="AC108" i="15"/>
  <c r="AC135" i="15"/>
  <c r="Y245" i="15"/>
  <c r="Y244" i="15"/>
  <c r="Z213" i="15"/>
  <c r="AA235" i="15"/>
  <c r="AC112" i="15"/>
  <c r="AC139" i="15"/>
  <c r="Z143" i="15"/>
  <c r="Z117" i="15"/>
  <c r="Z144" i="15"/>
  <c r="Y219" i="15"/>
  <c r="Y241" i="15"/>
  <c r="Y119" i="15"/>
  <c r="Y180" i="15"/>
  <c r="Y183" i="15"/>
  <c r="Q17" i="5"/>
  <c r="AD110" i="15"/>
  <c r="AD137" i="15"/>
  <c r="AA25" i="15"/>
  <c r="AA116" i="15"/>
  <c r="AA117" i="15"/>
  <c r="AA144" i="15"/>
  <c r="Y146" i="15"/>
  <c r="Y181" i="15"/>
  <c r="Y184" i="15"/>
  <c r="Q18" i="5"/>
  <c r="Z118" i="15"/>
  <c r="Z119" i="15"/>
  <c r="Z180" i="15"/>
  <c r="Z183" i="15"/>
  <c r="Y240" i="15"/>
  <c r="Y222" i="15"/>
  <c r="Y243" i="15"/>
  <c r="Z221" i="15"/>
  <c r="Z242" i="15"/>
  <c r="AE110" i="15"/>
  <c r="AE137" i="15"/>
  <c r="AC131" i="15"/>
  <c r="AC115" i="15"/>
  <c r="AC214" i="15"/>
  <c r="AC113" i="15"/>
  <c r="AD44" i="15"/>
  <c r="AD104" i="15"/>
  <c r="AE109" i="15"/>
  <c r="AE136" i="15"/>
  <c r="Z220" i="15"/>
  <c r="AD107" i="15"/>
  <c r="AD134" i="15"/>
  <c r="AD108" i="15"/>
  <c r="AD135" i="15"/>
  <c r="AB235" i="15"/>
  <c r="AD105" i="15"/>
  <c r="AD132" i="15"/>
  <c r="AB116" i="15"/>
  <c r="AB25" i="15"/>
  <c r="AB117" i="15"/>
  <c r="AB144" i="15"/>
  <c r="AA213" i="15"/>
  <c r="Z223" i="15"/>
  <c r="Z234" i="15"/>
  <c r="Z224" i="15"/>
  <c r="AC45" i="15"/>
  <c r="AC51" i="15"/>
  <c r="AB142" i="15"/>
  <c r="AB215" i="15"/>
  <c r="AB236" i="15"/>
  <c r="AB140" i="15"/>
  <c r="AA220" i="15"/>
  <c r="AA143" i="15"/>
  <c r="AA221" i="15"/>
  <c r="AA242" i="15"/>
  <c r="Z50" i="15"/>
  <c r="Z56" i="15"/>
  <c r="Z84" i="15"/>
  <c r="Z65" i="15"/>
  <c r="Z67" i="15"/>
  <c r="Z68" i="15"/>
  <c r="Z85" i="15"/>
  <c r="Z57" i="15"/>
  <c r="Z145" i="15"/>
  <c r="AD112" i="15"/>
  <c r="AD139" i="15"/>
  <c r="AA118" i="15"/>
  <c r="AB118" i="15"/>
  <c r="AB180" i="15"/>
  <c r="AB183" i="15"/>
  <c r="AA234" i="15"/>
  <c r="AA224" i="15"/>
  <c r="AA223" i="15"/>
  <c r="AE44" i="15"/>
  <c r="AE104" i="15"/>
  <c r="AC142" i="15"/>
  <c r="AC215" i="15"/>
  <c r="AC236" i="15"/>
  <c r="AC140" i="15"/>
  <c r="AA65" i="15"/>
  <c r="AA67" i="15"/>
  <c r="AA68" i="15"/>
  <c r="AA56" i="15"/>
  <c r="AA50" i="15"/>
  <c r="AA84" i="15"/>
  <c r="AA57" i="15"/>
  <c r="AA85" i="15"/>
  <c r="Z96" i="15"/>
  <c r="AA241" i="15"/>
  <c r="AA219" i="15"/>
  <c r="AA240" i="15"/>
  <c r="AA180" i="15"/>
  <c r="AA183" i="15"/>
  <c r="AA119" i="15"/>
  <c r="AA145" i="15"/>
  <c r="Z245" i="15"/>
  <c r="Z244" i="15"/>
  <c r="AB213" i="15"/>
  <c r="AG110" i="15"/>
  <c r="AG137" i="15"/>
  <c r="Z241" i="15"/>
  <c r="Z219" i="15"/>
  <c r="AE105" i="15"/>
  <c r="AE132" i="15"/>
  <c r="AD131" i="15"/>
  <c r="AD115" i="15"/>
  <c r="AD214" i="15"/>
  <c r="AD113" i="15"/>
  <c r="AE108" i="15"/>
  <c r="AE135" i="15"/>
  <c r="Z146" i="15"/>
  <c r="Z181" i="15"/>
  <c r="Z184" i="15"/>
  <c r="AG109" i="15"/>
  <c r="AG136" i="15"/>
  <c r="AD51" i="15"/>
  <c r="AD45" i="15"/>
  <c r="AE112" i="15"/>
  <c r="AE139" i="15"/>
  <c r="AB143" i="15"/>
  <c r="AB221" i="15"/>
  <c r="AB242" i="15"/>
  <c r="AB220" i="15"/>
  <c r="AF109" i="15"/>
  <c r="AF136" i="15"/>
  <c r="AC25" i="15"/>
  <c r="AC116" i="15"/>
  <c r="AF110" i="15"/>
  <c r="AF137" i="15"/>
  <c r="AC235" i="15"/>
  <c r="AE107" i="15"/>
  <c r="AE134" i="15"/>
  <c r="Z179" i="15"/>
  <c r="Z182" i="15"/>
  <c r="AB119" i="15"/>
  <c r="AC213" i="15"/>
  <c r="AC234" i="15"/>
  <c r="AA96" i="15"/>
  <c r="AA222" i="15"/>
  <c r="AA243" i="15"/>
  <c r="AB241" i="15"/>
  <c r="AB219" i="15"/>
  <c r="AB240" i="15"/>
  <c r="AG107" i="15"/>
  <c r="AG134" i="15"/>
  <c r="AA181" i="15"/>
  <c r="AA184" i="15"/>
  <c r="AA146" i="15"/>
  <c r="AF107" i="15"/>
  <c r="AF134" i="15"/>
  <c r="AD235" i="15"/>
  <c r="AD116" i="15"/>
  <c r="AD25" i="15"/>
  <c r="AD117" i="15"/>
  <c r="AD144" i="15"/>
  <c r="AE115" i="15"/>
  <c r="AE214" i="15"/>
  <c r="AE131" i="15"/>
  <c r="AE113" i="15"/>
  <c r="AC117" i="15"/>
  <c r="AC220" i="15"/>
  <c r="AD142" i="15"/>
  <c r="AD215" i="15"/>
  <c r="AD236" i="15"/>
  <c r="AD140" i="15"/>
  <c r="Z240" i="15"/>
  <c r="Z222" i="15"/>
  <c r="Z243" i="15"/>
  <c r="AB223" i="15"/>
  <c r="AB224" i="15"/>
  <c r="AB234" i="15"/>
  <c r="AB65" i="15"/>
  <c r="AB67" i="15"/>
  <c r="AB68" i="15"/>
  <c r="AB84" i="15"/>
  <c r="AB56" i="15"/>
  <c r="AB50" i="15"/>
  <c r="AB57" i="15"/>
  <c r="AB85" i="15"/>
  <c r="AA179" i="15"/>
  <c r="AA182" i="15"/>
  <c r="AF112" i="15"/>
  <c r="AF139" i="15"/>
  <c r="AG108" i="15"/>
  <c r="AG135" i="15"/>
  <c r="AF105" i="15"/>
  <c r="AF132" i="15"/>
  <c r="AC143" i="15"/>
  <c r="AB145" i="15"/>
  <c r="AF44" i="15"/>
  <c r="AF104" i="15"/>
  <c r="AG112" i="15"/>
  <c r="AG139" i="15"/>
  <c r="AF108" i="15"/>
  <c r="AF135" i="15"/>
  <c r="AG105" i="15"/>
  <c r="AG132" i="15"/>
  <c r="AE45" i="15"/>
  <c r="AE51" i="15"/>
  <c r="AA244" i="15"/>
  <c r="AA245" i="15"/>
  <c r="AC223" i="15"/>
  <c r="AC224" i="15"/>
  <c r="AC241" i="15"/>
  <c r="AF115" i="15"/>
  <c r="AF214" i="15"/>
  <c r="AF131" i="15"/>
  <c r="AF113" i="15"/>
  <c r="AG44" i="15"/>
  <c r="AG104" i="15"/>
  <c r="AD220" i="15"/>
  <c r="AD143" i="15"/>
  <c r="AD221" i="15"/>
  <c r="AD242" i="15"/>
  <c r="AD118" i="15"/>
  <c r="AF51" i="15"/>
  <c r="AF45" i="15"/>
  <c r="AC244" i="15"/>
  <c r="AC245" i="15"/>
  <c r="AB96" i="15"/>
  <c r="AB244" i="15"/>
  <c r="AB245" i="15"/>
  <c r="AB181" i="15"/>
  <c r="AB184" i="15"/>
  <c r="AB146" i="15"/>
  <c r="AB179" i="15"/>
  <c r="AB182" i="15"/>
  <c r="AE25" i="15"/>
  <c r="AE116" i="15"/>
  <c r="AB222" i="15"/>
  <c r="AB243" i="15"/>
  <c r="AC50" i="15"/>
  <c r="AC65" i="15"/>
  <c r="AC67" i="15"/>
  <c r="AC68" i="15"/>
  <c r="AC84" i="15"/>
  <c r="AC56" i="15"/>
  <c r="AC57" i="15"/>
  <c r="AC85" i="15"/>
  <c r="AE235" i="15"/>
  <c r="AD213" i="15"/>
  <c r="AC144" i="15"/>
  <c r="AC145" i="15"/>
  <c r="AC118" i="15"/>
  <c r="AE142" i="15"/>
  <c r="AE215" i="15"/>
  <c r="AE236" i="15"/>
  <c r="AE140" i="15"/>
  <c r="AC221" i="15"/>
  <c r="AC242" i="15"/>
  <c r="AC96" i="15"/>
  <c r="AE143" i="15"/>
  <c r="AD219" i="15"/>
  <c r="AD240" i="15"/>
  <c r="AD241" i="15"/>
  <c r="AD145" i="15"/>
  <c r="AC119" i="15"/>
  <c r="AC179" i="15"/>
  <c r="AC182" i="15"/>
  <c r="AC180" i="15"/>
  <c r="AC183" i="15"/>
  <c r="AD224" i="15"/>
  <c r="AD234" i="15"/>
  <c r="AD222" i="15"/>
  <c r="AD243" i="15"/>
  <c r="AD223" i="15"/>
  <c r="AE213" i="15"/>
  <c r="AD56" i="15"/>
  <c r="AD65" i="15"/>
  <c r="AD67" i="15"/>
  <c r="AD68" i="15"/>
  <c r="AD84" i="15"/>
  <c r="AD50" i="15"/>
  <c r="AD85" i="15"/>
  <c r="AD57" i="15"/>
  <c r="AF25" i="15"/>
  <c r="AF116" i="15"/>
  <c r="AG45" i="15"/>
  <c r="AG51" i="15"/>
  <c r="AH51" i="15"/>
  <c r="AF142" i="15"/>
  <c r="AF215" i="15"/>
  <c r="AF236" i="15"/>
  <c r="AF140" i="15"/>
  <c r="AD119" i="15"/>
  <c r="AD179" i="15"/>
  <c r="AD182" i="15"/>
  <c r="AD180" i="15"/>
  <c r="AD183" i="15"/>
  <c r="AG115" i="15"/>
  <c r="AG214" i="15"/>
  <c r="AG131" i="15"/>
  <c r="AG113" i="15"/>
  <c r="AC146" i="15"/>
  <c r="AC181" i="15"/>
  <c r="AC184" i="15"/>
  <c r="AE117" i="15"/>
  <c r="AE144" i="15"/>
  <c r="AE145" i="15"/>
  <c r="AF235" i="15"/>
  <c r="AC219" i="15"/>
  <c r="AC222" i="15"/>
  <c r="AC243" i="15"/>
  <c r="AF213" i="15"/>
  <c r="AF234" i="15"/>
  <c r="AE181" i="15"/>
  <c r="AE184" i="15"/>
  <c r="AE146" i="15"/>
  <c r="AD96" i="15"/>
  <c r="AE220" i="15"/>
  <c r="AG142" i="15"/>
  <c r="AG215" i="15"/>
  <c r="AG236" i="15"/>
  <c r="AG140" i="15"/>
  <c r="AE118" i="15"/>
  <c r="AG235" i="15"/>
  <c r="AF117" i="15"/>
  <c r="AF220" i="15"/>
  <c r="AD244" i="15"/>
  <c r="AD245" i="15"/>
  <c r="AD181" i="15"/>
  <c r="AD184" i="15"/>
  <c r="AD146" i="15"/>
  <c r="AG25" i="15"/>
  <c r="AG116" i="15"/>
  <c r="AG117" i="15"/>
  <c r="AG144" i="15"/>
  <c r="AE50" i="15"/>
  <c r="AE84" i="15"/>
  <c r="AE65" i="15"/>
  <c r="AE67" i="15"/>
  <c r="AE68" i="15"/>
  <c r="AE56" i="15"/>
  <c r="AE57" i="15"/>
  <c r="AE85" i="15"/>
  <c r="AF143" i="15"/>
  <c r="AE224" i="15"/>
  <c r="AE234" i="15"/>
  <c r="AE223" i="15"/>
  <c r="AE221" i="15"/>
  <c r="AE242" i="15"/>
  <c r="AF223" i="15"/>
  <c r="AC240" i="15"/>
  <c r="AF224" i="15"/>
  <c r="AG50" i="15"/>
  <c r="AG213" i="15"/>
  <c r="AG234" i="15"/>
  <c r="AE245" i="15"/>
  <c r="AE244" i="15"/>
  <c r="AG143" i="15"/>
  <c r="AG221" i="15"/>
  <c r="AG242" i="15"/>
  <c r="AG220" i="15"/>
  <c r="AF245" i="15"/>
  <c r="AF244" i="15"/>
  <c r="AF144" i="15"/>
  <c r="AF221" i="15"/>
  <c r="AF118" i="15"/>
  <c r="AE179" i="15"/>
  <c r="AE182" i="15"/>
  <c r="AE180" i="15"/>
  <c r="AE183" i="15"/>
  <c r="AE119" i="15"/>
  <c r="AG118" i="15"/>
  <c r="AE241" i="15"/>
  <c r="AE219" i="15"/>
  <c r="AG84" i="15"/>
  <c r="AF56" i="15"/>
  <c r="AF50" i="15"/>
  <c r="AF84" i="15"/>
  <c r="AF65" i="15"/>
  <c r="AF67" i="15"/>
  <c r="AF68" i="15"/>
  <c r="AF57" i="15"/>
  <c r="AF85" i="15"/>
  <c r="AF241" i="15"/>
  <c r="AE96" i="15"/>
  <c r="AG85" i="15"/>
  <c r="AG65" i="15"/>
  <c r="AG67" i="15"/>
  <c r="AG68" i="15"/>
  <c r="AG56" i="15"/>
  <c r="AG57" i="15"/>
  <c r="AG224" i="15"/>
  <c r="AG223" i="15"/>
  <c r="AF242" i="15"/>
  <c r="AF219" i="15"/>
  <c r="AG119" i="15"/>
  <c r="AG180" i="15"/>
  <c r="AG183" i="15"/>
  <c r="AF119" i="15"/>
  <c r="AF180" i="15"/>
  <c r="AF183" i="15"/>
  <c r="AG241" i="15"/>
  <c r="AG219" i="15"/>
  <c r="AF145" i="15"/>
  <c r="AF179" i="15"/>
  <c r="AF182" i="15"/>
  <c r="AG145" i="15"/>
  <c r="AG179" i="15"/>
  <c r="AG182" i="15"/>
  <c r="AG244" i="15"/>
  <c r="AG245" i="15"/>
  <c r="AF96" i="15"/>
  <c r="AE240" i="15"/>
  <c r="AE222" i="15"/>
  <c r="AE243" i="15"/>
  <c r="AH96" i="15"/>
  <c r="AH68" i="15"/>
  <c r="AG240" i="15"/>
  <c r="AG222" i="15"/>
  <c r="AG243" i="15"/>
  <c r="AF240" i="15"/>
  <c r="AF222" i="15"/>
  <c r="AF243" i="15"/>
  <c r="AG146" i="15"/>
  <c r="AG181" i="15"/>
  <c r="AG184" i="15"/>
  <c r="AF181" i="15"/>
  <c r="AF184" i="15"/>
  <c r="AF146" i="15"/>
  <c r="N57" i="15"/>
  <c r="O32" i="15"/>
  <c r="P32" i="15"/>
  <c r="R18" i="15"/>
  <c r="S18" i="15"/>
  <c r="S32" i="15"/>
  <c r="R32" i="15"/>
  <c r="Q32" i="15"/>
  <c r="AG96" i="15"/>
  <c r="N103" i="15"/>
  <c r="N130" i="15"/>
  <c r="S103" i="15"/>
  <c r="S130" i="15"/>
  <c r="Q103" i="15"/>
  <c r="Q130" i="15"/>
  <c r="T18" i="15"/>
  <c r="R103" i="15"/>
  <c r="R130" i="15"/>
  <c r="P103" i="15"/>
  <c r="P130" i="15"/>
  <c r="O103" i="15"/>
  <c r="O130" i="15"/>
  <c r="G18" i="15"/>
  <c r="G32" i="15"/>
  <c r="U18" i="15"/>
  <c r="T32" i="15"/>
  <c r="U32" i="15"/>
  <c r="V18" i="15"/>
  <c r="F103" i="15"/>
  <c r="F130" i="15"/>
  <c r="T103" i="15"/>
  <c r="T130" i="15"/>
  <c r="G103" i="15"/>
  <c r="G130" i="15"/>
  <c r="V32" i="15"/>
  <c r="W18" i="15"/>
  <c r="W32" i="15"/>
  <c r="U103" i="15"/>
  <c r="U130" i="15"/>
  <c r="W103" i="15"/>
  <c r="W130" i="15"/>
  <c r="V103" i="15"/>
  <c r="V130" i="15"/>
  <c r="H101" i="15"/>
  <c r="H128" i="15"/>
  <c r="H114" i="15"/>
  <c r="H217" i="15"/>
  <c r="H141" i="15"/>
  <c r="H218" i="15"/>
  <c r="H239" i="15"/>
  <c r="H238" i="15"/>
  <c r="H216" i="15"/>
  <c r="H237" i="15"/>
  <c r="J32" i="15"/>
  <c r="L32" i="15"/>
  <c r="K32" i="15"/>
  <c r="K103" i="15"/>
  <c r="I32" i="15"/>
  <c r="I103" i="15"/>
  <c r="I130" i="15"/>
  <c r="K130" i="15"/>
  <c r="L103" i="15"/>
  <c r="M32" i="15"/>
  <c r="J103" i="15"/>
  <c r="L130" i="15"/>
  <c r="J130" i="15"/>
  <c r="M103" i="15"/>
  <c r="M130" i="15"/>
  <c r="O24" i="15"/>
  <c r="O30" i="15"/>
  <c r="I24" i="15"/>
  <c r="J24" i="15"/>
  <c r="I30" i="15"/>
  <c r="P24" i="15"/>
  <c r="O101" i="15"/>
  <c r="K24" i="15"/>
  <c r="J30" i="15"/>
  <c r="N117" i="15"/>
  <c r="N144" i="15"/>
  <c r="N101" i="15"/>
  <c r="I101" i="15"/>
  <c r="Q24" i="15"/>
  <c r="P30" i="15"/>
  <c r="P101" i="15"/>
  <c r="P114" i="15"/>
  <c r="P217" i="15"/>
  <c r="O114" i="15"/>
  <c r="O217" i="15"/>
  <c r="O128" i="15"/>
  <c r="N116" i="15"/>
  <c r="N114" i="15"/>
  <c r="N217" i="15"/>
  <c r="N113" i="15"/>
  <c r="N128" i="15"/>
  <c r="P128" i="15"/>
  <c r="J101" i="15"/>
  <c r="G24" i="15"/>
  <c r="G30" i="15"/>
  <c r="D114" i="15"/>
  <c r="D217" i="15"/>
  <c r="N25" i="15"/>
  <c r="K30" i="15"/>
  <c r="L24" i="15"/>
  <c r="N118" i="15"/>
  <c r="N180" i="15"/>
  <c r="N183" i="15"/>
  <c r="N17" i="5"/>
  <c r="Q30" i="15"/>
  <c r="Q101" i="15"/>
  <c r="R24" i="15"/>
  <c r="I128" i="15"/>
  <c r="I114" i="15"/>
  <c r="I217" i="15"/>
  <c r="I238" i="15"/>
  <c r="K101" i="15"/>
  <c r="D238" i="15"/>
  <c r="P141" i="15"/>
  <c r="P218" i="15"/>
  <c r="P239" i="15"/>
  <c r="N88" i="15"/>
  <c r="N84" i="15"/>
  <c r="N85" i="15"/>
  <c r="N50" i="15"/>
  <c r="E34" i="5"/>
  <c r="E37" i="5"/>
  <c r="C37" i="5"/>
  <c r="E114" i="15"/>
  <c r="E217" i="15"/>
  <c r="M24" i="15"/>
  <c r="M30" i="15"/>
  <c r="L30" i="15"/>
  <c r="G101" i="15"/>
  <c r="N238" i="15"/>
  <c r="N143" i="15"/>
  <c r="N221" i="15"/>
  <c r="N242" i="15"/>
  <c r="N220" i="15"/>
  <c r="J128" i="15"/>
  <c r="J114" i="15"/>
  <c r="J217" i="15"/>
  <c r="N141" i="15"/>
  <c r="N218" i="15"/>
  <c r="N239" i="15"/>
  <c r="N140" i="15"/>
  <c r="O238" i="15"/>
  <c r="D141" i="15"/>
  <c r="D218" i="15"/>
  <c r="D239" i="15"/>
  <c r="F101" i="15"/>
  <c r="P216" i="15"/>
  <c r="P237" i="15"/>
  <c r="P238" i="15"/>
  <c r="Q114" i="15"/>
  <c r="Q217" i="15"/>
  <c r="Q128" i="15"/>
  <c r="O141" i="15"/>
  <c r="O218" i="15"/>
  <c r="O239" i="15"/>
  <c r="N119" i="15"/>
  <c r="D216" i="15"/>
  <c r="S24" i="15"/>
  <c r="R30" i="15"/>
  <c r="R101" i="15"/>
  <c r="R114" i="15"/>
  <c r="R217" i="15"/>
  <c r="I141" i="15"/>
  <c r="I218" i="15"/>
  <c r="I239" i="15"/>
  <c r="N145" i="15"/>
  <c r="N179" i="15"/>
  <c r="N182" i="15"/>
  <c r="N19" i="5"/>
  <c r="N241" i="15"/>
  <c r="N219" i="15"/>
  <c r="N240" i="15"/>
  <c r="D237" i="15"/>
  <c r="K128" i="15"/>
  <c r="K114" i="15"/>
  <c r="K217" i="15"/>
  <c r="G114" i="15"/>
  <c r="G217" i="15"/>
  <c r="G128" i="15"/>
  <c r="M101" i="15"/>
  <c r="N95" i="15"/>
  <c r="L101" i="15"/>
  <c r="E141" i="15"/>
  <c r="E218" i="15"/>
  <c r="E239" i="15"/>
  <c r="Q141" i="15"/>
  <c r="Q218" i="15"/>
  <c r="Q239" i="15"/>
  <c r="Q238" i="15"/>
  <c r="O216" i="15"/>
  <c r="O237" i="15"/>
  <c r="J238" i="15"/>
  <c r="N216" i="15"/>
  <c r="F128" i="15"/>
  <c r="F114" i="15"/>
  <c r="F217" i="15"/>
  <c r="N181" i="15"/>
  <c r="N184" i="15"/>
  <c r="N18" i="5"/>
  <c r="J141" i="15"/>
  <c r="J218" i="15"/>
  <c r="J239" i="15"/>
  <c r="E238" i="15"/>
  <c r="C38" i="5"/>
  <c r="C41" i="5"/>
  <c r="H37" i="5"/>
  <c r="N146" i="15"/>
  <c r="I216" i="15"/>
  <c r="I237" i="15"/>
  <c r="R128" i="15"/>
  <c r="Q216" i="15"/>
  <c r="Q237" i="15"/>
  <c r="J216" i="15"/>
  <c r="J237" i="15"/>
  <c r="S30" i="15"/>
  <c r="S101" i="15"/>
  <c r="S114" i="15"/>
  <c r="S217" i="15"/>
  <c r="S27" i="15"/>
  <c r="T24" i="15"/>
  <c r="K141" i="15"/>
  <c r="K218" i="15"/>
  <c r="K239" i="15"/>
  <c r="R238" i="15"/>
  <c r="F141" i="15"/>
  <c r="F218" i="15"/>
  <c r="F239" i="15"/>
  <c r="N224" i="15"/>
  <c r="N222" i="15"/>
  <c r="N243" i="15"/>
  <c r="N237" i="15"/>
  <c r="N245" i="15"/>
  <c r="M128" i="15"/>
  <c r="M114" i="15"/>
  <c r="M217" i="15"/>
  <c r="G238" i="15"/>
  <c r="E216" i="15"/>
  <c r="L128" i="15"/>
  <c r="L114" i="15"/>
  <c r="L217" i="15"/>
  <c r="R141" i="15"/>
  <c r="R218" i="15"/>
  <c r="R239" i="15"/>
  <c r="F238" i="15"/>
  <c r="G141" i="15"/>
  <c r="G218" i="15"/>
  <c r="G239" i="15"/>
  <c r="K238" i="15"/>
  <c r="K216" i="15"/>
  <c r="S128" i="15"/>
  <c r="S141" i="15"/>
  <c r="S218" i="15"/>
  <c r="S239" i="15"/>
  <c r="T30" i="15"/>
  <c r="T101" i="15"/>
  <c r="T128" i="15"/>
  <c r="U24" i="15"/>
  <c r="L141" i="15"/>
  <c r="L218" i="15"/>
  <c r="L239" i="15"/>
  <c r="G216" i="15"/>
  <c r="M238" i="15"/>
  <c r="L238" i="15"/>
  <c r="M141" i="15"/>
  <c r="M218" i="15"/>
  <c r="M239" i="15"/>
  <c r="R216" i="15"/>
  <c r="R237" i="15"/>
  <c r="F216" i="15"/>
  <c r="S238" i="15"/>
  <c r="E237" i="15"/>
  <c r="T114" i="15"/>
  <c r="T217" i="15"/>
  <c r="K237" i="15"/>
  <c r="L216" i="15"/>
  <c r="V24" i="15"/>
  <c r="U30" i="15"/>
  <c r="U101" i="15"/>
  <c r="U114" i="15"/>
  <c r="U217" i="15"/>
  <c r="S216" i="15"/>
  <c r="S237" i="15"/>
  <c r="M216" i="15"/>
  <c r="F237" i="15"/>
  <c r="T238" i="15"/>
  <c r="T141" i="15"/>
  <c r="T218" i="15"/>
  <c r="T239" i="15"/>
  <c r="L237" i="15"/>
  <c r="G237" i="15"/>
  <c r="U128" i="15"/>
  <c r="U141" i="15"/>
  <c r="U218" i="15"/>
  <c r="U239" i="15"/>
  <c r="V30" i="15"/>
  <c r="V101" i="15"/>
  <c r="V114" i="15"/>
  <c r="V217" i="15"/>
  <c r="W24" i="15"/>
  <c r="W30" i="15"/>
  <c r="W101" i="15"/>
  <c r="W128" i="15"/>
  <c r="T216" i="15"/>
  <c r="T237" i="15"/>
  <c r="U238" i="15"/>
  <c r="M237" i="15"/>
  <c r="V128" i="15"/>
  <c r="W114" i="15"/>
  <c r="W217" i="15"/>
  <c r="W238" i="15"/>
  <c r="U216" i="15"/>
  <c r="U237" i="15"/>
  <c r="V141" i="15"/>
  <c r="V218" i="15"/>
  <c r="V239" i="15"/>
  <c r="W141" i="15"/>
  <c r="W218" i="15"/>
  <c r="W239" i="15"/>
  <c r="V238" i="15"/>
  <c r="W216" i="15"/>
  <c r="W237" i="15"/>
  <c r="V216" i="15"/>
  <c r="V237" i="15"/>
  <c r="H105" i="15"/>
  <c r="H132" i="15"/>
  <c r="H109" i="15"/>
  <c r="H136" i="15"/>
  <c r="H110" i="15"/>
  <c r="H137" i="15"/>
  <c r="H112" i="15"/>
  <c r="H139" i="15"/>
  <c r="H107" i="15"/>
  <c r="H134" i="15"/>
  <c r="H67" i="15"/>
  <c r="H44" i="15"/>
  <c r="H45" i="15"/>
  <c r="H104" i="15"/>
  <c r="H116" i="15"/>
  <c r="H117" i="15"/>
  <c r="H144" i="15"/>
  <c r="H115" i="15"/>
  <c r="H214" i="15"/>
  <c r="H131" i="15"/>
  <c r="H143" i="15"/>
  <c r="H221" i="15"/>
  <c r="H242" i="15"/>
  <c r="H220" i="15"/>
  <c r="H241" i="15"/>
  <c r="H235" i="15"/>
  <c r="H142" i="15"/>
  <c r="H215" i="15"/>
  <c r="H236" i="15"/>
  <c r="H88" i="15"/>
  <c r="H56" i="15"/>
  <c r="H84" i="15"/>
  <c r="H219" i="15"/>
  <c r="H240" i="15"/>
  <c r="H85" i="15"/>
  <c r="H50" i="15"/>
  <c r="H57" i="15"/>
  <c r="H146" i="15"/>
  <c r="H181" i="15"/>
  <c r="H184" i="15"/>
  <c r="H213" i="15"/>
  <c r="H119" i="15"/>
  <c r="H180" i="15"/>
  <c r="H183" i="15"/>
  <c r="H95" i="15"/>
  <c r="H16" i="15"/>
  <c r="H19" i="15"/>
  <c r="H21" i="15"/>
  <c r="H223" i="15"/>
  <c r="H234" i="15"/>
  <c r="H222" i="15"/>
  <c r="H243" i="15"/>
  <c r="H224" i="15"/>
  <c r="H244" i="15"/>
  <c r="H245" i="15"/>
  <c r="G63" i="15"/>
  <c r="G39" i="15"/>
  <c r="I37" i="15"/>
  <c r="I39" i="15"/>
  <c r="K38" i="15"/>
  <c r="I42" i="15"/>
  <c r="I35" i="15"/>
  <c r="I34" i="15"/>
  <c r="I38" i="15"/>
  <c r="J38" i="15"/>
  <c r="J108" i="15"/>
  <c r="J135" i="15"/>
  <c r="I104" i="15"/>
  <c r="J35" i="15"/>
  <c r="J42" i="15"/>
  <c r="L38" i="15"/>
  <c r="K108" i="15"/>
  <c r="K135" i="15"/>
  <c r="J39" i="15"/>
  <c r="I108" i="15"/>
  <c r="I135" i="15"/>
  <c r="I105" i="15"/>
  <c r="I132" i="15"/>
  <c r="I112" i="15"/>
  <c r="I139" i="15"/>
  <c r="I109" i="15"/>
  <c r="I136" i="15"/>
  <c r="G109" i="15"/>
  <c r="G136" i="15"/>
  <c r="F109" i="15"/>
  <c r="F136" i="15"/>
  <c r="I107" i="15"/>
  <c r="I134" i="15"/>
  <c r="F108" i="15"/>
  <c r="F135" i="15"/>
  <c r="G62" i="15"/>
  <c r="G38" i="15"/>
  <c r="G108" i="15"/>
  <c r="G135" i="15"/>
  <c r="J37" i="15"/>
  <c r="J107" i="15"/>
  <c r="J134" i="15"/>
  <c r="G66" i="15"/>
  <c r="G42" i="15"/>
  <c r="J105" i="15"/>
  <c r="J132" i="15"/>
  <c r="J34" i="15"/>
  <c r="K39" i="15"/>
  <c r="M38" i="15"/>
  <c r="K42" i="15"/>
  <c r="K35" i="15"/>
  <c r="J112" i="15"/>
  <c r="J139" i="15"/>
  <c r="I131" i="15"/>
  <c r="J109" i="15"/>
  <c r="J136" i="15"/>
  <c r="L108" i="15"/>
  <c r="L135" i="15"/>
  <c r="K37" i="15"/>
  <c r="K107" i="15"/>
  <c r="K134" i="15"/>
  <c r="J104" i="15"/>
  <c r="G61" i="15"/>
  <c r="G37" i="15"/>
  <c r="K34" i="15"/>
  <c r="G112" i="15"/>
  <c r="G139" i="15"/>
  <c r="K105" i="15"/>
  <c r="K132" i="15"/>
  <c r="L39" i="15"/>
  <c r="F112" i="15"/>
  <c r="F139" i="15"/>
  <c r="K112" i="15"/>
  <c r="K139" i="15"/>
  <c r="M108" i="15"/>
  <c r="M135" i="15"/>
  <c r="G59" i="15"/>
  <c r="G35" i="15"/>
  <c r="G58" i="15"/>
  <c r="L35" i="15"/>
  <c r="L42" i="15"/>
  <c r="K109" i="15"/>
  <c r="K136" i="15"/>
  <c r="L37" i="15"/>
  <c r="L107" i="15"/>
  <c r="L134" i="15"/>
  <c r="L112" i="15"/>
  <c r="L139" i="15"/>
  <c r="G105" i="15"/>
  <c r="G132" i="15"/>
  <c r="M39" i="15"/>
  <c r="K104" i="15"/>
  <c r="M35" i="15"/>
  <c r="L109" i="15"/>
  <c r="L136" i="15"/>
  <c r="F107" i="15"/>
  <c r="F134" i="15"/>
  <c r="F104" i="15"/>
  <c r="L34" i="15"/>
  <c r="O108" i="15"/>
  <c r="O135" i="15"/>
  <c r="G34" i="15"/>
  <c r="J131" i="15"/>
  <c r="M42" i="15"/>
  <c r="L105" i="15"/>
  <c r="L132" i="15"/>
  <c r="F105" i="15"/>
  <c r="F132" i="15"/>
  <c r="G107" i="15"/>
  <c r="G134" i="15"/>
  <c r="M37" i="15"/>
  <c r="M107" i="15"/>
  <c r="M134" i="15"/>
  <c r="M109" i="15"/>
  <c r="M136" i="15"/>
  <c r="P108" i="15"/>
  <c r="P135" i="15"/>
  <c r="M112" i="15"/>
  <c r="M139" i="15"/>
  <c r="M105" i="15"/>
  <c r="M132" i="15"/>
  <c r="G104" i="15"/>
  <c r="M34" i="15"/>
  <c r="L104" i="15"/>
  <c r="F131" i="15"/>
  <c r="K131" i="15"/>
  <c r="O107" i="15"/>
  <c r="O134" i="15"/>
  <c r="O109" i="15"/>
  <c r="O136" i="15"/>
  <c r="L131" i="15"/>
  <c r="O112" i="15"/>
  <c r="O139" i="15"/>
  <c r="Q108" i="15"/>
  <c r="Q135" i="15"/>
  <c r="O105" i="15"/>
  <c r="O132" i="15"/>
  <c r="M104" i="15"/>
  <c r="G131" i="15"/>
  <c r="P107" i="15"/>
  <c r="P134" i="15"/>
  <c r="M131" i="15"/>
  <c r="P105" i="15"/>
  <c r="P132" i="15"/>
  <c r="P109" i="15"/>
  <c r="P136" i="15"/>
  <c r="P112" i="15"/>
  <c r="P139" i="15"/>
  <c r="R108" i="15"/>
  <c r="R135" i="15"/>
  <c r="Q107" i="15"/>
  <c r="Q134" i="15"/>
  <c r="Q109" i="15"/>
  <c r="Q136" i="15"/>
  <c r="Q112" i="15"/>
  <c r="Q139" i="15"/>
  <c r="O104" i="15"/>
  <c r="Q105" i="15"/>
  <c r="Q132" i="15"/>
  <c r="S108" i="15"/>
  <c r="S135" i="15"/>
  <c r="R107" i="15"/>
  <c r="R134" i="15"/>
  <c r="R105" i="15"/>
  <c r="R132" i="15"/>
  <c r="R112" i="15"/>
  <c r="R139" i="15"/>
  <c r="O131" i="15"/>
  <c r="R109" i="15"/>
  <c r="R136" i="15"/>
  <c r="T108" i="15"/>
  <c r="T135" i="15"/>
  <c r="P104" i="15"/>
  <c r="S107" i="15"/>
  <c r="S134" i="15"/>
  <c r="S109" i="15"/>
  <c r="S136" i="15"/>
  <c r="S112" i="15"/>
  <c r="S139" i="15"/>
  <c r="Q104" i="15"/>
  <c r="U108" i="15"/>
  <c r="U135" i="15"/>
  <c r="P131" i="15"/>
  <c r="S105" i="15"/>
  <c r="S132" i="15"/>
  <c r="T107" i="15"/>
  <c r="T134" i="15"/>
  <c r="W108" i="15"/>
  <c r="W135" i="15"/>
  <c r="T112" i="15"/>
  <c r="T139" i="15"/>
  <c r="V108" i="15"/>
  <c r="V135" i="15"/>
  <c r="R104" i="15"/>
  <c r="Q131" i="15"/>
  <c r="T109" i="15"/>
  <c r="T136" i="15"/>
  <c r="T105" i="15"/>
  <c r="T132" i="15"/>
  <c r="U107" i="15"/>
  <c r="U134" i="15"/>
  <c r="R131" i="15"/>
  <c r="U105" i="15"/>
  <c r="U132" i="15"/>
  <c r="U112" i="15"/>
  <c r="U139" i="15"/>
  <c r="U109" i="15"/>
  <c r="U136" i="15"/>
  <c r="S104" i="15"/>
  <c r="W107" i="15"/>
  <c r="W134" i="15"/>
  <c r="V107" i="15"/>
  <c r="V134" i="15"/>
  <c r="W105" i="15"/>
  <c r="W132" i="15"/>
  <c r="W112" i="15"/>
  <c r="W139" i="15"/>
  <c r="T104" i="15"/>
  <c r="V105" i="15"/>
  <c r="V132" i="15"/>
  <c r="S131" i="15"/>
  <c r="W109" i="15"/>
  <c r="W136" i="15"/>
  <c r="V109" i="15"/>
  <c r="V136" i="15"/>
  <c r="V112" i="15"/>
  <c r="V139" i="15"/>
  <c r="AI139" i="15"/>
  <c r="U104" i="15"/>
  <c r="T131" i="15"/>
  <c r="V104" i="15"/>
  <c r="U131" i="15"/>
  <c r="V131" i="15"/>
  <c r="W104" i="15"/>
  <c r="W131" i="15"/>
  <c r="I67" i="15"/>
  <c r="I68" i="15"/>
  <c r="J67" i="15"/>
  <c r="J68" i="15"/>
  <c r="D115" i="15"/>
  <c r="D214" i="15"/>
  <c r="D44" i="15"/>
  <c r="D67" i="15"/>
  <c r="D68" i="15"/>
  <c r="I40" i="15"/>
  <c r="J40" i="15"/>
  <c r="E67" i="15"/>
  <c r="E68" i="15"/>
  <c r="J110" i="15"/>
  <c r="J43" i="15"/>
  <c r="J44" i="15"/>
  <c r="I44" i="15"/>
  <c r="I43" i="15"/>
  <c r="I110" i="15"/>
  <c r="D235" i="15"/>
  <c r="K67" i="15"/>
  <c r="K68" i="15"/>
  <c r="K40" i="15"/>
  <c r="D142" i="15"/>
  <c r="D215" i="15"/>
  <c r="D236" i="15"/>
  <c r="D51" i="15"/>
  <c r="D45" i="15"/>
  <c r="D213" i="15"/>
  <c r="D223" i="15"/>
  <c r="I45" i="15"/>
  <c r="I51" i="15"/>
  <c r="J45" i="15"/>
  <c r="J51" i="15"/>
  <c r="K44" i="15"/>
  <c r="K110" i="15"/>
  <c r="K43" i="15"/>
  <c r="D25" i="15"/>
  <c r="I47" i="15"/>
  <c r="J47" i="15"/>
  <c r="F67" i="15"/>
  <c r="F68" i="15"/>
  <c r="G64" i="15"/>
  <c r="D234" i="15"/>
  <c r="I137" i="15"/>
  <c r="I113" i="15"/>
  <c r="I115" i="15"/>
  <c r="I214" i="15"/>
  <c r="L67" i="15"/>
  <c r="L68" i="15"/>
  <c r="L40" i="15"/>
  <c r="J115" i="15"/>
  <c r="J214" i="15"/>
  <c r="J137" i="15"/>
  <c r="J113" i="15"/>
  <c r="E44" i="15"/>
  <c r="D226" i="15"/>
  <c r="D224" i="15"/>
  <c r="J235" i="15"/>
  <c r="D245" i="15"/>
  <c r="D244" i="15"/>
  <c r="I116" i="15"/>
  <c r="I25" i="15"/>
  <c r="I48" i="15"/>
  <c r="I117" i="15"/>
  <c r="I144" i="15"/>
  <c r="K47" i="15"/>
  <c r="E115" i="15"/>
  <c r="E214" i="15"/>
  <c r="I235" i="15"/>
  <c r="J25" i="15"/>
  <c r="J116" i="15"/>
  <c r="J48" i="15"/>
  <c r="J117" i="15"/>
  <c r="J144" i="15"/>
  <c r="K113" i="15"/>
  <c r="K115" i="15"/>
  <c r="K214" i="15"/>
  <c r="K137" i="15"/>
  <c r="G67" i="15"/>
  <c r="G68" i="15"/>
  <c r="G40" i="15"/>
  <c r="D220" i="15"/>
  <c r="K51" i="15"/>
  <c r="K45" i="15"/>
  <c r="E45" i="15"/>
  <c r="E51" i="15"/>
  <c r="D50" i="15"/>
  <c r="D84" i="15"/>
  <c r="D57" i="15"/>
  <c r="D85" i="15"/>
  <c r="D56" i="15"/>
  <c r="M67" i="15"/>
  <c r="M68" i="15"/>
  <c r="M40" i="15"/>
  <c r="J140" i="15"/>
  <c r="J142" i="15"/>
  <c r="J215" i="15"/>
  <c r="J236" i="15"/>
  <c r="L44" i="15"/>
  <c r="L110" i="15"/>
  <c r="L43" i="15"/>
  <c r="I142" i="15"/>
  <c r="I215" i="15"/>
  <c r="I236" i="15"/>
  <c r="I140" i="15"/>
  <c r="F44" i="15"/>
  <c r="F110" i="15"/>
  <c r="J49" i="15"/>
  <c r="J50" i="15"/>
  <c r="J118" i="15"/>
  <c r="J119" i="15"/>
  <c r="J213" i="15"/>
  <c r="J234" i="15"/>
  <c r="I118" i="15"/>
  <c r="I180" i="15"/>
  <c r="I183" i="15"/>
  <c r="F137" i="15"/>
  <c r="F115" i="15"/>
  <c r="F214" i="15"/>
  <c r="F113" i="15"/>
  <c r="D241" i="15"/>
  <c r="E235" i="15"/>
  <c r="J223" i="15"/>
  <c r="N67" i="15"/>
  <c r="N68" i="15"/>
  <c r="D221" i="15"/>
  <c r="D242" i="15"/>
  <c r="I119" i="15"/>
  <c r="I49" i="15"/>
  <c r="L45" i="15"/>
  <c r="L51" i="15"/>
  <c r="M44" i="15"/>
  <c r="M110" i="15"/>
  <c r="M43" i="15"/>
  <c r="J56" i="15"/>
  <c r="J88" i="15"/>
  <c r="J89" i="15"/>
  <c r="J57" i="15"/>
  <c r="J94" i="15"/>
  <c r="J93" i="15"/>
  <c r="I213" i="15"/>
  <c r="E142" i="15"/>
  <c r="E215" i="15"/>
  <c r="E236" i="15"/>
  <c r="K140" i="15"/>
  <c r="K142" i="15"/>
  <c r="K215" i="15"/>
  <c r="K236" i="15"/>
  <c r="J143" i="15"/>
  <c r="J221" i="15"/>
  <c r="J242" i="15"/>
  <c r="J220" i="15"/>
  <c r="K235" i="15"/>
  <c r="F51" i="15"/>
  <c r="F45" i="15"/>
  <c r="L47" i="15"/>
  <c r="L115" i="15"/>
  <c r="L214" i="15"/>
  <c r="L113" i="15"/>
  <c r="L137" i="15"/>
  <c r="D119" i="15"/>
  <c r="D180" i="15"/>
  <c r="D183" i="15"/>
  <c r="D186" i="15"/>
  <c r="G44" i="15"/>
  <c r="G43" i="15"/>
  <c r="G110" i="15"/>
  <c r="E25" i="15"/>
  <c r="K116" i="15"/>
  <c r="K25" i="15"/>
  <c r="K48" i="15"/>
  <c r="I143" i="15"/>
  <c r="I221" i="15"/>
  <c r="I242" i="15"/>
  <c r="I220" i="15"/>
  <c r="J180" i="15"/>
  <c r="J183" i="15"/>
  <c r="J92" i="15"/>
  <c r="J84" i="15"/>
  <c r="J85" i="15"/>
  <c r="J91" i="15"/>
  <c r="J86" i="15"/>
  <c r="J90" i="15"/>
  <c r="J87" i="15"/>
  <c r="J95" i="15"/>
  <c r="E213" i="15"/>
  <c r="E224" i="15"/>
  <c r="J224" i="15"/>
  <c r="K213" i="15"/>
  <c r="E49" i="15"/>
  <c r="E226" i="15"/>
  <c r="F140" i="15"/>
  <c r="F142" i="15"/>
  <c r="F215" i="15"/>
  <c r="F236" i="15"/>
  <c r="L25" i="15"/>
  <c r="L116" i="15"/>
  <c r="L48" i="15"/>
  <c r="G51" i="15"/>
  <c r="G45" i="15"/>
  <c r="M51" i="15"/>
  <c r="N51" i="15"/>
  <c r="M45" i="15"/>
  <c r="G47" i="15"/>
  <c r="I145" i="15"/>
  <c r="M47" i="15"/>
  <c r="K117" i="15"/>
  <c r="K220" i="15"/>
  <c r="K49" i="15"/>
  <c r="L235" i="15"/>
  <c r="K223" i="15"/>
  <c r="K234" i="15"/>
  <c r="K224" i="15"/>
  <c r="M115" i="15"/>
  <c r="M214" i="15"/>
  <c r="M113" i="15"/>
  <c r="M137" i="15"/>
  <c r="J244" i="15"/>
  <c r="J245" i="15"/>
  <c r="D219" i="15"/>
  <c r="I219" i="15"/>
  <c r="I240" i="15"/>
  <c r="I241" i="15"/>
  <c r="K143" i="15"/>
  <c r="G115" i="15"/>
  <c r="G214" i="15"/>
  <c r="G113" i="15"/>
  <c r="G137" i="15"/>
  <c r="L142" i="15"/>
  <c r="L215" i="15"/>
  <c r="L236" i="15"/>
  <c r="L140" i="15"/>
  <c r="F25" i="15"/>
  <c r="F116" i="15"/>
  <c r="J219" i="15"/>
  <c r="J241" i="15"/>
  <c r="J145" i="15"/>
  <c r="I223" i="15"/>
  <c r="I224" i="15"/>
  <c r="I234" i="15"/>
  <c r="D96" i="15"/>
  <c r="D16" i="15"/>
  <c r="I87" i="15"/>
  <c r="I89" i="15"/>
  <c r="I91" i="15"/>
  <c r="I85" i="15"/>
  <c r="I90" i="15"/>
  <c r="I94" i="15"/>
  <c r="I88" i="15"/>
  <c r="I93" i="15"/>
  <c r="I84" i="15"/>
  <c r="I50" i="15"/>
  <c r="I57" i="15"/>
  <c r="I56" i="15"/>
  <c r="I86" i="15"/>
  <c r="I92" i="15"/>
  <c r="D146" i="15"/>
  <c r="D181" i="15"/>
  <c r="D184" i="15"/>
  <c r="D187" i="15"/>
  <c r="F213" i="15"/>
  <c r="F235" i="15"/>
  <c r="E223" i="15"/>
  <c r="E234" i="15"/>
  <c r="K241" i="15"/>
  <c r="J240" i="15"/>
  <c r="J222" i="15"/>
  <c r="J243" i="15"/>
  <c r="D240" i="15"/>
  <c r="D227" i="15"/>
  <c r="D222" i="15"/>
  <c r="D243" i="15"/>
  <c r="D246" i="15"/>
  <c r="K93" i="15"/>
  <c r="K84" i="15"/>
  <c r="K56" i="15"/>
  <c r="K57" i="15"/>
  <c r="K90" i="15"/>
  <c r="K50" i="15"/>
  <c r="K88" i="15"/>
  <c r="K87" i="15"/>
  <c r="K85" i="15"/>
  <c r="K94" i="15"/>
  <c r="K86" i="15"/>
  <c r="K91" i="15"/>
  <c r="K89" i="15"/>
  <c r="K92" i="15"/>
  <c r="J16" i="15"/>
  <c r="F117" i="15"/>
  <c r="F49" i="15"/>
  <c r="M235" i="15"/>
  <c r="F226" i="15"/>
  <c r="I222" i="15"/>
  <c r="I243" i="15"/>
  <c r="I246" i="15"/>
  <c r="J181" i="15"/>
  <c r="J184" i="15"/>
  <c r="J146" i="15"/>
  <c r="J179" i="15"/>
  <c r="J182" i="15"/>
  <c r="F220" i="15"/>
  <c r="F143" i="15"/>
  <c r="G142" i="15"/>
  <c r="G215" i="15"/>
  <c r="G236" i="15"/>
  <c r="G140" i="15"/>
  <c r="M25" i="15"/>
  <c r="M116" i="15"/>
  <c r="M48" i="15"/>
  <c r="L117" i="15"/>
  <c r="L49" i="15"/>
  <c r="D19" i="15"/>
  <c r="D21" i="15"/>
  <c r="D17" i="15"/>
  <c r="G235" i="15"/>
  <c r="K244" i="15"/>
  <c r="K245" i="15"/>
  <c r="I181" i="15"/>
  <c r="I184" i="15"/>
  <c r="I146" i="15"/>
  <c r="I179" i="15"/>
  <c r="I182" i="15"/>
  <c r="K144" i="15"/>
  <c r="K145" i="15"/>
  <c r="K118" i="15"/>
  <c r="O44" i="15"/>
  <c r="O110" i="15"/>
  <c r="O43" i="15"/>
  <c r="F223" i="15"/>
  <c r="F224" i="15"/>
  <c r="F234" i="15"/>
  <c r="I95" i="15"/>
  <c r="J96" i="15"/>
  <c r="I245" i="15"/>
  <c r="I244" i="15"/>
  <c r="G116" i="15"/>
  <c r="G48" i="15"/>
  <c r="G117" i="15"/>
  <c r="G118" i="15"/>
  <c r="E220" i="15"/>
  <c r="M142" i="15"/>
  <c r="M215" i="15"/>
  <c r="M236" i="15"/>
  <c r="M140" i="15"/>
  <c r="L213" i="15"/>
  <c r="G25" i="15"/>
  <c r="G144" i="15"/>
  <c r="L143" i="15"/>
  <c r="L220" i="15"/>
  <c r="E245" i="15"/>
  <c r="E244" i="15"/>
  <c r="E88" i="15"/>
  <c r="E94" i="15"/>
  <c r="E85" i="15"/>
  <c r="E84" i="15"/>
  <c r="E50" i="15"/>
  <c r="E89" i="15"/>
  <c r="E90" i="15"/>
  <c r="E87" i="15"/>
  <c r="E56" i="15"/>
  <c r="E57" i="15"/>
  <c r="E91" i="15"/>
  <c r="E93" i="15"/>
  <c r="E86" i="15"/>
  <c r="E92" i="15"/>
  <c r="J246" i="15"/>
  <c r="E95" i="15"/>
  <c r="K221" i="15"/>
  <c r="K95" i="15"/>
  <c r="K96" i="15"/>
  <c r="M213" i="15"/>
  <c r="M234" i="15"/>
  <c r="L224" i="15"/>
  <c r="L223" i="15"/>
  <c r="L234" i="15"/>
  <c r="O47" i="15"/>
  <c r="O115" i="15"/>
  <c r="O214" i="15"/>
  <c r="O137" i="15"/>
  <c r="O113" i="15"/>
  <c r="P44" i="15"/>
  <c r="P110" i="15"/>
  <c r="P43" i="15"/>
  <c r="E181" i="15"/>
  <c r="E184" i="15"/>
  <c r="E187" i="15"/>
  <c r="K146" i="15"/>
  <c r="K181" i="15"/>
  <c r="K184" i="15"/>
  <c r="G143" i="15"/>
  <c r="G221" i="15"/>
  <c r="G242" i="15"/>
  <c r="G220" i="15"/>
  <c r="L144" i="15"/>
  <c r="L221" i="15"/>
  <c r="L118" i="15"/>
  <c r="E221" i="15"/>
  <c r="E242" i="15"/>
  <c r="F241" i="15"/>
  <c r="F87" i="15"/>
  <c r="F90" i="15"/>
  <c r="F57" i="15"/>
  <c r="F56" i="15"/>
  <c r="F89" i="15"/>
  <c r="F93" i="15"/>
  <c r="F50" i="15"/>
  <c r="F88" i="15"/>
  <c r="F94" i="15"/>
  <c r="F85" i="15"/>
  <c r="F91" i="15"/>
  <c r="F84" i="15"/>
  <c r="F86" i="15"/>
  <c r="F92" i="15"/>
  <c r="G49" i="15"/>
  <c r="E96" i="15"/>
  <c r="E16" i="15"/>
  <c r="G180" i="15"/>
  <c r="G183" i="15"/>
  <c r="G119" i="15"/>
  <c r="F245" i="15"/>
  <c r="F244" i="15"/>
  <c r="G213" i="15"/>
  <c r="M143" i="15"/>
  <c r="E119" i="15"/>
  <c r="E180" i="15"/>
  <c r="E183" i="15"/>
  <c r="E186" i="15"/>
  <c r="D228" i="15"/>
  <c r="K179" i="15"/>
  <c r="K182" i="15"/>
  <c r="K180" i="15"/>
  <c r="K183" i="15"/>
  <c r="K119" i="15"/>
  <c r="L85" i="15"/>
  <c r="L56" i="15"/>
  <c r="L89" i="15"/>
  <c r="L91" i="15"/>
  <c r="L88" i="15"/>
  <c r="L90" i="15"/>
  <c r="L50" i="15"/>
  <c r="L94" i="15"/>
  <c r="L93" i="15"/>
  <c r="L87" i="15"/>
  <c r="L57" i="15"/>
  <c r="L86" i="15"/>
  <c r="L84" i="15"/>
  <c r="L92" i="15"/>
  <c r="L241" i="15"/>
  <c r="E241" i="15"/>
  <c r="I96" i="15"/>
  <c r="I16" i="15"/>
  <c r="J17" i="15"/>
  <c r="O45" i="15"/>
  <c r="O51" i="15"/>
  <c r="M117" i="15"/>
  <c r="M144" i="15"/>
  <c r="M49" i="15"/>
  <c r="G226" i="15"/>
  <c r="H226" i="15"/>
  <c r="I226" i="15"/>
  <c r="J226" i="15"/>
  <c r="K226" i="15"/>
  <c r="L226" i="15"/>
  <c r="F144" i="15"/>
  <c r="F145" i="15"/>
  <c r="F118" i="15"/>
  <c r="J19" i="15"/>
  <c r="J21" i="15"/>
  <c r="D247" i="15"/>
  <c r="M118" i="15"/>
  <c r="M119" i="15"/>
  <c r="M223" i="15"/>
  <c r="G145" i="15"/>
  <c r="M226" i="15"/>
  <c r="N226" i="15"/>
  <c r="K16" i="15"/>
  <c r="K17" i="15"/>
  <c r="L242" i="15"/>
  <c r="L219" i="15"/>
  <c r="L240" i="15"/>
  <c r="M220" i="15"/>
  <c r="M241" i="15"/>
  <c r="L145" i="15"/>
  <c r="L146" i="15"/>
  <c r="K242" i="15"/>
  <c r="K219" i="15"/>
  <c r="M224" i="15"/>
  <c r="M221" i="15"/>
  <c r="M242" i="15"/>
  <c r="F146" i="15"/>
  <c r="F181" i="15"/>
  <c r="F184" i="15"/>
  <c r="M180" i="15"/>
  <c r="M183" i="15"/>
  <c r="P47" i="15"/>
  <c r="G146" i="15"/>
  <c r="G181" i="15"/>
  <c r="G184" i="15"/>
  <c r="G84" i="15"/>
  <c r="G85" i="15"/>
  <c r="G93" i="15"/>
  <c r="G87" i="15"/>
  <c r="G56" i="15"/>
  <c r="G90" i="15"/>
  <c r="G57" i="15"/>
  <c r="G88" i="15"/>
  <c r="G91" i="15"/>
  <c r="G50" i="15"/>
  <c r="G94" i="15"/>
  <c r="G89" i="15"/>
  <c r="G86" i="15"/>
  <c r="G92" i="15"/>
  <c r="P137" i="15"/>
  <c r="P115" i="15"/>
  <c r="P214" i="15"/>
  <c r="P113" i="15"/>
  <c r="O140" i="15"/>
  <c r="O142" i="15"/>
  <c r="O215" i="15"/>
  <c r="O236" i="15"/>
  <c r="F180" i="15"/>
  <c r="F183" i="15"/>
  <c r="F186" i="15"/>
  <c r="G186" i="15"/>
  <c r="H186" i="15"/>
  <c r="I186" i="15"/>
  <c r="J186" i="15"/>
  <c r="K186" i="15"/>
  <c r="F179" i="15"/>
  <c r="F182" i="15"/>
  <c r="F185" i="15"/>
  <c r="F119" i="15"/>
  <c r="L119" i="15"/>
  <c r="L180" i="15"/>
  <c r="L183" i="15"/>
  <c r="F221" i="15"/>
  <c r="P45" i="15"/>
  <c r="P51" i="15"/>
  <c r="O235" i="15"/>
  <c r="O25" i="15"/>
  <c r="O116" i="15"/>
  <c r="O48" i="15"/>
  <c r="Q44" i="15"/>
  <c r="Q43" i="15"/>
  <c r="Q110" i="15"/>
  <c r="G241" i="15"/>
  <c r="G219" i="15"/>
  <c r="G240" i="15"/>
  <c r="L244" i="15"/>
  <c r="L245" i="15"/>
  <c r="G179" i="15"/>
  <c r="G182" i="15"/>
  <c r="F95" i="15"/>
  <c r="F187" i="15"/>
  <c r="G187" i="15"/>
  <c r="H187" i="15"/>
  <c r="I187" i="15"/>
  <c r="J187" i="15"/>
  <c r="K187" i="15"/>
  <c r="L222" i="15"/>
  <c r="L243" i="15"/>
  <c r="M90" i="15"/>
  <c r="M91" i="15"/>
  <c r="M50" i="15"/>
  <c r="M88" i="15"/>
  <c r="M94" i="15"/>
  <c r="M57" i="15"/>
  <c r="M87" i="15"/>
  <c r="M85" i="15"/>
  <c r="M56" i="15"/>
  <c r="M89" i="15"/>
  <c r="M86" i="15"/>
  <c r="M93" i="15"/>
  <c r="M84" i="15"/>
  <c r="M92" i="15"/>
  <c r="E219" i="15"/>
  <c r="M245" i="15"/>
  <c r="M244" i="15"/>
  <c r="I19" i="15"/>
  <c r="I21" i="15"/>
  <c r="I17" i="15"/>
  <c r="L95" i="15"/>
  <c r="G223" i="15"/>
  <c r="G224" i="15"/>
  <c r="G234" i="15"/>
  <c r="E17" i="15"/>
  <c r="E19" i="15"/>
  <c r="E21" i="15"/>
  <c r="M145" i="15"/>
  <c r="M179" i="15"/>
  <c r="M182" i="15"/>
  <c r="K19" i="15"/>
  <c r="K21" i="15"/>
  <c r="L181" i="15"/>
  <c r="L184" i="15"/>
  <c r="L187" i="15"/>
  <c r="M219" i="15"/>
  <c r="M240" i="15"/>
  <c r="M95" i="15"/>
  <c r="M96" i="15"/>
  <c r="L179" i="15"/>
  <c r="L182" i="15"/>
  <c r="K240" i="15"/>
  <c r="K222" i="15"/>
  <c r="K243" i="15"/>
  <c r="K246" i="15"/>
  <c r="L246" i="15"/>
  <c r="G222" i="15"/>
  <c r="G243" i="15"/>
  <c r="E240" i="15"/>
  <c r="E222" i="15"/>
  <c r="E243" i="15"/>
  <c r="E246" i="15"/>
  <c r="E227" i="15"/>
  <c r="R110" i="15"/>
  <c r="R44" i="15"/>
  <c r="R43" i="15"/>
  <c r="O143" i="15"/>
  <c r="L96" i="15"/>
  <c r="L16" i="15"/>
  <c r="Q113" i="15"/>
  <c r="Q115" i="15"/>
  <c r="Q214" i="15"/>
  <c r="Q137" i="15"/>
  <c r="G95" i="15"/>
  <c r="P116" i="15"/>
  <c r="P25" i="15"/>
  <c r="P48" i="15"/>
  <c r="Q51" i="15"/>
  <c r="Q45" i="15"/>
  <c r="O117" i="15"/>
  <c r="O144" i="15"/>
  <c r="O49" i="15"/>
  <c r="P142" i="15"/>
  <c r="P215" i="15"/>
  <c r="P236" i="15"/>
  <c r="P140" i="15"/>
  <c r="M181" i="15"/>
  <c r="M184" i="15"/>
  <c r="M146" i="15"/>
  <c r="G244" i="15"/>
  <c r="G245" i="15"/>
  <c r="G185" i="15"/>
  <c r="F96" i="15"/>
  <c r="F16" i="15"/>
  <c r="L186" i="15"/>
  <c r="M186" i="15"/>
  <c r="N186" i="15"/>
  <c r="Q47" i="15"/>
  <c r="O213" i="15"/>
  <c r="F242" i="15"/>
  <c r="F219" i="15"/>
  <c r="P235" i="15"/>
  <c r="M222" i="15"/>
  <c r="M243" i="15"/>
  <c r="M16" i="15"/>
  <c r="M17" i="15"/>
  <c r="N96" i="15"/>
  <c r="M246" i="15"/>
  <c r="N246" i="15"/>
  <c r="M187" i="15"/>
  <c r="N187" i="15"/>
  <c r="O145" i="15"/>
  <c r="O146" i="15"/>
  <c r="F240" i="15"/>
  <c r="F222" i="15"/>
  <c r="F243" i="15"/>
  <c r="F246" i="15"/>
  <c r="L19" i="15"/>
  <c r="L21" i="15"/>
  <c r="L17" i="15"/>
  <c r="Q140" i="15"/>
  <c r="Q142" i="15"/>
  <c r="Q215" i="15"/>
  <c r="Q236" i="15"/>
  <c r="R47" i="15"/>
  <c r="E228" i="15"/>
  <c r="F227" i="15"/>
  <c r="O224" i="15"/>
  <c r="O234" i="15"/>
  <c r="O223" i="15"/>
  <c r="O226" i="15"/>
  <c r="P143" i="15"/>
  <c r="Q235" i="15"/>
  <c r="R45" i="15"/>
  <c r="R51" i="15"/>
  <c r="N17" i="15"/>
  <c r="E247" i="15"/>
  <c r="P117" i="15"/>
  <c r="P49" i="15"/>
  <c r="O221" i="15"/>
  <c r="O242" i="15"/>
  <c r="O118" i="15"/>
  <c r="F17" i="15"/>
  <c r="F19" i="15"/>
  <c r="F21" i="15"/>
  <c r="P213" i="15"/>
  <c r="Q25" i="15"/>
  <c r="Q116" i="15"/>
  <c r="Q48" i="15"/>
  <c r="S44" i="15"/>
  <c r="S110" i="15"/>
  <c r="S43" i="15"/>
  <c r="I185" i="15"/>
  <c r="O84" i="15"/>
  <c r="O90" i="15"/>
  <c r="O89" i="15"/>
  <c r="O93" i="15"/>
  <c r="O65" i="15"/>
  <c r="O85" i="15"/>
  <c r="O94" i="15"/>
  <c r="O56" i="15"/>
  <c r="O57" i="15"/>
  <c r="O60" i="15"/>
  <c r="O67" i="15"/>
  <c r="O68" i="15"/>
  <c r="O91" i="15"/>
  <c r="O86" i="15"/>
  <c r="O88" i="15"/>
  <c r="O87" i="15"/>
  <c r="O50" i="15"/>
  <c r="O92" i="15"/>
  <c r="G96" i="15"/>
  <c r="G16" i="15"/>
  <c r="O220" i="15"/>
  <c r="R115" i="15"/>
  <c r="R214" i="15"/>
  <c r="R137" i="15"/>
  <c r="R113" i="15"/>
  <c r="Q213" i="15"/>
  <c r="Q234" i="15"/>
  <c r="M19" i="15"/>
  <c r="M21" i="15"/>
  <c r="O181" i="15"/>
  <c r="O184" i="15"/>
  <c r="O187" i="15"/>
  <c r="G246" i="15"/>
  <c r="G247" i="15"/>
  <c r="F247" i="15"/>
  <c r="R142" i="15"/>
  <c r="R215" i="15"/>
  <c r="R236" i="15"/>
  <c r="R140" i="15"/>
  <c r="G19" i="15"/>
  <c r="G21" i="15"/>
  <c r="G17" i="15"/>
  <c r="S47" i="15"/>
  <c r="P223" i="15"/>
  <c r="P234" i="15"/>
  <c r="P224" i="15"/>
  <c r="T44" i="15"/>
  <c r="T110" i="15"/>
  <c r="T43" i="15"/>
  <c r="O245" i="15"/>
  <c r="O244" i="15"/>
  <c r="R25" i="15"/>
  <c r="R116" i="15"/>
  <c r="R48" i="15"/>
  <c r="R117" i="15"/>
  <c r="R144" i="15"/>
  <c r="R235" i="15"/>
  <c r="S115" i="15"/>
  <c r="S214" i="15"/>
  <c r="S113" i="15"/>
  <c r="S137" i="15"/>
  <c r="Q117" i="15"/>
  <c r="Q49" i="15"/>
  <c r="P87" i="15"/>
  <c r="P65" i="15"/>
  <c r="P56" i="15"/>
  <c r="P50" i="15"/>
  <c r="P90" i="15"/>
  <c r="P91" i="15"/>
  <c r="P93" i="15"/>
  <c r="P94" i="15"/>
  <c r="P84" i="15"/>
  <c r="P57" i="15"/>
  <c r="P60" i="15"/>
  <c r="P88" i="15"/>
  <c r="P89" i="15"/>
  <c r="P86" i="15"/>
  <c r="P85" i="15"/>
  <c r="P92" i="15"/>
  <c r="P226" i="15"/>
  <c r="R49" i="15"/>
  <c r="O241" i="15"/>
  <c r="O219" i="15"/>
  <c r="O95" i="15"/>
  <c r="I247" i="15"/>
  <c r="J185" i="15"/>
  <c r="Q143" i="15"/>
  <c r="P144" i="15"/>
  <c r="P145" i="15"/>
  <c r="P118" i="15"/>
  <c r="P220" i="15"/>
  <c r="F228" i="15"/>
  <c r="G227" i="15"/>
  <c r="S51" i="15"/>
  <c r="S45" i="15"/>
  <c r="O119" i="15"/>
  <c r="O180" i="15"/>
  <c r="O183" i="15"/>
  <c r="O186" i="15"/>
  <c r="O179" i="15"/>
  <c r="O182" i="15"/>
  <c r="Q223" i="15"/>
  <c r="Q226" i="15"/>
  <c r="Q224" i="15"/>
  <c r="P67" i="15"/>
  <c r="P68" i="15"/>
  <c r="R213" i="15"/>
  <c r="R226" i="15"/>
  <c r="P180" i="15"/>
  <c r="P183" i="15"/>
  <c r="P186" i="15"/>
  <c r="P119" i="15"/>
  <c r="P179" i="15"/>
  <c r="P182" i="15"/>
  <c r="J247" i="15"/>
  <c r="K185" i="15"/>
  <c r="Q90" i="15"/>
  <c r="Q91" i="15"/>
  <c r="Q88" i="15"/>
  <c r="Q94" i="15"/>
  <c r="Q50" i="15"/>
  <c r="Q93" i="15"/>
  <c r="Q57" i="15"/>
  <c r="Q65" i="15"/>
  <c r="Q89" i="15"/>
  <c r="Q84" i="15"/>
  <c r="Q86" i="15"/>
  <c r="Q56" i="15"/>
  <c r="Q87" i="15"/>
  <c r="Q60" i="15"/>
  <c r="Q85" i="15"/>
  <c r="Q92" i="15"/>
  <c r="S235" i="15"/>
  <c r="R143" i="15"/>
  <c r="R221" i="15"/>
  <c r="R242" i="15"/>
  <c r="R220" i="15"/>
  <c r="T47" i="15"/>
  <c r="T45" i="15"/>
  <c r="T51" i="15"/>
  <c r="G228" i="15"/>
  <c r="H227" i="15"/>
  <c r="P146" i="15"/>
  <c r="P181" i="15"/>
  <c r="P184" i="15"/>
  <c r="P187" i="15"/>
  <c r="R94" i="15"/>
  <c r="R93" i="15"/>
  <c r="R88" i="15"/>
  <c r="R90" i="15"/>
  <c r="R87" i="15"/>
  <c r="R57" i="15"/>
  <c r="R65" i="15"/>
  <c r="R89" i="15"/>
  <c r="R56" i="15"/>
  <c r="R85" i="15"/>
  <c r="R91" i="15"/>
  <c r="R50" i="15"/>
  <c r="R86" i="15"/>
  <c r="R84" i="15"/>
  <c r="R60" i="15"/>
  <c r="R67" i="15"/>
  <c r="R92" i="15"/>
  <c r="Q144" i="15"/>
  <c r="Q145" i="15"/>
  <c r="Q118" i="15"/>
  <c r="T113" i="15"/>
  <c r="T137" i="15"/>
  <c r="T115" i="15"/>
  <c r="T214" i="15"/>
  <c r="O16" i="15"/>
  <c r="O96" i="15"/>
  <c r="P95" i="15"/>
  <c r="S140" i="15"/>
  <c r="S142" i="15"/>
  <c r="S215" i="15"/>
  <c r="S236" i="15"/>
  <c r="S25" i="15"/>
  <c r="S116" i="15"/>
  <c r="S48" i="15"/>
  <c r="U110" i="15"/>
  <c r="U44" i="15"/>
  <c r="U43" i="15"/>
  <c r="Q245" i="15"/>
  <c r="Q244" i="15"/>
  <c r="P241" i="15"/>
  <c r="Q220" i="15"/>
  <c r="O240" i="15"/>
  <c r="O222" i="15"/>
  <c r="O243" i="15"/>
  <c r="O246" i="15"/>
  <c r="P221" i="15"/>
  <c r="P242" i="15"/>
  <c r="P244" i="15"/>
  <c r="P245" i="15"/>
  <c r="R118" i="15"/>
  <c r="R224" i="15"/>
  <c r="R145" i="15"/>
  <c r="R146" i="15"/>
  <c r="R223" i="15"/>
  <c r="R234" i="15"/>
  <c r="R245" i="15"/>
  <c r="Q221" i="15"/>
  <c r="Q242" i="15"/>
  <c r="Q241" i="15"/>
  <c r="V110" i="15"/>
  <c r="V43" i="15"/>
  <c r="V44" i="15"/>
  <c r="T142" i="15"/>
  <c r="T215" i="15"/>
  <c r="T236" i="15"/>
  <c r="T140" i="15"/>
  <c r="R244" i="15"/>
  <c r="T116" i="15"/>
  <c r="T25" i="15"/>
  <c r="T48" i="15"/>
  <c r="T117" i="15"/>
  <c r="T144" i="15"/>
  <c r="R119" i="15"/>
  <c r="R180" i="15"/>
  <c r="R183" i="15"/>
  <c r="P219" i="15"/>
  <c r="U47" i="15"/>
  <c r="W44" i="15"/>
  <c r="W110" i="15"/>
  <c r="W43" i="15"/>
  <c r="R219" i="15"/>
  <c r="R241" i="15"/>
  <c r="K247" i="15"/>
  <c r="L185" i="15"/>
  <c r="U51" i="15"/>
  <c r="U45" i="15"/>
  <c r="S117" i="15"/>
  <c r="S220" i="15"/>
  <c r="S49" i="15"/>
  <c r="O17" i="15"/>
  <c r="O19" i="15"/>
  <c r="O21" i="15"/>
  <c r="Q180" i="15"/>
  <c r="Q183" i="15"/>
  <c r="Q186" i="15"/>
  <c r="Q179" i="15"/>
  <c r="Q182" i="15"/>
  <c r="Q119" i="15"/>
  <c r="H228" i="15"/>
  <c r="I227" i="15"/>
  <c r="Q95" i="15"/>
  <c r="U113" i="15"/>
  <c r="U137" i="15"/>
  <c r="U115" i="15"/>
  <c r="U214" i="15"/>
  <c r="S143" i="15"/>
  <c r="P16" i="15"/>
  <c r="P96" i="15"/>
  <c r="T235" i="15"/>
  <c r="Q181" i="15"/>
  <c r="Q184" i="15"/>
  <c r="Q187" i="15"/>
  <c r="Q146" i="15"/>
  <c r="R95" i="15"/>
  <c r="S213" i="15"/>
  <c r="Q67" i="15"/>
  <c r="Q68" i="15"/>
  <c r="R181" i="15"/>
  <c r="R184" i="15"/>
  <c r="R187" i="15"/>
  <c r="R179" i="15"/>
  <c r="R182" i="15"/>
  <c r="T118" i="15"/>
  <c r="T213" i="15"/>
  <c r="T224" i="15"/>
  <c r="R186" i="15"/>
  <c r="Q219" i="15"/>
  <c r="Q240" i="15"/>
  <c r="S241" i="15"/>
  <c r="U235" i="15"/>
  <c r="I228" i="15"/>
  <c r="J227" i="15"/>
  <c r="T119" i="15"/>
  <c r="T180" i="15"/>
  <c r="T183" i="15"/>
  <c r="P240" i="15"/>
  <c r="P222" i="15"/>
  <c r="P243" i="15"/>
  <c r="P246" i="15"/>
  <c r="V113" i="15"/>
  <c r="V115" i="15"/>
  <c r="V214" i="15"/>
  <c r="V137" i="15"/>
  <c r="S223" i="15"/>
  <c r="S224" i="15"/>
  <c r="S234" i="15"/>
  <c r="P19" i="15"/>
  <c r="P21" i="15"/>
  <c r="P17" i="15"/>
  <c r="U142" i="15"/>
  <c r="U215" i="15"/>
  <c r="U236" i="15"/>
  <c r="U140" i="15"/>
  <c r="W51" i="15"/>
  <c r="W45" i="15"/>
  <c r="X51" i="15"/>
  <c r="T49" i="15"/>
  <c r="S94" i="15"/>
  <c r="S89" i="15"/>
  <c r="S90" i="15"/>
  <c r="S88" i="15"/>
  <c r="S93" i="15"/>
  <c r="S50" i="15"/>
  <c r="S84" i="15"/>
  <c r="S91" i="15"/>
  <c r="S57" i="15"/>
  <c r="S85" i="15"/>
  <c r="S60" i="15"/>
  <c r="S56" i="15"/>
  <c r="S86" i="15"/>
  <c r="S87" i="15"/>
  <c r="S65" i="15"/>
  <c r="S92" i="15"/>
  <c r="R240" i="15"/>
  <c r="R222" i="15"/>
  <c r="R243" i="15"/>
  <c r="W47" i="15"/>
  <c r="U25" i="15"/>
  <c r="U116" i="15"/>
  <c r="U48" i="15"/>
  <c r="T220" i="15"/>
  <c r="T143" i="15"/>
  <c r="T221" i="15"/>
  <c r="T242" i="15"/>
  <c r="V45" i="15"/>
  <c r="V51" i="15"/>
  <c r="S226" i="15"/>
  <c r="R96" i="15"/>
  <c r="R16" i="15"/>
  <c r="Q96" i="15"/>
  <c r="Q16" i="15"/>
  <c r="S144" i="15"/>
  <c r="S145" i="15"/>
  <c r="S118" i="15"/>
  <c r="L247" i="15"/>
  <c r="M185" i="15"/>
  <c r="R68" i="15"/>
  <c r="W115" i="15"/>
  <c r="W214" i="15"/>
  <c r="W137" i="15"/>
  <c r="W113" i="15"/>
  <c r="V47" i="15"/>
  <c r="T223" i="15"/>
  <c r="T226" i="15"/>
  <c r="T234" i="15"/>
  <c r="T145" i="15"/>
  <c r="T179" i="15"/>
  <c r="T182" i="15"/>
  <c r="Q222" i="15"/>
  <c r="Q243" i="15"/>
  <c r="Q246" i="15"/>
  <c r="R246" i="15"/>
  <c r="U213" i="15"/>
  <c r="U224" i="15"/>
  <c r="S221" i="15"/>
  <c r="S242" i="15"/>
  <c r="S146" i="15"/>
  <c r="S181" i="15"/>
  <c r="S184" i="15"/>
  <c r="S187" i="15"/>
  <c r="V25" i="15"/>
  <c r="V116" i="15"/>
  <c r="V48" i="15"/>
  <c r="W235" i="15"/>
  <c r="S180" i="15"/>
  <c r="S183" i="15"/>
  <c r="S186" i="15"/>
  <c r="T186" i="15"/>
  <c r="S179" i="15"/>
  <c r="S182" i="15"/>
  <c r="S119" i="15"/>
  <c r="U117" i="15"/>
  <c r="U220" i="15"/>
  <c r="U49" i="15"/>
  <c r="W25" i="15"/>
  <c r="W116" i="15"/>
  <c r="W48" i="15"/>
  <c r="S67" i="15"/>
  <c r="S68" i="15"/>
  <c r="T90" i="15"/>
  <c r="T88" i="15"/>
  <c r="T84" i="15"/>
  <c r="T65" i="15"/>
  <c r="T94" i="15"/>
  <c r="T91" i="15"/>
  <c r="T56" i="15"/>
  <c r="T93" i="15"/>
  <c r="T89" i="15"/>
  <c r="T57" i="15"/>
  <c r="T87" i="15"/>
  <c r="T86" i="15"/>
  <c r="T85" i="15"/>
  <c r="T50" i="15"/>
  <c r="T60" i="15"/>
  <c r="T92" i="15"/>
  <c r="S245" i="15"/>
  <c r="S244" i="15"/>
  <c r="V142" i="15"/>
  <c r="V215" i="15"/>
  <c r="V236" i="15"/>
  <c r="V140" i="15"/>
  <c r="R17" i="15"/>
  <c r="R19" i="15"/>
  <c r="R21" i="15"/>
  <c r="U143" i="15"/>
  <c r="V235" i="15"/>
  <c r="J228" i="15"/>
  <c r="K227" i="15"/>
  <c r="N185" i="15"/>
  <c r="M247" i="15"/>
  <c r="Q17" i="15"/>
  <c r="Q19" i="15"/>
  <c r="Q21" i="15"/>
  <c r="S95" i="15"/>
  <c r="W142" i="15"/>
  <c r="W215" i="15"/>
  <c r="W236" i="15"/>
  <c r="W140" i="15"/>
  <c r="T245" i="15"/>
  <c r="T244" i="15"/>
  <c r="T219" i="15"/>
  <c r="T241" i="15"/>
  <c r="U223" i="15"/>
  <c r="T146" i="15"/>
  <c r="V213" i="15"/>
  <c r="U226" i="15"/>
  <c r="S219" i="15"/>
  <c r="S240" i="15"/>
  <c r="U234" i="15"/>
  <c r="U245" i="15"/>
  <c r="T181" i="15"/>
  <c r="T184" i="15"/>
  <c r="T187" i="15"/>
  <c r="W213" i="15"/>
  <c r="W224" i="15"/>
  <c r="T240" i="15"/>
  <c r="T222" i="15"/>
  <c r="T243" i="15"/>
  <c r="V117" i="15"/>
  <c r="V144" i="15"/>
  <c r="V49" i="15"/>
  <c r="K228" i="15"/>
  <c r="L227" i="15"/>
  <c r="U241" i="15"/>
  <c r="T95" i="15"/>
  <c r="U85" i="15"/>
  <c r="U56" i="15"/>
  <c r="U88" i="15"/>
  <c r="U89" i="15"/>
  <c r="U94" i="15"/>
  <c r="U91" i="15"/>
  <c r="U87" i="15"/>
  <c r="U57" i="15"/>
  <c r="U90" i="15"/>
  <c r="U93" i="15"/>
  <c r="U60" i="15"/>
  <c r="U50" i="15"/>
  <c r="U65" i="15"/>
  <c r="U86" i="15"/>
  <c r="U84" i="15"/>
  <c r="U92" i="15"/>
  <c r="V143" i="15"/>
  <c r="T67" i="15"/>
  <c r="T68" i="15"/>
  <c r="W117" i="15"/>
  <c r="W220" i="15"/>
  <c r="W49" i="15"/>
  <c r="U144" i="15"/>
  <c r="U145" i="15"/>
  <c r="U118" i="15"/>
  <c r="S16" i="15"/>
  <c r="S96" i="15"/>
  <c r="N20" i="5"/>
  <c r="N247" i="15"/>
  <c r="O185" i="15"/>
  <c r="V223" i="15"/>
  <c r="V224" i="15"/>
  <c r="V234" i="15"/>
  <c r="W143" i="15"/>
  <c r="U244" i="15"/>
  <c r="V145" i="15"/>
  <c r="V226" i="15"/>
  <c r="S222" i="15"/>
  <c r="S243" i="15"/>
  <c r="S246" i="15"/>
  <c r="T246" i="15"/>
  <c r="W234" i="15"/>
  <c r="W244" i="15"/>
  <c r="W223" i="15"/>
  <c r="W226" i="15"/>
  <c r="X226" i="15"/>
  <c r="Y226" i="15"/>
  <c r="Z226" i="15"/>
  <c r="AA226" i="15"/>
  <c r="AB226" i="15"/>
  <c r="AC226" i="15"/>
  <c r="AD226" i="15"/>
  <c r="AE226" i="15"/>
  <c r="AF226" i="15"/>
  <c r="AG226" i="15"/>
  <c r="AH226" i="15"/>
  <c r="V220" i="15"/>
  <c r="V241" i="15"/>
  <c r="V118" i="15"/>
  <c r="V179" i="15"/>
  <c r="V182" i="15"/>
  <c r="V221" i="15"/>
  <c r="V242" i="15"/>
  <c r="W241" i="15"/>
  <c r="O247" i="15"/>
  <c r="P185" i="15"/>
  <c r="S19" i="15"/>
  <c r="S21" i="15"/>
  <c r="S17" i="15"/>
  <c r="L228" i="15"/>
  <c r="M227" i="15"/>
  <c r="V245" i="15"/>
  <c r="V244" i="15"/>
  <c r="U180" i="15"/>
  <c r="U183" i="15"/>
  <c r="U186" i="15"/>
  <c r="U179" i="15"/>
  <c r="U182" i="15"/>
  <c r="U119" i="15"/>
  <c r="T96" i="15"/>
  <c r="T16" i="15"/>
  <c r="U146" i="15"/>
  <c r="U181" i="15"/>
  <c r="U184" i="15"/>
  <c r="U187" i="15"/>
  <c r="U221" i="15"/>
  <c r="U67" i="15"/>
  <c r="U68" i="15"/>
  <c r="V89" i="15"/>
  <c r="V84" i="15"/>
  <c r="V65" i="15"/>
  <c r="V94" i="15"/>
  <c r="V90" i="15"/>
  <c r="V50" i="15"/>
  <c r="V85" i="15"/>
  <c r="V56" i="15"/>
  <c r="V91" i="15"/>
  <c r="V93" i="15"/>
  <c r="V60" i="15"/>
  <c r="V67" i="15"/>
  <c r="V86" i="15"/>
  <c r="V88" i="15"/>
  <c r="V57" i="15"/>
  <c r="V87" i="15"/>
  <c r="V92" i="15"/>
  <c r="W91" i="15"/>
  <c r="W88" i="15"/>
  <c r="W57" i="15"/>
  <c r="W84" i="15"/>
  <c r="W56" i="15"/>
  <c r="W90" i="15"/>
  <c r="W65" i="15"/>
  <c r="W60" i="15"/>
  <c r="W89" i="15"/>
  <c r="W93" i="15"/>
  <c r="W86" i="15"/>
  <c r="W94" i="15"/>
  <c r="W85" i="15"/>
  <c r="W50" i="15"/>
  <c r="W87" i="15"/>
  <c r="W92" i="15"/>
  <c r="V180" i="15"/>
  <c r="V183" i="15"/>
  <c r="U95" i="15"/>
  <c r="W144" i="15"/>
  <c r="W145" i="15"/>
  <c r="W118" i="15"/>
  <c r="V146" i="15"/>
  <c r="V181" i="15"/>
  <c r="V184" i="15"/>
  <c r="W245" i="15"/>
  <c r="V119" i="15"/>
  <c r="V219" i="15"/>
  <c r="V240" i="15"/>
  <c r="V186" i="15"/>
  <c r="W67" i="15"/>
  <c r="W68" i="15"/>
  <c r="W221" i="15"/>
  <c r="W242" i="15"/>
  <c r="V68" i="15"/>
  <c r="U16" i="15"/>
  <c r="U96" i="15"/>
  <c r="M228" i="15"/>
  <c r="N227" i="15"/>
  <c r="W95" i="15"/>
  <c r="V222" i="15"/>
  <c r="V243" i="15"/>
  <c r="T19" i="15"/>
  <c r="T21" i="15"/>
  <c r="T17" i="15"/>
  <c r="P247" i="15"/>
  <c r="Q185" i="15"/>
  <c r="W119" i="15"/>
  <c r="W180" i="15"/>
  <c r="W183" i="15"/>
  <c r="W179" i="15"/>
  <c r="W182" i="15"/>
  <c r="U242" i="15"/>
  <c r="U219" i="15"/>
  <c r="W181" i="15"/>
  <c r="W184" i="15"/>
  <c r="W146" i="15"/>
  <c r="V95" i="15"/>
  <c r="V187" i="15"/>
  <c r="W219" i="15"/>
  <c r="W240" i="15"/>
  <c r="W186" i="15"/>
  <c r="X186" i="15"/>
  <c r="Y186" i="15"/>
  <c r="Z186" i="15"/>
  <c r="AA186" i="15"/>
  <c r="AB186" i="15"/>
  <c r="AC186" i="15"/>
  <c r="AD186" i="15"/>
  <c r="AE186" i="15"/>
  <c r="AF186" i="15"/>
  <c r="AG186" i="15"/>
  <c r="AH186" i="15"/>
  <c r="X68" i="15"/>
  <c r="U17" i="15"/>
  <c r="U19" i="15"/>
  <c r="U21" i="15"/>
  <c r="W187" i="15"/>
  <c r="X187" i="15"/>
  <c r="Y187" i="15"/>
  <c r="Z187" i="15"/>
  <c r="AA187" i="15"/>
  <c r="AB187" i="15"/>
  <c r="AC187" i="15"/>
  <c r="AD187" i="15"/>
  <c r="AE187" i="15"/>
  <c r="AF187" i="15"/>
  <c r="AG187" i="15"/>
  <c r="AH187" i="15"/>
  <c r="U240" i="15"/>
  <c r="U222" i="15"/>
  <c r="U243" i="15"/>
  <c r="U246" i="15"/>
  <c r="V246" i="15"/>
  <c r="X96" i="15"/>
  <c r="W16" i="15"/>
  <c r="W96" i="15"/>
  <c r="V96" i="15"/>
  <c r="V16" i="15"/>
  <c r="Q247" i="15"/>
  <c r="R185" i="15"/>
  <c r="N228" i="15"/>
  <c r="O227" i="15"/>
  <c r="W222" i="15"/>
  <c r="W243" i="15"/>
  <c r="W246" i="15"/>
  <c r="X246" i="15"/>
  <c r="Y246" i="15"/>
  <c r="Z246" i="15"/>
  <c r="AA246" i="15"/>
  <c r="AB246" i="15"/>
  <c r="AC246" i="15"/>
  <c r="AD246" i="15"/>
  <c r="AE246" i="15"/>
  <c r="AF246" i="15"/>
  <c r="AG246" i="15"/>
  <c r="AH246" i="15"/>
  <c r="O228" i="15"/>
  <c r="P227" i="15"/>
  <c r="R247" i="15"/>
  <c r="S185" i="15"/>
  <c r="W17" i="15"/>
  <c r="X17" i="15"/>
  <c r="W19" i="15"/>
  <c r="W21" i="15"/>
  <c r="V17" i="15"/>
  <c r="V19" i="15"/>
  <c r="V21" i="15"/>
  <c r="S247" i="15"/>
  <c r="T185" i="15"/>
  <c r="P228" i="15"/>
  <c r="Q227" i="15"/>
  <c r="Q228" i="15"/>
  <c r="R227" i="15"/>
  <c r="U185" i="15"/>
  <c r="T247" i="15"/>
  <c r="V185" i="15"/>
  <c r="U247" i="15"/>
  <c r="R228" i="15"/>
  <c r="S227" i="15"/>
  <c r="T227" i="15"/>
  <c r="S228" i="15"/>
  <c r="V247" i="15"/>
  <c r="W185" i="15"/>
  <c r="U227" i="15"/>
  <c r="T228" i="15"/>
  <c r="W247" i="15"/>
  <c r="X185" i="15"/>
  <c r="U228" i="15"/>
  <c r="V227" i="15"/>
  <c r="X247" i="15"/>
  <c r="O20" i="5"/>
  <c r="Y185" i="15"/>
  <c r="V228" i="15"/>
  <c r="W227" i="15"/>
  <c r="Y247" i="15"/>
  <c r="Z185" i="15"/>
  <c r="Q20" i="5"/>
  <c r="Z247" i="15"/>
  <c r="AA185" i="15"/>
  <c r="W228" i="15"/>
  <c r="X227" i="15"/>
  <c r="Y227" i="15"/>
  <c r="X228" i="15"/>
  <c r="AA247" i="15"/>
  <c r="AB185" i="15"/>
  <c r="Z227" i="15"/>
  <c r="Y228" i="15"/>
  <c r="AC185" i="15"/>
  <c r="AB247" i="15"/>
  <c r="Z228" i="15"/>
  <c r="AA227" i="15"/>
  <c r="AC247" i="15"/>
  <c r="AD185" i="15"/>
  <c r="AD247" i="15"/>
  <c r="AE185" i="15"/>
  <c r="AA228" i="15"/>
  <c r="AB227" i="15"/>
  <c r="AB228" i="15"/>
  <c r="AC227" i="15"/>
  <c r="AF185" i="15"/>
  <c r="AE247" i="15"/>
  <c r="AF247" i="15"/>
  <c r="AG185" i="15"/>
  <c r="AC228" i="15"/>
  <c r="AD227" i="15"/>
  <c r="AD228" i="15"/>
  <c r="AE227" i="15"/>
  <c r="AG247" i="15"/>
  <c r="AH185" i="15"/>
  <c r="P20" i="5"/>
  <c r="AH247" i="15"/>
  <c r="AE228" i="15"/>
  <c r="AF227" i="15"/>
  <c r="AF228" i="15"/>
  <c r="AG227" i="15"/>
  <c r="AH227" i="15"/>
  <c r="AH228" i="15"/>
  <c r="AG228" i="15"/>
</calcChain>
</file>

<file path=xl/comments1.xml><?xml version="1.0" encoding="utf-8"?>
<comments xmlns="http://schemas.openxmlformats.org/spreadsheetml/2006/main">
  <authors>
    <author>Max</author>
  </authors>
  <commentList>
    <comment ref="F34" authorId="0">
      <text>
        <r>
          <rPr>
            <b/>
            <sz val="9"/>
            <color indexed="81"/>
            <rFont val="Tahoma"/>
            <family val="2"/>
          </rPr>
          <t>Max:</t>
        </r>
        <r>
          <rPr>
            <sz val="9"/>
            <color indexed="81"/>
            <rFont val="Tahoma"/>
            <family val="2"/>
          </rPr>
          <t xml:space="preserve">
</t>
        </r>
      </text>
    </comment>
    <comment ref="H34" authorId="0">
      <text>
        <r>
          <rPr>
            <b/>
            <sz val="9"/>
            <color indexed="81"/>
            <rFont val="Tahoma"/>
            <family val="2"/>
          </rPr>
          <t>Max:</t>
        </r>
        <r>
          <rPr>
            <sz val="9"/>
            <color indexed="81"/>
            <rFont val="Tahoma"/>
            <family val="2"/>
          </rPr>
          <t xml:space="preserve">
</t>
        </r>
      </text>
    </comment>
    <comment ref="H43" authorId="0">
      <text>
        <r>
          <rPr>
            <b/>
            <sz val="9"/>
            <color indexed="81"/>
            <rFont val="Tahoma"/>
            <family val="2"/>
          </rPr>
          <t>Max:</t>
        </r>
        <r>
          <rPr>
            <sz val="9"/>
            <color indexed="81"/>
            <rFont val="Tahoma"/>
            <family val="2"/>
          </rPr>
          <t xml:space="preserve">
Product of direct jobs and indirect multiplier gives the number of "indirect" jobs.  For wind, solar technologies this refers to indirect jobs from upstream/downstream supply chain.  For EE and Mass transit, this mulitplier is more inclusive and includes job creation from additional spending triggered by energy efficiency or mass transit.</t>
        </r>
      </text>
    </comment>
    <comment ref="H44" authorId="0">
      <text>
        <r>
          <rPr>
            <b/>
            <sz val="9"/>
            <color indexed="81"/>
            <rFont val="Tahoma"/>
            <family val="2"/>
          </rPr>
          <t>Max:</t>
        </r>
        <r>
          <rPr>
            <sz val="9"/>
            <color indexed="81"/>
            <rFont val="Tahoma"/>
            <family val="2"/>
          </rPr>
          <t xml:space="preserve">
90% indirect factor is assumed</t>
        </r>
      </text>
    </comment>
    <comment ref="C45" authorId="0">
      <text>
        <r>
          <rPr>
            <b/>
            <sz val="9"/>
            <color indexed="81"/>
            <rFont val="Tahoma"/>
            <family val="2"/>
          </rPr>
          <t>Max:</t>
        </r>
        <r>
          <rPr>
            <sz val="9"/>
            <color indexed="81"/>
            <rFont val="Tahoma"/>
            <family val="2"/>
          </rPr>
          <t xml:space="preserve">
Jose Goldemberg e-mail communication, 2009
</t>
        </r>
      </text>
    </comment>
    <comment ref="H45" authorId="0">
      <text>
        <r>
          <rPr>
            <b/>
            <sz val="9"/>
            <color indexed="81"/>
            <rFont val="Tahoma"/>
            <family val="2"/>
          </rPr>
          <t>Max:</t>
        </r>
        <r>
          <rPr>
            <sz val="9"/>
            <color indexed="81"/>
            <rFont val="Tahoma"/>
            <family val="2"/>
          </rPr>
          <t xml:space="preserve">
90% indirect factor is assumed
</t>
        </r>
      </text>
    </comment>
    <comment ref="C50" authorId="0">
      <text>
        <r>
          <rPr>
            <b/>
            <sz val="9"/>
            <color indexed="81"/>
            <rFont val="Tahoma"/>
            <family val="2"/>
          </rPr>
          <t>Max:</t>
        </r>
        <r>
          <rPr>
            <sz val="9"/>
            <color indexed="81"/>
            <rFont val="Tahoma"/>
            <family val="2"/>
          </rPr>
          <t xml:space="preserve">
placeholder
</t>
        </r>
      </text>
    </comment>
    <comment ref="H50" authorId="0">
      <text>
        <r>
          <rPr>
            <b/>
            <sz val="9"/>
            <color indexed="81"/>
            <rFont val="Tahoma"/>
            <family val="2"/>
          </rPr>
          <t>Max:</t>
        </r>
        <r>
          <rPr>
            <sz val="9"/>
            <color indexed="81"/>
            <rFont val="Tahoma"/>
            <family val="2"/>
          </rPr>
          <t xml:space="preserve">
placeholder
</t>
        </r>
      </text>
    </comment>
    <comment ref="C56" authorId="0">
      <text>
        <r>
          <rPr>
            <b/>
            <sz val="9"/>
            <color indexed="81"/>
            <rFont val="Tahoma"/>
            <family val="2"/>
          </rPr>
          <t>Max:</t>
        </r>
        <r>
          <rPr>
            <sz val="9"/>
            <color indexed="81"/>
            <rFont val="Tahoma"/>
            <family val="2"/>
          </rPr>
          <t xml:space="preserve">
placeholder
</t>
        </r>
      </text>
    </comment>
    <comment ref="H56" authorId="0">
      <text>
        <r>
          <rPr>
            <b/>
            <sz val="9"/>
            <color indexed="81"/>
            <rFont val="Tahoma"/>
            <family val="2"/>
          </rPr>
          <t>Max:</t>
        </r>
        <r>
          <rPr>
            <sz val="9"/>
            <color indexed="81"/>
            <rFont val="Tahoma"/>
            <family val="2"/>
          </rPr>
          <t xml:space="preserve">
placeholder
</t>
        </r>
      </text>
    </comment>
    <comment ref="C58" authorId="0">
      <text>
        <r>
          <rPr>
            <b/>
            <sz val="9"/>
            <color indexed="81"/>
            <rFont val="Tahoma"/>
            <family val="2"/>
          </rPr>
          <t>Max:</t>
        </r>
        <r>
          <rPr>
            <sz val="9"/>
            <color indexed="81"/>
            <rFont val="Tahoma"/>
            <family val="2"/>
          </rPr>
          <t xml:space="preserve">
John M. Urbanchuk (2008) Contribution of the Ethanol Industry to the Economy of the United States, LEGC LLC. Available from: http://www.ethanol.org/pdf/contentmgmt/2007_ethanol_economic_contribution.pdf [Accessed 15 February 2009].
</t>
        </r>
      </text>
    </comment>
    <comment ref="H58" authorId="0">
      <text>
        <r>
          <rPr>
            <b/>
            <sz val="9"/>
            <color indexed="81"/>
            <rFont val="Tahoma"/>
            <family val="2"/>
          </rPr>
          <t>Max:</t>
        </r>
        <r>
          <rPr>
            <sz val="9"/>
            <color indexed="81"/>
            <rFont val="Tahoma"/>
            <family val="2"/>
          </rPr>
          <t xml:space="preserve">
John M. Urbanchuk (2008) Contribution of the Ethanol Industry to the Economy of the United States, LEGC LLC. Available from: http://www.ethanol.org/pdf/contentmgmt/2007_ethanol_economic_contribution.pdf [Accessed 15 February 2009].
</t>
        </r>
      </text>
    </comment>
    <comment ref="C59" authorId="0">
      <text>
        <r>
          <rPr>
            <b/>
            <sz val="9"/>
            <color indexed="81"/>
            <rFont val="Tahoma"/>
            <family val="2"/>
          </rPr>
          <t>Max:</t>
        </r>
        <r>
          <rPr>
            <sz val="9"/>
            <color indexed="81"/>
            <rFont val="Tahoma"/>
            <family val="2"/>
          </rPr>
          <t xml:space="preserve">
Cambridge Systematics. Surface Transportation Policy Project: Transportation and Jobs. Available at www.transact.org/library/factsheets/jobs.asp [Accessed 9 February 2009)</t>
        </r>
      </text>
    </comment>
    <comment ref="H59" authorId="0">
      <text>
        <r>
          <rPr>
            <b/>
            <sz val="9"/>
            <color indexed="81"/>
            <rFont val="Tahoma"/>
            <family val="2"/>
          </rPr>
          <t>Max:</t>
        </r>
        <r>
          <rPr>
            <sz val="9"/>
            <color indexed="81"/>
            <rFont val="Tahoma"/>
            <family val="2"/>
          </rPr>
          <t xml:space="preserve">
Cambridge Systematics. Surface Transportation Policy Project: Transportation and Jobs. Available at www.transact.org/library/factsheets/jobs.asp [Accessed 9 February 2009)</t>
        </r>
      </text>
    </comment>
  </commentList>
</comments>
</file>

<file path=xl/comments2.xml><?xml version="1.0" encoding="utf-8"?>
<comments xmlns="http://schemas.openxmlformats.org/spreadsheetml/2006/main">
  <authors>
    <author>Max</author>
    <author>mcai</author>
  </authors>
  <commentList>
    <comment ref="C11" authorId="0">
      <text>
        <r>
          <rPr>
            <b/>
            <sz val="9"/>
            <color indexed="81"/>
            <rFont val="Tahoma"/>
            <family val="2"/>
          </rPr>
          <t>Max:
2009 column has EIA data; other columns are calculated</t>
        </r>
        <r>
          <rPr>
            <sz val="9"/>
            <color indexed="81"/>
            <rFont val="Tahoma"/>
            <family val="2"/>
          </rPr>
          <t xml:space="preserve">
</t>
        </r>
      </text>
    </comment>
    <comment ref="C14" authorId="0">
      <text>
        <r>
          <rPr>
            <b/>
            <sz val="9"/>
            <color indexed="81"/>
            <rFont val="Tahoma"/>
            <family val="2"/>
          </rPr>
          <t>Max:</t>
        </r>
        <r>
          <rPr>
            <sz val="9"/>
            <color indexed="81"/>
            <rFont val="Tahoma"/>
            <family val="2"/>
          </rPr>
          <t xml:space="preserve">
EIA data point as baseline starting point
</t>
        </r>
      </text>
    </comment>
    <comment ref="C16" authorId="0">
      <text>
        <r>
          <rPr>
            <b/>
            <sz val="9"/>
            <color indexed="81"/>
            <rFont val="Tahoma"/>
            <family val="2"/>
          </rPr>
          <t>Max:</t>
        </r>
        <r>
          <rPr>
            <sz val="9"/>
            <color indexed="81"/>
            <rFont val="Tahoma"/>
            <family val="2"/>
          </rPr>
          <t xml:space="preserve">
computed from initial amount of generation from RPS designated technologies
</t>
        </r>
      </text>
    </comment>
    <comment ref="H16" authorId="1">
      <text>
        <r>
          <rPr>
            <b/>
            <sz val="9"/>
            <color indexed="81"/>
            <rFont val="Tahoma"/>
            <family val="2"/>
          </rPr>
          <t>mcai:</t>
        </r>
        <r>
          <rPr>
            <sz val="9"/>
            <color indexed="81"/>
            <rFont val="Tahoma"/>
            <family val="2"/>
          </rPr>
          <t xml:space="preserve">
computer from RPS below
</t>
        </r>
      </text>
    </comment>
    <comment ref="C28" authorId="0">
      <text>
        <r>
          <rPr>
            <b/>
            <sz val="9"/>
            <color indexed="81"/>
            <rFont val="Tahoma"/>
            <family val="2"/>
          </rPr>
          <t>Max:
2009 column has EIA data; other columns are calculated</t>
        </r>
        <r>
          <rPr>
            <sz val="9"/>
            <color indexed="81"/>
            <rFont val="Tahoma"/>
            <family val="2"/>
          </rPr>
          <t xml:space="preserve">
</t>
        </r>
      </text>
    </comment>
    <comment ref="D34" authorId="0">
      <text>
        <r>
          <rPr>
            <b/>
            <sz val="9"/>
            <color indexed="81"/>
            <rFont val="Tahoma"/>
            <family val="2"/>
          </rPr>
          <t>Max:</t>
        </r>
        <r>
          <rPr>
            <sz val="9"/>
            <color indexed="81"/>
            <rFont val="Tahoma"/>
            <family val="2"/>
          </rPr>
          <t xml:space="preserve">
If part of RPS, then calculate RPS based generation.  Use BAU gen if this is less than BAU.</t>
        </r>
      </text>
    </comment>
    <comment ref="D35" authorId="0">
      <text>
        <r>
          <rPr>
            <b/>
            <sz val="9"/>
            <color indexed="81"/>
            <rFont val="Tahoma"/>
            <family val="2"/>
          </rPr>
          <t>Max:</t>
        </r>
        <r>
          <rPr>
            <sz val="9"/>
            <color indexed="81"/>
            <rFont val="Tahoma"/>
            <family val="2"/>
          </rPr>
          <t xml:space="preserve">
If part of RPS, then calculate RPS based generation.  Use BAU gen if this is less than BAU.</t>
        </r>
      </text>
    </comment>
    <comment ref="A37" authorId="0">
      <text>
        <r>
          <rPr>
            <b/>
            <sz val="9"/>
            <color indexed="81"/>
            <rFont val="Tahoma"/>
            <family val="2"/>
          </rPr>
          <t xml:space="preserve">Max:
</t>
        </r>
        <r>
          <rPr>
            <sz val="9"/>
            <color indexed="81"/>
            <rFont val="Tahoma"/>
            <family val="2"/>
          </rPr>
          <t>Not sure whether to include MSW.  Currently included as part of RPS, but all Biomass RPS growth assumed to be in "Wood and Other Biomass"</t>
        </r>
      </text>
    </comment>
    <comment ref="D37" authorId="0">
      <text>
        <r>
          <rPr>
            <b/>
            <sz val="9"/>
            <color indexed="81"/>
            <rFont val="Tahoma"/>
            <family val="2"/>
          </rPr>
          <t>Max:</t>
        </r>
        <r>
          <rPr>
            <sz val="9"/>
            <color indexed="81"/>
            <rFont val="Tahoma"/>
            <family val="2"/>
          </rPr>
          <t xml:space="preserve">
If part of RPS, then calculate RPS based generation.  Use BAU gen if this is less than BAU.</t>
        </r>
      </text>
    </comment>
    <comment ref="D38" authorId="0">
      <text>
        <r>
          <rPr>
            <b/>
            <sz val="9"/>
            <color indexed="81"/>
            <rFont val="Tahoma"/>
            <family val="2"/>
          </rPr>
          <t>Max:</t>
        </r>
        <r>
          <rPr>
            <sz val="9"/>
            <color indexed="81"/>
            <rFont val="Tahoma"/>
            <family val="2"/>
          </rPr>
          <t xml:space="preserve">
If part of RPS, then calculate RPS based generation.  Use BAU gen if this is less than BAU.</t>
        </r>
      </text>
    </comment>
    <comment ref="D39" authorId="0">
      <text>
        <r>
          <rPr>
            <b/>
            <sz val="9"/>
            <color indexed="81"/>
            <rFont val="Tahoma"/>
            <family val="2"/>
          </rPr>
          <t>Max:</t>
        </r>
        <r>
          <rPr>
            <sz val="9"/>
            <color indexed="81"/>
            <rFont val="Tahoma"/>
            <family val="2"/>
          </rPr>
          <t xml:space="preserve">
If part of RPS, then calculate RPS based generation.  Use BAU gen if this is less than BAU.</t>
        </r>
      </text>
    </comment>
    <comment ref="D40" authorId="0">
      <text>
        <r>
          <rPr>
            <b/>
            <sz val="9"/>
            <color indexed="81"/>
            <rFont val="Tahoma"/>
            <family val="2"/>
          </rPr>
          <t>Max:</t>
        </r>
        <r>
          <rPr>
            <sz val="9"/>
            <color indexed="81"/>
            <rFont val="Tahoma"/>
            <family val="2"/>
          </rPr>
          <t xml:space="preserve">
If part of RPS, then calculate RPS based generation.  Use BAU gen if this is less than BAU.</t>
        </r>
      </text>
    </comment>
    <comment ref="D42" authorId="0">
      <text>
        <r>
          <rPr>
            <b/>
            <sz val="9"/>
            <color indexed="81"/>
            <rFont val="Tahoma"/>
            <family val="2"/>
          </rPr>
          <t>Max:</t>
        </r>
        <r>
          <rPr>
            <sz val="9"/>
            <color indexed="81"/>
            <rFont val="Tahoma"/>
            <family val="2"/>
          </rPr>
          <t xml:space="preserve">
If part of RPS, then calculate RPS based generation.  Use BAU gen if this is less than BAU.</t>
        </r>
      </text>
    </comment>
    <comment ref="C44" authorId="0">
      <text>
        <r>
          <rPr>
            <b/>
            <sz val="9"/>
            <color indexed="81"/>
            <rFont val="Tahoma"/>
            <family val="2"/>
          </rPr>
          <t>Max:</t>
        </r>
        <r>
          <rPr>
            <sz val="9"/>
            <color indexed="81"/>
            <rFont val="Tahoma"/>
            <family val="2"/>
          </rPr>
          <t xml:space="preserve">
Starting point: RPS generation at Year0</t>
        </r>
      </text>
    </comment>
    <comment ref="A46" authorId="0">
      <text>
        <r>
          <rPr>
            <b/>
            <sz val="9"/>
            <color indexed="81"/>
            <rFont val="Tahoma"/>
            <family val="2"/>
          </rPr>
          <t>Max:</t>
        </r>
        <r>
          <rPr>
            <sz val="9"/>
            <color indexed="81"/>
            <rFont val="Tahoma"/>
            <family val="2"/>
          </rPr>
          <t xml:space="preserve">
small and assume fixed for now per BAU</t>
        </r>
      </text>
    </comment>
    <comment ref="A61" authorId="0">
      <text>
        <r>
          <rPr>
            <b/>
            <sz val="9"/>
            <color indexed="81"/>
            <rFont val="Tahoma"/>
            <family val="2"/>
          </rPr>
          <t xml:space="preserve">Max:
</t>
        </r>
        <r>
          <rPr>
            <sz val="9"/>
            <color indexed="81"/>
            <rFont val="Tahoma"/>
            <family val="2"/>
          </rPr>
          <t>Not sure whether to include MSW.  Currently included as part of RPS, but all Biomass RPS growth assumed to be in "Wood and Other Biomass"</t>
        </r>
      </text>
    </comment>
    <comment ref="A74" authorId="0">
      <text>
        <r>
          <rPr>
            <b/>
            <sz val="9"/>
            <color indexed="81"/>
            <rFont val="Tahoma"/>
            <family val="2"/>
          </rPr>
          <t xml:space="preserve">Max:
</t>
        </r>
        <r>
          <rPr>
            <sz val="9"/>
            <color indexed="81"/>
            <rFont val="Tahoma"/>
            <family val="2"/>
          </rPr>
          <t>Not sure whether to include MSW.  Currently included as part of RPS, but all Biomass RPS growth assumed to be in "Wood and Other Biomass"</t>
        </r>
      </text>
    </comment>
    <comment ref="A81" authorId="0">
      <text>
        <r>
          <rPr>
            <b/>
            <sz val="9"/>
            <color indexed="81"/>
            <rFont val="Tahoma"/>
            <family val="2"/>
          </rPr>
          <t>Max:</t>
        </r>
        <r>
          <rPr>
            <sz val="9"/>
            <color indexed="81"/>
            <rFont val="Tahoma"/>
            <family val="2"/>
          </rPr>
          <t xml:space="preserve">
max (calc'd intermed target % * modeled total generation above,  BAU value)</t>
        </r>
      </text>
    </comment>
    <comment ref="A89" authorId="0">
      <text>
        <r>
          <rPr>
            <b/>
            <sz val="9"/>
            <color indexed="81"/>
            <rFont val="Tahoma"/>
            <family val="2"/>
          </rPr>
          <t xml:space="preserve">Max:
</t>
        </r>
        <r>
          <rPr>
            <sz val="9"/>
            <color indexed="81"/>
            <rFont val="Tahoma"/>
            <family val="2"/>
          </rPr>
          <t>Not sure whether to include MSW.  Currently included as part of RPS, but all Biomass RPS growth assumed to be in "Wood and Other Biomass"</t>
        </r>
      </text>
    </comment>
    <comment ref="C99" authorId="0">
      <text>
        <r>
          <rPr>
            <b/>
            <sz val="9"/>
            <color indexed="81"/>
            <rFont val="Tahoma"/>
            <family val="2"/>
          </rPr>
          <t>Max:
2009 column has EIA data; other columns are calculated</t>
        </r>
        <r>
          <rPr>
            <sz val="9"/>
            <color indexed="81"/>
            <rFont val="Tahoma"/>
            <family val="2"/>
          </rPr>
          <t xml:space="preserve">
</t>
        </r>
      </text>
    </comment>
    <comment ref="C126" authorId="0">
      <text>
        <r>
          <rPr>
            <b/>
            <sz val="9"/>
            <color indexed="81"/>
            <rFont val="Tahoma"/>
            <family val="2"/>
          </rPr>
          <t>Max:
2009 column has EIA data; other columns are calculated</t>
        </r>
        <r>
          <rPr>
            <sz val="9"/>
            <color indexed="81"/>
            <rFont val="Tahoma"/>
            <family val="2"/>
          </rPr>
          <t xml:space="preserve">
</t>
        </r>
      </text>
    </comment>
    <comment ref="A151" authorId="0">
      <text>
        <r>
          <rPr>
            <b/>
            <sz val="9"/>
            <color indexed="81"/>
            <rFont val="Tahoma"/>
            <family val="2"/>
          </rPr>
          <t>Max:</t>
        </r>
        <r>
          <rPr>
            <sz val="9"/>
            <color indexed="81"/>
            <rFont val="Tahoma"/>
            <family val="2"/>
          </rPr>
          <t xml:space="preserve">
"EIA_liq_fuelS"
 sheet.  Includes Biomass Liquids and Biodiesel</t>
        </r>
      </text>
    </comment>
    <comment ref="A153" authorId="0">
      <text>
        <r>
          <rPr>
            <b/>
            <sz val="9"/>
            <color indexed="81"/>
            <rFont val="Tahoma"/>
            <family val="2"/>
          </rPr>
          <t>Max:</t>
        </r>
        <r>
          <rPr>
            <sz val="9"/>
            <color indexed="81"/>
            <rFont val="Tahoma"/>
            <family val="2"/>
          </rPr>
          <t xml:space="preserve">
"EIA_liq_fuelS"
 sheet.  Includes Biomass Liquids and Biodiesel</t>
        </r>
      </text>
    </comment>
    <comment ref="A168" authorId="0">
      <text>
        <r>
          <rPr>
            <b/>
            <sz val="9"/>
            <color indexed="81"/>
            <rFont val="Tahoma"/>
            <family val="2"/>
          </rPr>
          <t>Max:</t>
        </r>
        <r>
          <rPr>
            <sz val="9"/>
            <color indexed="81"/>
            <rFont val="Tahoma"/>
            <family val="2"/>
          </rPr>
          <t xml:space="preserve">
see sep tab: "Output-Mass Transit"</t>
        </r>
      </text>
    </comment>
    <comment ref="C175" authorId="0">
      <text>
        <r>
          <rPr>
            <b/>
            <sz val="9"/>
            <color indexed="81"/>
            <rFont val="Tahoma"/>
            <family val="2"/>
          </rPr>
          <t>Max:
2009 column has EIA data; other columns are calculated</t>
        </r>
        <r>
          <rPr>
            <sz val="9"/>
            <color indexed="81"/>
            <rFont val="Tahoma"/>
            <family val="2"/>
          </rPr>
          <t xml:space="preserve">
</t>
        </r>
      </text>
    </comment>
    <comment ref="A188" authorId="0">
      <text>
        <r>
          <rPr>
            <b/>
            <sz val="9"/>
            <color indexed="81"/>
            <rFont val="Tahoma"/>
            <family val="2"/>
          </rPr>
          <t xml:space="preserve">Max:
"Modeled BAU" is input deck with BAU conditions.
this is "Error factor" in cumulative jobs, mainly due to discrepant low carbon estimates vs BAU numbers.  </t>
        </r>
        <r>
          <rPr>
            <sz val="9"/>
            <color indexed="81"/>
            <rFont val="Tahoma"/>
            <family val="2"/>
          </rPr>
          <t xml:space="preserve">
</t>
        </r>
      </text>
    </comment>
    <comment ref="A248" authorId="0">
      <text>
        <r>
          <rPr>
            <b/>
            <sz val="9"/>
            <color indexed="81"/>
            <rFont val="Tahoma"/>
            <family val="2"/>
          </rPr>
          <t>Max:
Above numbers reduce coal/NG due to EE GWh saved, but EE multiplier is a Net multiplier already</t>
        </r>
      </text>
    </comment>
  </commentList>
</comments>
</file>

<file path=xl/comments3.xml><?xml version="1.0" encoding="utf-8"?>
<comments xmlns="http://schemas.openxmlformats.org/spreadsheetml/2006/main">
  <authors>
    <author>Max</author>
    <author>Karim El Alami</author>
    <author>mcai</author>
  </authors>
  <commentList>
    <comment ref="C15" authorId="0">
      <text>
        <r>
          <rPr>
            <b/>
            <sz val="9"/>
            <color indexed="81"/>
            <rFont val="Tahoma"/>
            <family val="2"/>
          </rPr>
          <t>Max:</t>
        </r>
        <r>
          <rPr>
            <sz val="9"/>
            <color indexed="81"/>
            <rFont val="Tahoma"/>
            <family val="2"/>
          </rPr>
          <t xml:space="preserve">
Assumptions:
(1) take out of Conventional hydro bucket;
(2)Updated for California and assumed national (wikipedia) and 5% ann. Growth rate</t>
        </r>
      </text>
    </comment>
    <comment ref="G15" authorId="1">
      <text>
        <r>
          <rPr>
            <b/>
            <sz val="9"/>
            <color indexed="81"/>
            <rFont val="Calibri"/>
            <family val="2"/>
          </rPr>
          <t>Karim El Alami:</t>
        </r>
        <r>
          <rPr>
            <sz val="9"/>
            <color indexed="81"/>
            <rFont val="Calibri"/>
            <family val="2"/>
          </rPr>
          <t xml:space="preserve">
Model from ca.gov
Assuming there is 5% increase
</t>
        </r>
      </text>
    </comment>
    <comment ref="H15" authorId="2">
      <text>
        <r>
          <rPr>
            <b/>
            <sz val="9"/>
            <color indexed="81"/>
            <rFont val="Tahoma"/>
            <family val="2"/>
          </rPr>
          <t xml:space="preserve">mcai:need to find the reference
</t>
        </r>
      </text>
    </comment>
    <comment ref="A23" authorId="0">
      <text>
        <r>
          <rPr>
            <b/>
            <sz val="9"/>
            <color indexed="81"/>
            <rFont val="Tahoma"/>
            <family val="2"/>
          </rPr>
          <t>Max:</t>
        </r>
        <r>
          <rPr>
            <sz val="9"/>
            <color indexed="81"/>
            <rFont val="Tahoma"/>
            <family val="2"/>
          </rPr>
          <t xml:space="preserve">
Include in next revision
</t>
        </r>
      </text>
    </comment>
    <comment ref="A78" authorId="0">
      <text>
        <r>
          <rPr>
            <b/>
            <sz val="9"/>
            <color indexed="81"/>
            <rFont val="Tahoma"/>
            <family val="2"/>
          </rPr>
          <t>Max:</t>
        </r>
        <r>
          <rPr>
            <sz val="9"/>
            <color indexed="81"/>
            <rFont val="Tahoma"/>
            <family val="2"/>
          </rPr>
          <t xml:space="preserve">
"EIA_liq_fuelS"
 sheet.  Includes Biomass Liquids and Biodiesel</t>
        </r>
      </text>
    </comment>
  </commentList>
</comments>
</file>

<file path=xl/comments4.xml><?xml version="1.0" encoding="utf-8"?>
<comments xmlns="http://schemas.openxmlformats.org/spreadsheetml/2006/main">
  <authors>
    <author>Max</author>
  </authors>
  <commentList>
    <comment ref="C13" authorId="0">
      <text>
        <r>
          <rPr>
            <b/>
            <sz val="9"/>
            <color indexed="81"/>
            <rFont val="Tahoma"/>
            <family val="2"/>
          </rPr>
          <t>Max:</t>
        </r>
        <r>
          <rPr>
            <sz val="9"/>
            <color indexed="81"/>
            <rFont val="Tahoma"/>
            <family val="2"/>
          </rPr>
          <t xml:space="preserve">
Kammen04 and 08</t>
        </r>
      </text>
    </comment>
    <comment ref="G13" authorId="0">
      <text>
        <r>
          <rPr>
            <b/>
            <sz val="9"/>
            <color indexed="81"/>
            <rFont val="Tahoma"/>
            <family val="2"/>
          </rPr>
          <t>Max:</t>
        </r>
        <r>
          <rPr>
            <sz val="9"/>
            <color indexed="81"/>
            <rFont val="Tahoma"/>
            <family val="2"/>
          </rPr>
          <t xml:space="preserve">
not specified
</t>
        </r>
      </text>
    </comment>
    <comment ref="F14" authorId="0">
      <text>
        <r>
          <rPr>
            <b/>
            <sz val="9"/>
            <color indexed="81"/>
            <rFont val="Tahoma"/>
            <family val="2"/>
          </rPr>
          <t>Max:</t>
        </r>
        <r>
          <rPr>
            <sz val="9"/>
            <color indexed="81"/>
            <rFont val="Tahoma"/>
            <family val="2"/>
          </rPr>
          <t xml:space="preserve">
Take Kammen04 avg, but not sure how they got it.  It is 33% higher than coal number below</t>
        </r>
      </text>
    </comment>
    <comment ref="D15" authorId="0">
      <text>
        <r>
          <rPr>
            <b/>
            <sz val="9"/>
            <color indexed="81"/>
            <rFont val="Tahoma"/>
            <family val="2"/>
          </rPr>
          <t>Max:</t>
        </r>
        <r>
          <rPr>
            <sz val="9"/>
            <color indexed="81"/>
            <rFont val="Tahoma"/>
            <family val="2"/>
          </rPr>
          <t xml:space="preserve">
not sure about this, conservative assumption for jobs
</t>
        </r>
      </text>
    </comment>
    <comment ref="C17" authorId="0">
      <text>
        <r>
          <rPr>
            <b/>
            <sz val="9"/>
            <color indexed="81"/>
            <rFont val="Tahoma"/>
            <family val="2"/>
          </rPr>
          <t>Max:</t>
        </r>
        <r>
          <rPr>
            <sz val="9"/>
            <color indexed="81"/>
            <rFont val="Tahoma"/>
            <family val="2"/>
          </rPr>
          <t xml:space="preserve">
EPRI 01 capacity 90%
</t>
        </r>
      </text>
    </comment>
    <comment ref="C18" authorId="0">
      <text>
        <r>
          <rPr>
            <b/>
            <sz val="9"/>
            <color indexed="81"/>
            <rFont val="Tahoma"/>
            <family val="2"/>
          </rPr>
          <t>Max:</t>
        </r>
        <r>
          <rPr>
            <sz val="9"/>
            <color indexed="81"/>
            <rFont val="Tahoma"/>
            <family val="2"/>
          </rPr>
          <t xml:space="preserve">
Kammen 08 presentation</t>
        </r>
      </text>
    </comment>
    <comment ref="C20" authorId="0">
      <text>
        <r>
          <rPr>
            <b/>
            <sz val="9"/>
            <color indexed="81"/>
            <rFont val="Tahoma"/>
            <family val="2"/>
          </rPr>
          <t>Max:</t>
        </r>
        <r>
          <rPr>
            <sz val="9"/>
            <color indexed="81"/>
            <rFont val="Tahoma"/>
            <family val="2"/>
          </rPr>
          <t xml:space="preserve">
EPRI 01 cap 55%
</t>
        </r>
      </text>
    </comment>
    <comment ref="O21" authorId="0">
      <text>
        <r>
          <rPr>
            <sz val="9"/>
            <color indexed="81"/>
            <rFont val="Tahoma"/>
            <family val="2"/>
          </rPr>
          <t xml:space="preserve">Karim:
New update from the solar foundation assuming that all other jobs are O&amp;M
</t>
        </r>
      </text>
    </comment>
    <comment ref="C22" authorId="0">
      <text>
        <r>
          <rPr>
            <b/>
            <sz val="9"/>
            <color indexed="81"/>
            <rFont val="Tahoma"/>
            <family val="2"/>
          </rPr>
          <t>Max:</t>
        </r>
        <r>
          <rPr>
            <sz val="9"/>
            <color indexed="81"/>
            <rFont val="Tahoma"/>
            <family val="2"/>
          </rPr>
          <t xml:space="preserve">
Kammen 08 presentation</t>
        </r>
      </text>
    </comment>
    <comment ref="C24" authorId="0">
      <text>
        <r>
          <rPr>
            <b/>
            <sz val="9"/>
            <color indexed="81"/>
            <rFont val="Tahoma"/>
            <family val="2"/>
          </rPr>
          <t>Max:</t>
        </r>
        <r>
          <rPr>
            <sz val="9"/>
            <color indexed="81"/>
            <rFont val="Tahoma"/>
            <family val="2"/>
          </rPr>
          <t xml:space="preserve">
NREL08 cap 40%</t>
        </r>
      </text>
    </comment>
    <comment ref="A25" authorId="0">
      <text>
        <r>
          <rPr>
            <b/>
            <sz val="9"/>
            <color indexed="81"/>
            <rFont val="Tahoma"/>
            <family val="2"/>
          </rPr>
          <t>Max:</t>
        </r>
        <r>
          <rPr>
            <sz val="9"/>
            <color indexed="81"/>
            <rFont val="Tahoma"/>
            <family val="2"/>
          </rPr>
          <t xml:space="preserve">
100 MW parabolic trough plant with 6 hours of storage</t>
        </r>
      </text>
    </comment>
    <comment ref="A26" authorId="0">
      <text>
        <r>
          <rPr>
            <b/>
            <sz val="9"/>
            <color indexed="81"/>
            <rFont val="Tahoma"/>
            <family val="2"/>
          </rPr>
          <t>Max:</t>
        </r>
        <r>
          <rPr>
            <sz val="9"/>
            <color indexed="81"/>
            <rFont val="Tahoma"/>
            <family val="2"/>
          </rPr>
          <t xml:space="preserve">
100 MW parabolic trough plant with 6 hours of storage</t>
        </r>
      </text>
    </comment>
    <comment ref="E27" authorId="0">
      <text>
        <r>
          <rPr>
            <b/>
            <sz val="9"/>
            <color indexed="81"/>
            <rFont val="Tahoma"/>
            <family val="2"/>
          </rPr>
          <t>Max:</t>
        </r>
        <r>
          <rPr>
            <sz val="9"/>
            <color indexed="81"/>
            <rFont val="Tahoma"/>
            <family val="2"/>
          </rPr>
          <t xml:space="preserve">
direct CIM; Another 5 is indirect manufacturing
</t>
        </r>
      </text>
    </comment>
    <comment ref="F27" authorId="0">
      <text>
        <r>
          <rPr>
            <b/>
            <sz val="9"/>
            <color indexed="81"/>
            <rFont val="Tahoma"/>
            <family val="2"/>
          </rPr>
          <t>Max:</t>
        </r>
        <r>
          <rPr>
            <sz val="9"/>
            <color indexed="81"/>
            <rFont val="Tahoma"/>
            <family val="2"/>
          </rPr>
          <t xml:space="preserve">
includes 0.07 jobs/MWp for consultants, researchers, financial services</t>
        </r>
      </text>
    </comment>
    <comment ref="E28" authorId="0">
      <text>
        <r>
          <rPr>
            <b/>
            <sz val="9"/>
            <color indexed="81"/>
            <rFont val="Tahoma"/>
            <family val="2"/>
          </rPr>
          <t>Max:</t>
        </r>
        <r>
          <rPr>
            <sz val="9"/>
            <color indexed="81"/>
            <rFont val="Tahoma"/>
            <family val="2"/>
          </rPr>
          <t xml:space="preserve">
direct CIM; Another 5 is indirect manufacturing
</t>
        </r>
      </text>
    </comment>
    <comment ref="C32" authorId="0">
      <text>
        <r>
          <rPr>
            <b/>
            <sz val="9"/>
            <color indexed="81"/>
            <rFont val="Tahoma"/>
            <family val="2"/>
          </rPr>
          <t>Max:</t>
        </r>
        <r>
          <rPr>
            <sz val="9"/>
            <color indexed="81"/>
            <rFont val="Tahoma"/>
            <family val="2"/>
          </rPr>
          <t xml:space="preserve">
take same as Coal</t>
        </r>
      </text>
    </comment>
    <comment ref="C34" authorId="0">
      <text>
        <r>
          <rPr>
            <b/>
            <sz val="9"/>
            <color indexed="81"/>
            <rFont val="Tahoma"/>
            <family val="2"/>
          </rPr>
          <t>Max:</t>
        </r>
        <r>
          <rPr>
            <sz val="9"/>
            <color indexed="81"/>
            <rFont val="Tahoma"/>
            <family val="2"/>
          </rPr>
          <t xml:space="preserve">
kammen 08
</t>
        </r>
      </text>
    </comment>
    <comment ref="C35" authorId="0">
      <text>
        <r>
          <rPr>
            <b/>
            <sz val="9"/>
            <color indexed="81"/>
            <rFont val="Tahoma"/>
            <family val="2"/>
          </rPr>
          <t>Max:</t>
        </r>
        <r>
          <rPr>
            <sz val="9"/>
            <color indexed="81"/>
            <rFont val="Tahoma"/>
            <family val="2"/>
          </rPr>
          <t xml:space="preserve">
page 15
Also Kammen08 ref</t>
        </r>
      </text>
    </comment>
    <comment ref="F35" authorId="0">
      <text>
        <r>
          <rPr>
            <b/>
            <sz val="9"/>
            <color indexed="81"/>
            <rFont val="Tahoma"/>
            <family val="2"/>
          </rPr>
          <t>Max:</t>
        </r>
        <r>
          <rPr>
            <sz val="9"/>
            <color indexed="81"/>
            <rFont val="Tahoma"/>
            <family val="2"/>
          </rPr>
          <t xml:space="preserve">
Non-Fuel O&amp;M only
</t>
        </r>
      </text>
    </comment>
    <comment ref="C36" authorId="0">
      <text>
        <r>
          <rPr>
            <b/>
            <sz val="9"/>
            <color indexed="81"/>
            <rFont val="Tahoma"/>
            <family val="2"/>
          </rPr>
          <t>Max:</t>
        </r>
        <r>
          <rPr>
            <sz val="9"/>
            <color indexed="81"/>
            <rFont val="Tahoma"/>
            <family val="2"/>
          </rPr>
          <t xml:space="preserve">
per Kammen 09</t>
        </r>
      </text>
    </comment>
  </commentList>
</comments>
</file>

<file path=xl/comments5.xml><?xml version="1.0" encoding="utf-8"?>
<comments xmlns="http://schemas.openxmlformats.org/spreadsheetml/2006/main">
  <authors>
    <author>Max</author>
  </authors>
  <commentList>
    <comment ref="H19" authorId="0">
      <text>
        <r>
          <rPr>
            <b/>
            <sz val="9"/>
            <color indexed="81"/>
            <rFont val="Tahoma"/>
            <family val="2"/>
          </rPr>
          <t>Max:  [ref RE_Germany_text 2007 gross employment document. LInk: http://www.bmu.de/files/pdfs/allgemein/application/pdf/ee_bruttobeschaeftigung_en.pdf.   Same authors as 2007 update to 2006 RE report - see http://74.125.19.132/translate_c?hl=en&amp;sl=de&amp;u=http://www.erneuerbare-energien.de/inhalt/40294/4592/&amp;prev=/search%3Fq%3DErneuerbare%2BEnergien:%2BArbeitsplatzeffekte%2B2007%26hl%3Den%26rls%3Dcom.microsoft:*:IE-SearchBox%26rlz%3D1I7SKPB&amp;usg=ALkJrhjXkOTrVSvZJbiq3zJgu-6z4EaqAw]</t>
        </r>
        <r>
          <rPr>
            <sz val="9"/>
            <color indexed="81"/>
            <rFont val="Tahoma"/>
            <family val="2"/>
          </rPr>
          <t xml:space="preserve">
Central to the calculations is the turnover of companies manufacturing renewable energy (RE) installations in Germany. This is estimated from listed 2007 investments in Germany (including the volume of foreign trade), combined with a survey of the RE sector with the base year 2004. Based on this turnover, the gross employment numbers are determined using Input-Output analysis, taking the 2004 Input-Output Table from the Department of Statistics [StaBu08]. The RE sector is represented by technology-specific vectors derived from the 2004 survey data. Relevant benchmark data, such as the productivity of individual sectors, are adjusted as in the estimates from previous years [BMU06/BMU07].</t>
        </r>
      </text>
    </comment>
  </commentList>
</comments>
</file>

<file path=xl/comments6.xml><?xml version="1.0" encoding="utf-8"?>
<comments xmlns="http://schemas.openxmlformats.org/spreadsheetml/2006/main">
  <authors>
    <author>Max</author>
  </authors>
  <commentList>
    <comment ref="A57" authorId="0">
      <text>
        <r>
          <rPr>
            <b/>
            <sz val="9"/>
            <color indexed="81"/>
            <rFont val="Tahoma"/>
            <family val="2"/>
          </rPr>
          <t>Max:</t>
        </r>
        <r>
          <rPr>
            <sz val="9"/>
            <color indexed="81"/>
            <rFont val="Tahoma"/>
            <family val="2"/>
          </rPr>
          <t xml:space="preserve">
same as solar total generation below
</t>
        </r>
      </text>
    </comment>
  </commentList>
</comments>
</file>

<file path=xl/comments7.xml><?xml version="1.0" encoding="utf-8"?>
<comments xmlns="http://schemas.openxmlformats.org/spreadsheetml/2006/main">
  <authors>
    <author>Max</author>
  </authors>
  <commentList>
    <comment ref="A26" authorId="0">
      <text>
        <r>
          <rPr>
            <b/>
            <sz val="9"/>
            <color indexed="81"/>
            <rFont val="Tahoma"/>
            <family val="2"/>
          </rPr>
          <t>Max:</t>
        </r>
        <r>
          <rPr>
            <sz val="9"/>
            <color indexed="81"/>
            <rFont val="Tahoma"/>
            <family val="2"/>
          </rPr>
          <t xml:space="preserve">
I extrapolated trend line from 1981-2004 data 
out to 2030</t>
        </r>
      </text>
    </comment>
    <comment ref="A27" authorId="0">
      <text>
        <r>
          <rPr>
            <b/>
            <sz val="9"/>
            <color indexed="81"/>
            <rFont val="Tahoma"/>
            <family val="2"/>
          </rPr>
          <t>Max:</t>
        </r>
        <r>
          <rPr>
            <sz val="9"/>
            <color indexed="81"/>
            <rFont val="Tahoma"/>
            <family val="2"/>
          </rPr>
          <t xml:space="preserve">
I extrapolated trend line from 1981-2004 data 
out to 2030</t>
        </r>
      </text>
    </comment>
  </commentList>
</comments>
</file>

<file path=xl/sharedStrings.xml><?xml version="1.0" encoding="utf-8"?>
<sst xmlns="http://schemas.openxmlformats.org/spreadsheetml/2006/main" count="1320" uniqueCount="760">
  <si>
    <t xml:space="preserve"> </t>
  </si>
  <si>
    <t>TIME FRAME</t>
  </si>
  <si>
    <t>JOBS</t>
  </si>
  <si>
    <t>GENERATION ASSUMPTIONS</t>
  </si>
  <si>
    <t>U.S. Data Projections</t>
  </si>
  <si>
    <t xml:space="preserve"> Table  16.  Renewable Energy Generating Capacity and Generation</t>
  </si>
  <si>
    <t xml:space="preserve">                       (gigawatts, unless otherwise noted)</t>
  </si>
  <si>
    <t>2006</t>
  </si>
  <si>
    <t>2007</t>
  </si>
  <si>
    <t>2008</t>
  </si>
  <si>
    <t>2009</t>
  </si>
  <si>
    <t>2010</t>
  </si>
  <si>
    <t>2011</t>
  </si>
  <si>
    <t>2012</t>
  </si>
  <si>
    <t>2013</t>
  </si>
  <si>
    <t>2014</t>
  </si>
  <si>
    <t>2015</t>
  </si>
  <si>
    <t>2016</t>
  </si>
  <si>
    <t>2017</t>
  </si>
  <si>
    <t>2018</t>
  </si>
  <si>
    <t>2019</t>
  </si>
  <si>
    <t>2020</t>
  </si>
  <si>
    <t>2021</t>
  </si>
  <si>
    <t>2022</t>
  </si>
  <si>
    <t>2023</t>
  </si>
  <si>
    <t>2024</t>
  </si>
  <si>
    <t>2025</t>
  </si>
  <si>
    <t>2026</t>
  </si>
  <si>
    <t>2027</t>
  </si>
  <si>
    <t>2028</t>
  </si>
  <si>
    <t>2029</t>
  </si>
  <si>
    <t>2030</t>
  </si>
  <si>
    <t>Electric Power Sector 1/</t>
  </si>
  <si>
    <t xml:space="preserve"> Net Summer Capacity</t>
  </si>
  <si>
    <t xml:space="preserve">   Conventional Hydropower</t>
  </si>
  <si>
    <t xml:space="preserve">   Geothermal 2/</t>
  </si>
  <si>
    <t xml:space="preserve">   Municipal Waste 3/</t>
  </si>
  <si>
    <t xml:space="preserve">   Solar Thermal</t>
  </si>
  <si>
    <t xml:space="preserve">   Solar Photovoltaic 6/</t>
  </si>
  <si>
    <t xml:space="preserve">   Wind</t>
  </si>
  <si>
    <t xml:space="preserve">   Offshore Wind</t>
  </si>
  <si>
    <t>- -</t>
  </si>
  <si>
    <t xml:space="preserve">     Total</t>
  </si>
  <si>
    <t xml:space="preserve"> Generation (billion kilowatthours)</t>
  </si>
  <si>
    <t xml:space="preserve">      Dedicated Plants</t>
  </si>
  <si>
    <t xml:space="preserve">      Cofiring</t>
  </si>
  <si>
    <t xml:space="preserve">   Conventional Hydropower 9/</t>
  </si>
  <si>
    <t xml:space="preserve">   Geothermal</t>
  </si>
  <si>
    <t xml:space="preserve">   Biomass</t>
  </si>
  <si>
    <t xml:space="preserve">    Conventional Hydropower</t>
  </si>
  <si>
    <t xml:space="preserve">    Geothermal</t>
  </si>
  <si>
    <t xml:space="preserve">    Municipal Solid Waste</t>
  </si>
  <si>
    <t xml:space="preserve">    Solar 6/</t>
  </si>
  <si>
    <t xml:space="preserve">    Wind</t>
  </si>
  <si>
    <t xml:space="preserve">      Total</t>
  </si>
  <si>
    <t xml:space="preserve">  Generation (billion kilowatthours)   1e9 * 1e3 = 1e12 Wh</t>
  </si>
  <si>
    <t xml:space="preserve">    Wood and Other Biomass 5/</t>
  </si>
  <si>
    <t>GWh 1e9 Wh</t>
  </si>
  <si>
    <t>Total</t>
  </si>
  <si>
    <t xml:space="preserve">    Nuclear</t>
  </si>
  <si>
    <t xml:space="preserve">    CCS</t>
  </si>
  <si>
    <t xml:space="preserve">    EE</t>
  </si>
  <si>
    <t>GENERATION [GWh]</t>
  </si>
  <si>
    <t xml:space="preserve">    U.S. Data</t>
  </si>
  <si>
    <t xml:space="preserve"> Table   8.  Electricity Supply, Disposition, Prices, and Emissions</t>
  </si>
  <si>
    <t xml:space="preserve">                      (billion kilowatthours, unless otherwise noted)</t>
  </si>
  <si>
    <t>Net Generation by Fuel Type</t>
  </si>
  <si>
    <t xml:space="preserve">  Power Only 2/</t>
  </si>
  <si>
    <t xml:space="preserve">    Coal</t>
  </si>
  <si>
    <t xml:space="preserve">    Petroleum</t>
  </si>
  <si>
    <t xml:space="preserve">    Natural Gas 3/</t>
  </si>
  <si>
    <t xml:space="preserve">    Nuclear Power</t>
  </si>
  <si>
    <t xml:space="preserve">    Pumped Storage/Other 4/</t>
  </si>
  <si>
    <t xml:space="preserve">    Renewable Sources 5/</t>
  </si>
  <si>
    <t xml:space="preserve">    Distributed Generation (Natural Gas)</t>
  </si>
  <si>
    <t xml:space="preserve">  Combined Heat and Power 6/</t>
  </si>
  <si>
    <t xml:space="preserve">    Natural Gas</t>
  </si>
  <si>
    <t xml:space="preserve">    Renewable Sources</t>
  </si>
  <si>
    <t xml:space="preserve">  Total Net Generation</t>
  </si>
  <si>
    <t xml:space="preserve">  Less Direct Use</t>
  </si>
  <si>
    <t xml:space="preserve">    Less Direct Use</t>
  </si>
  <si>
    <t xml:space="preserve">      Total Sales to the Grid</t>
  </si>
  <si>
    <t xml:space="preserve">       Total</t>
  </si>
  <si>
    <t>Total Electricity Generation</t>
  </si>
  <si>
    <t>Total Net Generation to the Grid</t>
  </si>
  <si>
    <t>Net Imports</t>
  </si>
  <si>
    <t>Electricity Sales by Sector</t>
  </si>
  <si>
    <t xml:space="preserve">  Residential</t>
  </si>
  <si>
    <t xml:space="preserve">  Commercial</t>
  </si>
  <si>
    <t xml:space="preserve">  Industrial</t>
  </si>
  <si>
    <t xml:space="preserve">  Transportation</t>
  </si>
  <si>
    <t xml:space="preserve">    Total</t>
  </si>
  <si>
    <t>Direct Use</t>
  </si>
  <si>
    <t>Total Electricity Use</t>
  </si>
  <si>
    <t>End-Use Prices</t>
  </si>
  <si>
    <t xml:space="preserve">    Residential</t>
  </si>
  <si>
    <t xml:space="preserve">    Commercial</t>
  </si>
  <si>
    <t xml:space="preserve">    Industrial</t>
  </si>
  <si>
    <t xml:space="preserve">    Transportation</t>
  </si>
  <si>
    <t xml:space="preserve">      All Sectors Average</t>
  </si>
  <si>
    <t>(nominal cents per kilowatthour)</t>
  </si>
  <si>
    <t>Prices by Service Category</t>
  </si>
  <si>
    <t xml:space="preserve">    Generation</t>
  </si>
  <si>
    <t xml:space="preserve">    Transmission</t>
  </si>
  <si>
    <t xml:space="preserve">    Distribution</t>
  </si>
  <si>
    <t>Electric Power Sector Emissions 1/</t>
  </si>
  <si>
    <t xml:space="preserve">  Nitrogen Oxide (million tons)</t>
  </si>
  <si>
    <t>[Pct. RE Sources including Hydro]</t>
  </si>
  <si>
    <t>[Pct. RE Sources not including Hydro]</t>
  </si>
  <si>
    <t>[Nemet, Federal RPS RE Sources not incl Hydro, GWh]</t>
  </si>
  <si>
    <t>[Nemet, Pct. RE Sources not including Hydro]</t>
  </si>
  <si>
    <t xml:space="preserve">Total Generation </t>
  </si>
  <si>
    <t xml:space="preserve">    pct of Total</t>
  </si>
  <si>
    <t>[Nemet, Pct Inc YOY]</t>
  </si>
  <si>
    <t>RPS</t>
  </si>
  <si>
    <t>YOY Increase</t>
  </si>
  <si>
    <t>Max (RPS, EIA)</t>
  </si>
  <si>
    <t xml:space="preserve">    check:</t>
  </si>
  <si>
    <t xml:space="preserve">    Carbon capture and storage</t>
  </si>
  <si>
    <t xml:space="preserve">    Grid</t>
  </si>
  <si>
    <t xml:space="preserve">    Storage</t>
  </si>
  <si>
    <t xml:space="preserve">    Biomass</t>
  </si>
  <si>
    <t xml:space="preserve">    Carbon Capture and storage</t>
  </si>
  <si>
    <t>Federal RPS Pct.</t>
  </si>
  <si>
    <t xml:space="preserve">    ref: RPS</t>
  </si>
  <si>
    <t xml:space="preserve">    Biomass/ Wood</t>
  </si>
  <si>
    <t xml:space="preserve">    ref: RPS total</t>
  </si>
  <si>
    <t>RPS?</t>
  </si>
  <si>
    <t xml:space="preserve">    total (RPS)</t>
  </si>
  <si>
    <t>[pct Nuclear]</t>
  </si>
  <si>
    <t>Tot. Generation, BAU Ref.</t>
  </si>
  <si>
    <t xml:space="preserve">Total Generation, Modeled </t>
  </si>
  <si>
    <t>total gain</t>
  </si>
  <si>
    <t>Gain , EE</t>
  </si>
  <si>
    <t>Gain, RPS</t>
  </si>
  <si>
    <t>Nuclear Pct.</t>
  </si>
  <si>
    <t>Gain, Nuclear</t>
  </si>
  <si>
    <t>ccs,grid,storage</t>
  </si>
  <si>
    <t>Direct</t>
  </si>
  <si>
    <t>DIRECT JOBS [person-yrs]</t>
  </si>
  <si>
    <t>INDIRECT JOBS [person-yrs]</t>
  </si>
  <si>
    <t>INPUT INTO YELLOW BOXES</t>
  </si>
  <si>
    <t>Coal</t>
  </si>
  <si>
    <t>Wind</t>
  </si>
  <si>
    <t>Year</t>
  </si>
  <si>
    <t>Study</t>
  </si>
  <si>
    <t>Method</t>
  </si>
  <si>
    <t>Scenarios used</t>
  </si>
  <si>
    <t xml:space="preserve">Summary of state level studies. </t>
  </si>
  <si>
    <t>Subject</t>
  </si>
  <si>
    <t xml:space="preserve"> Net Expenditures for Imports of Crude Oil and</t>
  </si>
  <si>
    <t xml:space="preserve"> Gross Inputs to Crude Oil Distillation Units</t>
  </si>
  <si>
    <t xml:space="preserve"> Net Import Share of Product Supplied (percent</t>
  </si>
  <si>
    <t xml:space="preserve">   Total</t>
  </si>
  <si>
    <t xml:space="preserve">     Transportation</t>
  </si>
  <si>
    <t xml:space="preserve">     Residential and Commercial</t>
  </si>
  <si>
    <t xml:space="preserve">   by Sector</t>
  </si>
  <si>
    <t xml:space="preserve">     Residual Fuel Oil</t>
  </si>
  <si>
    <t xml:space="preserve">       of which:  Diesel</t>
  </si>
  <si>
    <t xml:space="preserve">   by Fuel</t>
  </si>
  <si>
    <t xml:space="preserve"> Liquid Fuels Consumption</t>
  </si>
  <si>
    <t xml:space="preserve">     Liquids from Biomass</t>
  </si>
  <si>
    <t xml:space="preserve">     Liquids from Coal</t>
  </si>
  <si>
    <t xml:space="preserve">     Liquids from Gas</t>
  </si>
  <si>
    <t xml:space="preserve">       Net Imports</t>
  </si>
  <si>
    <t xml:space="preserve">       Domestic Production</t>
  </si>
  <si>
    <t xml:space="preserve">     Biodiesel</t>
  </si>
  <si>
    <t xml:space="preserve">     Ethanol</t>
  </si>
  <si>
    <t xml:space="preserve">   Refinery Processing Gain 4/</t>
  </si>
  <si>
    <t xml:space="preserve">     Exports</t>
  </si>
  <si>
    <t xml:space="preserve">     Blending Component Imports</t>
  </si>
  <si>
    <t xml:space="preserve">     Unfinished Oil Imports</t>
  </si>
  <si>
    <t xml:space="preserve">     Gross Refined Product Imports 3/</t>
  </si>
  <si>
    <t xml:space="preserve">   Net Product Imports</t>
  </si>
  <si>
    <t xml:space="preserve">   Natural Gas Plant Liquids</t>
  </si>
  <si>
    <t xml:space="preserve"> Other Supply</t>
  </si>
  <si>
    <t xml:space="preserve">     Total Crude Supply</t>
  </si>
  <si>
    <t xml:space="preserve">   Other Crude Supply 2/</t>
  </si>
  <si>
    <t xml:space="preserve">     Gross Imports</t>
  </si>
  <si>
    <t xml:space="preserve">   Net Imports</t>
  </si>
  <si>
    <t xml:space="preserve">     Lower 48 States</t>
  </si>
  <si>
    <t xml:space="preserve">     Alaska</t>
  </si>
  <si>
    <t xml:space="preserve">   Domestic Crude Production 1/</t>
  </si>
  <si>
    <t xml:space="preserve"> Crude Oil</t>
  </si>
  <si>
    <t xml:space="preserve">                       (million barrels per day, unless otherwise noted)</t>
  </si>
  <si>
    <t xml:space="preserve"> Table  11.  Liquid Fuels Supply and Disposition</t>
  </si>
  <si>
    <t>[B gallons/ yr]</t>
  </si>
  <si>
    <t>[Tot. Domest. Eth/Biodiesel/Liq fr. Biomass]</t>
  </si>
  <si>
    <t>(I)  ELECTRIC POWER</t>
  </si>
  <si>
    <t>(II) BIO FUELS</t>
  </si>
  <si>
    <t>BAU EIA DOMESTIC SUPPLY [M bbls/ yr]</t>
  </si>
  <si>
    <t xml:space="preserve">    Biofuels</t>
  </si>
  <si>
    <t xml:space="preserve"> [Growth YOY]</t>
  </si>
  <si>
    <t xml:space="preserve">     in units of MBOE / year</t>
  </si>
  <si>
    <t>Indirect Multiplier</t>
  </si>
  <si>
    <t>[Pct. eth,biodies,biomass/ primary suppl ]</t>
  </si>
  <si>
    <t xml:space="preserve">   [in units of MBOE/ year]</t>
  </si>
  <si>
    <t>Total Primary Supply, BAU Ref</t>
  </si>
  <si>
    <t>Total Primary Supply, Modeled</t>
  </si>
  <si>
    <t>(II) BIO FUELS [M bbls/yr]</t>
  </si>
  <si>
    <t>DOMESTIC BIOFUEL SUPPLY, BAU Ref</t>
  </si>
  <si>
    <t>DOMESTIC BIOFUEL SUPPLY, Modeled</t>
  </si>
  <si>
    <t>Max(BAU Ref, Modeled)</t>
  </si>
  <si>
    <t xml:space="preserve">    Pct of Total (BAU Ref)</t>
  </si>
  <si>
    <t xml:space="preserve">    Pct of Total (Modeled)</t>
  </si>
  <si>
    <t xml:space="preserve">   B Gallons, Modeled</t>
  </si>
  <si>
    <t>[total jobs/Mboe]</t>
  </si>
  <si>
    <t>Primary Supply, BAU - Modeled</t>
  </si>
  <si>
    <t>Generation, BAU - Modeled</t>
  </si>
  <si>
    <t xml:space="preserve">    EE, Electricity</t>
  </si>
  <si>
    <t xml:space="preserve">    EE, liquid fuels</t>
  </si>
  <si>
    <t>BAU Ref "RPS"</t>
  </si>
  <si>
    <t>Work-hrs per year</t>
  </si>
  <si>
    <t>Employment Components</t>
  </si>
  <si>
    <t>Total jobs/MWp</t>
  </si>
  <si>
    <t>Total jobs/MWa</t>
  </si>
  <si>
    <t>Total person-yrs/GWh</t>
  </si>
  <si>
    <t>Energy Technology</t>
  </si>
  <si>
    <t>Source of Numbers</t>
  </si>
  <si>
    <t>Capacity Factor</t>
  </si>
  <si>
    <t>Wind 2</t>
  </si>
  <si>
    <t>REPP 2006</t>
  </si>
  <si>
    <t>Natural Gas</t>
  </si>
  <si>
    <t>REPP, 2001</t>
  </si>
  <si>
    <t>EE</t>
  </si>
  <si>
    <t>Nuclear</t>
  </si>
  <si>
    <t>(b) Transition quarter.</t>
  </si>
  <si>
    <t>(a) Navigation outlays by the Army Corps of Engineers are included in water resources rather than in water transportation.</t>
  </si>
  <si>
    <t>NOTE:  Data for state and local spending do not include expenditures on freight rail and, after 1990, water resources.</t>
  </si>
  <si>
    <t>SOURCE: Congressional Budget Office</t>
  </si>
  <si>
    <t>Mass + Rail, Capital 1960-80: 20% /yr increase</t>
  </si>
  <si>
    <t>Mass + Rail, Capital 1960-80: 7% /yr increase</t>
  </si>
  <si>
    <t>Net new jobs</t>
  </si>
  <si>
    <t>[Mass X-it + Rail, Capital]</t>
  </si>
  <si>
    <t>1994</t>
  </si>
  <si>
    <t>1993</t>
  </si>
  <si>
    <t>1992</t>
  </si>
  <si>
    <t>1991</t>
  </si>
  <si>
    <t>Operation and Maintenance</t>
  </si>
  <si>
    <t>Capital</t>
  </si>
  <si>
    <t>Rail</t>
  </si>
  <si>
    <t>Mass Transit</t>
  </si>
  <si>
    <t>2005 onward is PROJECTED DATA</t>
  </si>
  <si>
    <t>[Millions of Nominal $]</t>
  </si>
  <si>
    <t>rate of increase</t>
  </si>
  <si>
    <t>Table W-1. Total Public Infrastructure Spending by Federal, State, and Local Governments, 1956-2004 (in millions of nominal dollars)</t>
  </si>
  <si>
    <t xml:space="preserve">    Mass Transit and Rail</t>
  </si>
  <si>
    <t>[tot. jobs/M cap. Funding]</t>
  </si>
  <si>
    <t>ann growth 1960-80</t>
  </si>
  <si>
    <t xml:space="preserve">Note: BAU 2009-2030 is extrapolated from CBO data from 1981-2004 (hidden cells) </t>
  </si>
  <si>
    <t xml:space="preserve">Mass Transit, Rail Capital - BAU ref </t>
  </si>
  <si>
    <t>SCROLL TO 2009</t>
  </si>
  <si>
    <t>JOBS - BIOFUELS</t>
  </si>
  <si>
    <t>JOB - MASS TRANSIT, RAIL</t>
  </si>
  <si>
    <t xml:space="preserve">    Net Job Gain</t>
  </si>
  <si>
    <t xml:space="preserve">    Net new jobs</t>
  </si>
  <si>
    <t>CUMULATIVE TOTAL</t>
  </si>
  <si>
    <t>OUTPUT - New Jobs vs BAU in:</t>
  </si>
  <si>
    <t xml:space="preserve">Mass Transit, Rail Capital - Modeled </t>
  </si>
  <si>
    <t>Direct jobs</t>
  </si>
  <si>
    <t>Indirect jobs</t>
  </si>
  <si>
    <t>Total jobs</t>
  </si>
  <si>
    <t>Renewable Energy</t>
  </si>
  <si>
    <t>Citation</t>
  </si>
  <si>
    <t>Putting Renewables to Work: How Many Jobs Can the Clean Energy Industry Generate?</t>
  </si>
  <si>
    <t>Affiliation</t>
  </si>
  <si>
    <t>Daniel M. Kammen, Kamal Kapadia, and Matthias Fripp</t>
  </si>
  <si>
    <t xml:space="preserve">Energy and Resources Group, Universtiy of California, Berkeley.  </t>
  </si>
  <si>
    <t xml:space="preserve">C.R. Kenley, et al. </t>
  </si>
  <si>
    <t xml:space="preserve">Renewable Energy </t>
  </si>
  <si>
    <t>Meta-analysis of 13 studies on renewable energy job creation.  Normalization of job creation by average power over lifetime of plant.</t>
  </si>
  <si>
    <t>Comparison of average employement from five electricity generation scenarios.  Considers photovoltaics, wind, biomass and coal.</t>
  </si>
  <si>
    <t>American Council for an Energy Efficient Economy</t>
  </si>
  <si>
    <t xml:space="preserve">Positive Returns: State Energy Efficiency Analyses Can Inform U.S. Energy Policy Assessments
</t>
  </si>
  <si>
    <t>John A. "Skip" Laitner and Vanessa McKinney</t>
  </si>
  <si>
    <t>European Wind Energy Association</t>
  </si>
  <si>
    <t>Wind at Work: Wind energy and job creation in the EU</t>
  </si>
  <si>
    <t>Isabel Blanco and Christian Kjaer</t>
  </si>
  <si>
    <t>Frithjof Staiss, et al.</t>
  </si>
  <si>
    <t>Forschungsvorhaben im Auftrag des Bundesministeriums für Umwelt, Naturschutz und Reaktorsicherheit, Federal Republic of Germany.</t>
  </si>
  <si>
    <t>[scroll down to Total Electr. Gen by Fuel]</t>
  </si>
  <si>
    <t>[scroll down to Generation in bold]</t>
  </si>
  <si>
    <t xml:space="preserve">    EE Savings</t>
  </si>
  <si>
    <t>Direct Jobs, Modeled</t>
  </si>
  <si>
    <t>Indirect Jobs, Modeled</t>
  </si>
  <si>
    <t xml:space="preserve">    BAU Ref Biofuels jobs, Direct</t>
  </si>
  <si>
    <t xml:space="preserve">    BAU Ref Biofuels jobs, Indirect</t>
  </si>
  <si>
    <t xml:space="preserve">    Modeled Biofuels jobs, Direct</t>
  </si>
  <si>
    <t xml:space="preserve">    Modeled Biofuels jobs, Indirect</t>
  </si>
  <si>
    <t xml:space="preserve">    EE Jobs, Liq. Fuels, Direct</t>
  </si>
  <si>
    <t xml:space="preserve">    EE Jobs, Liq. Fuels, Indirect</t>
  </si>
  <si>
    <t xml:space="preserve">Direct Jobs, BAU ref </t>
  </si>
  <si>
    <t>Indirect Jobs, BAU</t>
  </si>
  <si>
    <t>Year [$ millions of nominal dollars]</t>
  </si>
  <si>
    <t xml:space="preserve">    Direct Jobs, BAU ref </t>
  </si>
  <si>
    <t xml:space="preserve">    Indirect Jobs, BAU</t>
  </si>
  <si>
    <t xml:space="preserve">    Direct Jobs, Modeled</t>
  </si>
  <si>
    <t xml:space="preserve">    Indirect Jobs, Modeled</t>
  </si>
  <si>
    <t>Jobs created (modeled)</t>
  </si>
  <si>
    <t>Jobs created (BAU ref)</t>
  </si>
  <si>
    <t xml:space="preserve">   Direct (BAU ref)</t>
  </si>
  <si>
    <t xml:space="preserve">   Indirect (BAU ref)</t>
  </si>
  <si>
    <t xml:space="preserve">   Direct (modeled)</t>
  </si>
  <si>
    <t xml:space="preserve">   Indirect (modeled)</t>
  </si>
  <si>
    <t>Net Jobs (modeled - BAU)</t>
  </si>
  <si>
    <t xml:space="preserve">   Net Direct Jobs (modeled - BAU)</t>
  </si>
  <si>
    <t xml:space="preserve">   Net Indirect Jobs (modeled - BAU)</t>
  </si>
  <si>
    <t>total</t>
  </si>
  <si>
    <t>Fuel extraction &amp; processing (person-yrs/GWh)</t>
  </si>
  <si>
    <t>Solar PV 1</t>
  </si>
  <si>
    <t>Solar PV 2</t>
  </si>
  <si>
    <t>Solar PV 3</t>
  </si>
  <si>
    <t>CALPIRG 2002</t>
  </si>
  <si>
    <t>Idaho National Engineering and Environmental Laboratory (INEEL) and Bechtel BWXT Idaho, LLC</t>
  </si>
  <si>
    <t>Renewable Energy jobs</t>
  </si>
  <si>
    <t>Heavner and Churchill</t>
  </si>
  <si>
    <t>CALPIRG (California Public Interest Research Group) Charitable Trust</t>
  </si>
  <si>
    <t>Job Growth from Renewable Energy Development in California</t>
  </si>
  <si>
    <t>Accessible at: https://www.policyarchive.org/bitstream/handle/10207/5556/CA-Renewables%20Work%20text.pdf?sequence=1</t>
  </si>
  <si>
    <t>Virender Singh, Jeffrey Fehrs</t>
  </si>
  <si>
    <t>Renewable Energy Policy Project (REPP)</t>
  </si>
  <si>
    <t>The Work that Goes into Renewable Energy</t>
  </si>
  <si>
    <t>Accessible at: http://www.repp.org/articles/static/1/binaries/LABOR_FINAL_REV.pdf</t>
  </si>
  <si>
    <t>George Sterzinger</t>
  </si>
  <si>
    <t>Jobs and Renewable Energy Project</t>
  </si>
  <si>
    <t>Accessible at: http://www.osti.gov/bridge/servlets/purl/899887-T9Q65H/899887.PDF</t>
  </si>
  <si>
    <t xml:space="preserve">    [assumes 0.5% growth rate after 2020]</t>
  </si>
  <si>
    <t xml:space="preserve">   Subtotal</t>
  </si>
  <si>
    <t>Other (petroleum, hydrogen,..)</t>
  </si>
  <si>
    <t xml:space="preserve">    SubTotal</t>
  </si>
  <si>
    <t xml:space="preserve">Coal </t>
  </si>
  <si>
    <t xml:space="preserve">[ratio of coal/ (coal + NG) ] </t>
  </si>
  <si>
    <t xml:space="preserve">   Sub Total, Generation</t>
  </si>
  <si>
    <t>Petroleum and Other</t>
  </si>
  <si>
    <t>Total Generation (check)</t>
  </si>
  <si>
    <t>Gain vs BAU(EIA)</t>
  </si>
  <si>
    <t xml:space="preserve">   [biomass]</t>
  </si>
  <si>
    <t xml:space="preserve">   [wind]</t>
  </si>
  <si>
    <t xml:space="preserve">   [solar]</t>
  </si>
  <si>
    <t xml:space="preserve">   [geothermal]</t>
  </si>
  <si>
    <t xml:space="preserve">   [municip. Solid waste]</t>
  </si>
  <si>
    <t xml:space="preserve">   [sum]</t>
  </si>
  <si>
    <t>BAU</t>
  </si>
  <si>
    <t xml:space="preserve">    Hydro (Small)</t>
  </si>
  <si>
    <t xml:space="preserve">    Small Hydro</t>
  </si>
  <si>
    <t>grand sum</t>
  </si>
  <si>
    <t>cksum</t>
  </si>
  <si>
    <t xml:space="preserve">    Solar PV</t>
  </si>
  <si>
    <t xml:space="preserve">    Solar Thermal</t>
  </si>
  <si>
    <t>[solar thermal/ total solar]</t>
  </si>
  <si>
    <t>[Solar total]</t>
  </si>
  <si>
    <t>Sum of Subtotal + coal, gas</t>
  </si>
  <si>
    <t xml:space="preserve">Renewable Generation </t>
  </si>
  <si>
    <t xml:space="preserve">    Biomass                  </t>
  </si>
  <si>
    <t xml:space="preserve">    Hydro (Small)         </t>
  </si>
  <si>
    <t xml:space="preserve">    Geothermal             </t>
  </si>
  <si>
    <t xml:space="preserve">    Solar PV </t>
  </si>
  <si>
    <t xml:space="preserve">    Solar Thermal </t>
  </si>
  <si>
    <t xml:space="preserve">    Wind </t>
  </si>
  <si>
    <t>2030 abs %</t>
  </si>
  <si>
    <t>CIM</t>
  </si>
  <si>
    <t>Wind 3</t>
  </si>
  <si>
    <t>EWEA 2008</t>
  </si>
  <si>
    <t>RPS PORTFOLIO - 2020</t>
  </si>
  <si>
    <t>Fraction of RPS</t>
  </si>
  <si>
    <t xml:space="preserve">    Nuclear [% to include in RPS]</t>
  </si>
  <si>
    <t>% total generation</t>
  </si>
  <si>
    <t xml:space="preserve">    Carbon capture and storage [% coal gen.]</t>
  </si>
  <si>
    <t>RPS ASSUMPTIONS</t>
  </si>
  <si>
    <t xml:space="preserve">    Low Carbon %</t>
  </si>
  <si>
    <t xml:space="preserve">    RPS %</t>
  </si>
  <si>
    <t xml:space="preserve">    2020 Low Carbon % of Total Gen.</t>
  </si>
  <si>
    <t xml:space="preserve">    2030 Low Carbon % of Total Gen.</t>
  </si>
  <si>
    <t>LOW CARBON ASSUMPTIONS</t>
  </si>
  <si>
    <t>LOW CARBON PORTFOLIO - 2020</t>
  </si>
  <si>
    <t xml:space="preserve">    Total RPS % + Low Carbon %,  2020</t>
  </si>
  <si>
    <t xml:space="preserve">    Total RPS [% of overall generation], 2020</t>
  </si>
  <si>
    <t>-</t>
  </si>
  <si>
    <t>SOURCES  [GWh or GWh equivalent]</t>
  </si>
  <si>
    <t>Renewables</t>
  </si>
  <si>
    <t xml:space="preserve">    2020 RPS. % of Total Gen.</t>
  </si>
  <si>
    <t xml:space="preserve">    2030 RPS % of Total Gen.</t>
  </si>
  <si>
    <t>Conventional Hydropower %</t>
  </si>
  <si>
    <t xml:space="preserve">    Electricity increase in 2030 over 2009 [%]</t>
  </si>
  <si>
    <t xml:space="preserve">    Subtotal</t>
  </si>
  <si>
    <t xml:space="preserve">        Low carbon</t>
  </si>
  <si>
    <t xml:space="preserve">        RPS</t>
  </si>
  <si>
    <t xml:space="preserve">        Low Carbon</t>
  </si>
  <si>
    <t>RPS Jobs (BAU)</t>
  </si>
  <si>
    <t xml:space="preserve">    Direct RPS (BAU)</t>
  </si>
  <si>
    <t xml:space="preserve">    Indirect RPS (BAU)</t>
  </si>
  <si>
    <t>Low Carbon (BAU)</t>
  </si>
  <si>
    <t xml:space="preserve">     Indirect Low Carbon (BAU)</t>
  </si>
  <si>
    <t xml:space="preserve">     Direct Low Carbon (BAU)</t>
  </si>
  <si>
    <t>Coal and NG Jobs</t>
  </si>
  <si>
    <t xml:space="preserve">      Direct Coal/NG (BAU)</t>
  </si>
  <si>
    <t xml:space="preserve">      Indirect Coal/NG (BAU)</t>
  </si>
  <si>
    <t>RPS Jobs (Modeled)</t>
  </si>
  <si>
    <t xml:space="preserve">    Direct RPS (Modeled)</t>
  </si>
  <si>
    <t xml:space="preserve">    Indirect RPS (Modeled)</t>
  </si>
  <si>
    <t>Low Carbon (Modeled)</t>
  </si>
  <si>
    <t xml:space="preserve">     Direct Low Carbon (Modeled)</t>
  </si>
  <si>
    <t xml:space="preserve">     Indirect Low Carbon (Modeled)</t>
  </si>
  <si>
    <t xml:space="preserve">      Direct Coal/NG (Modeled)</t>
  </si>
  <si>
    <t xml:space="preserve">      Indirect Coal/NG (Modeled)</t>
  </si>
  <si>
    <t>TOTAL</t>
  </si>
  <si>
    <t>EE Jobs (BAU)</t>
  </si>
  <si>
    <t xml:space="preserve">    Direct EE Jobs (BAU)</t>
  </si>
  <si>
    <t xml:space="preserve">    Indirect EE Jobs (BAU)</t>
  </si>
  <si>
    <t>EE Jobs (Modeled)</t>
  </si>
  <si>
    <t xml:space="preserve">    Direct EE Jobs (Modeled)</t>
  </si>
  <si>
    <t xml:space="preserve">    Indirect EE Jobs (Modeled)</t>
  </si>
  <si>
    <t>GROSS JOBS</t>
  </si>
  <si>
    <t>NET JOBS</t>
  </si>
  <si>
    <t>EE Jobs (Modeled - BAU)</t>
  </si>
  <si>
    <t xml:space="preserve">    Direct EE Jobs (Modeled - BAU)</t>
  </si>
  <si>
    <t xml:space="preserve">    Indirect EE Jobs (Modeled - BAU)</t>
  </si>
  <si>
    <t>RPS Jobs (Modeled - BAU)</t>
  </si>
  <si>
    <t xml:space="preserve">    Direct RPS (Modeled - BAU)</t>
  </si>
  <si>
    <t xml:space="preserve">    Indirect RPS (Modeled - BAU)</t>
  </si>
  <si>
    <t>Low Carbon (Modeled - BAU)</t>
  </si>
  <si>
    <t xml:space="preserve">     Direct Low Carbon (Modeled - BAU)</t>
  </si>
  <si>
    <t xml:space="preserve">     Indirect Low Carbon (Modeled - BAU)</t>
  </si>
  <si>
    <t xml:space="preserve">      Direct Coal/NG (Modeled - BAU)</t>
  </si>
  <si>
    <t xml:space="preserve">      Indirect Coal/NG (Modeled - BAU)</t>
  </si>
  <si>
    <t>TOTAL (BAU)</t>
  </si>
  <si>
    <t>TOTAL (MODELED)</t>
  </si>
  <si>
    <t>Energy Efficiency 1</t>
  </si>
  <si>
    <t>Energy Efficiency 2</t>
  </si>
  <si>
    <t>ACEEE 2008</t>
  </si>
  <si>
    <t>J. Goldemberg 2009</t>
  </si>
  <si>
    <t>Carbon Capture &amp; Storage</t>
  </si>
  <si>
    <t>J. Friedmann, 2009</t>
  </si>
  <si>
    <t>INEEL 2004</t>
  </si>
  <si>
    <t>Solar Thermal 1</t>
  </si>
  <si>
    <t>Solar Thermal 2</t>
  </si>
  <si>
    <t>Solar Thermal 3</t>
  </si>
  <si>
    <t>NREL 2006</t>
  </si>
  <si>
    <t>NREL 2008</t>
  </si>
  <si>
    <t>Adjustment for EE multiplier being NET already:</t>
  </si>
  <si>
    <t>coal jobs</t>
  </si>
  <si>
    <t>NG jobs</t>
  </si>
  <si>
    <t xml:space="preserve">   direct</t>
  </si>
  <si>
    <t xml:space="preserve">   indirect</t>
  </si>
  <si>
    <t xml:space="preserve">    total EE, RPS jobs</t>
  </si>
  <si>
    <t xml:space="preserve">    EE + RPS</t>
  </si>
  <si>
    <t xml:space="preserve">    EE+ RPS + Low Carbon</t>
  </si>
  <si>
    <t xml:space="preserve">    total EE, RPS, Low carbon jobs</t>
  </si>
  <si>
    <r>
      <t xml:space="preserve">    </t>
    </r>
    <r>
      <rPr>
        <sz val="11"/>
        <color theme="1"/>
        <rFont val="Calibri"/>
        <family val="2"/>
        <scheme val="minor"/>
      </rPr>
      <t>BAU RPS + Low C</t>
    </r>
  </si>
  <si>
    <t>CUMULATIVE JOB-YRS</t>
  </si>
  <si>
    <t>Cumulative Jobs-Yrs</t>
  </si>
  <si>
    <t xml:space="preserve">   Net Direct Job-Yrs</t>
  </si>
  <si>
    <t xml:space="preserve">   Net Indirect Jobs-Yrs</t>
  </si>
  <si>
    <t>Cumulative Job-Yrs RPS (BAU)</t>
  </si>
  <si>
    <t>Cumulative Job-Yrs RPS (Modeled)</t>
  </si>
  <si>
    <t>Cum. Job-Yrs Coal and NG (Modeled)</t>
  </si>
  <si>
    <t>Cum. Job-Yrs Coal and NG (BAU)</t>
  </si>
  <si>
    <t>Net Coal Cum. Job-Yrs</t>
  </si>
  <si>
    <t xml:space="preserve">    check</t>
  </si>
  <si>
    <t>Cumulative Job Years</t>
  </si>
  <si>
    <t>No.</t>
  </si>
  <si>
    <t>Author - Affiliation</t>
  </si>
  <si>
    <t xml:space="preserve">WInd sector employment in EU increasing from 154k in 2007 to 377k in 2030.  180 GW of wind energy will be operating in the EU in 2020 and 300 GW by the end of 2030. Over that period, an increasing share of the installations will be offshore. </t>
  </si>
  <si>
    <r>
      <t xml:space="preserve">Isabel Blanco and Christian Kjaer (2009) </t>
    </r>
    <r>
      <rPr>
        <i/>
        <sz val="10"/>
        <color indexed="8"/>
        <rFont val="Calibri"/>
        <family val="2"/>
      </rPr>
      <t>Wind at Work: Wind energy and job creation in the EU,</t>
    </r>
    <r>
      <rPr>
        <sz val="10"/>
        <color indexed="8"/>
        <rFont val="Times"/>
      </rPr>
      <t xml:space="preserve"> </t>
    </r>
    <r>
      <rPr>
        <sz val="10"/>
        <color indexed="8"/>
        <rFont val="Calibri"/>
        <family val="2"/>
      </rPr>
      <t>European Wind Energy Association. Available from: http://www.ewea.org/fileadmin/ewea_documents/documents/publications/Wind_at_work_FINAL.pdf [Accessed 3 February 2009].</t>
    </r>
  </si>
  <si>
    <t>Julio Friedmann</t>
  </si>
  <si>
    <t>Lawrence Livermore National Laboratory</t>
  </si>
  <si>
    <t xml:space="preserve">Personal communcation, 13 February 2009, on Carbon capture and storage job impacts </t>
  </si>
  <si>
    <t xml:space="preserve">Model three paths for CCS: (1) pulverized coal; (2) IGCC; (3) Natural gas carbon capture. </t>
  </si>
  <si>
    <t xml:space="preserve">Consider situation where all three paths occur and take average of employment effects. </t>
  </si>
  <si>
    <t xml:space="preserve">José Goldemberg </t>
  </si>
  <si>
    <t>State of São Paulo, Brazil</t>
  </si>
  <si>
    <t>Personal communcation, 13 February 2009, on Energy efficiency and jobs data</t>
  </si>
  <si>
    <t>SkyFuels</t>
  </si>
  <si>
    <t xml:space="preserve">National Renewable Energy Laboratory </t>
  </si>
  <si>
    <t xml:space="preserve">Personal communication 21 March 2009 on Solar Thermal jobs data. </t>
  </si>
  <si>
    <t>Jobs and Economic Development Impact (“JEDI”) model</t>
  </si>
  <si>
    <t xml:space="preserve">1000 MW online by 2014, total projected CSP project job creation through 2014 ~ 33,300 FTE jobs
</t>
  </si>
  <si>
    <t xml:space="preserve">Based on a review of 48 different assessments, this report highlights the findings of a wide variety of studies that explore the many possibilities of further gains in energy efficiency, especially at the regional and state level.  The studies reviewed here show an average 23 percent efficiency gain with a nearly 2 to 1 benefit-cost ratio.  From analyzing this set of studies, we estimate that a 20 percent to 30 percent energy efficiency gain within the U.S. economy might lead to a net gain of 500,000 to 1,500,000 jobs by 2030.  </t>
  </si>
  <si>
    <r>
      <t xml:space="preserve">John A. "Skip" Laitner and Vanessa McKinney (2008) </t>
    </r>
    <r>
      <rPr>
        <i/>
        <sz val="10"/>
        <color indexed="8"/>
        <rFont val="Calibri"/>
        <family val="2"/>
      </rPr>
      <t>Positive Returns: State Energy Efficiency Analyses Can Inform U.S. Energy Policy Assessments</t>
    </r>
    <r>
      <rPr>
        <sz val="10"/>
        <color indexed="8"/>
        <rFont val="Calibri"/>
        <family val="2"/>
      </rPr>
      <t>,  American Council for an Energy Efficient Economy. Available from: http://www.aceee.org/pubs/e084.htm [Accessed on 21 January 2009].</t>
    </r>
  </si>
  <si>
    <t>David Roland-Holst</t>
  </si>
  <si>
    <t>University of California, Berkeley</t>
  </si>
  <si>
    <t>Energy Efficiency, Innovation, and Job Creation in California (I/O model)</t>
  </si>
  <si>
    <t>Detailed I/O tables aggregated to 50-sector framework over period 1972-2006 for detailed historical employment impact.</t>
  </si>
  <si>
    <t>Modeled 1972-2006 period in California households with redirected expenditures from energy efficiency savings creating about 1.5 million FTE jobs with a total payroll of $45 billion, driven by household energy savings of $56 billion.</t>
  </si>
  <si>
    <t>Winfried Hoffman, Sven Teske</t>
  </si>
  <si>
    <t>European Photovoltaic Industry Association (EPIA) and Greenpeace</t>
  </si>
  <si>
    <t xml:space="preserve">Solar Generation: Solar Electricity for Over One Billion People and Two Million Jobs by 2020. </t>
  </si>
  <si>
    <t>Information provided by industry</t>
  </si>
  <si>
    <t>Global PV systems output 589 TWh in 2025, 276 TWh in 2020.</t>
  </si>
  <si>
    <r>
      <t xml:space="preserve">Frithjof Staiss, et al., </t>
    </r>
    <r>
      <rPr>
        <i/>
        <sz val="10"/>
        <color indexed="8"/>
        <rFont val="Calibri"/>
        <family val="2"/>
      </rPr>
      <t>Erneuerbare Energien: Arbeitsplatzeffekte (</t>
    </r>
    <r>
      <rPr>
        <sz val="10"/>
        <color indexed="8"/>
        <rFont val="Calibri"/>
        <family val="2"/>
      </rPr>
      <t>2006) Forschungsvorhaben im Auftrag des Bundesministeriums für Umwelt, Naturschutz und Reaktorsicherheit, Federal Republic of Germany. Available from http://www.bmu.de/files/pdfs/allgemein/application/pdf/arbeitsmarkt_ee_lang.pdf [Accessed on 29 January 2009].</t>
    </r>
  </si>
  <si>
    <t>Used enhanced version of 2002 REPP Jobs Calculator and Nevada RPS standards to yield labor information about wind, PV, biomass co-firing, and geothermal technologies.</t>
  </si>
  <si>
    <t>Concentrated Solar Power</t>
  </si>
  <si>
    <t>L. Stoddard, J. Abiecunas, R. O'Connell</t>
  </si>
  <si>
    <t>National Renewable Energy Laboratory</t>
  </si>
  <si>
    <t>Economic, Energy, and Environmental Benefits of Concentrating  Solar Power in California</t>
  </si>
  <si>
    <t xml:space="preserve">100 MW parabolic trough plant with 6 hours of storage was used as a representative CSP plant. Cumulative deployment scenarious of 2100 MW and 4000 MW were assumed for 2008 to 2020.  Assumed that technological improvements would result in 150 and 200 MW plants in 2011 and 2015, respectively. Included learning curve estimations based on NREL data. </t>
  </si>
  <si>
    <t>Accessible at: http://www.ceert.org/reports_pdf/Concentrating_Solar_May2006.pdf</t>
  </si>
  <si>
    <t>Vestas</t>
  </si>
  <si>
    <t>Windpower and Development: Jobs, Industry and Export</t>
  </si>
  <si>
    <t>Sources: Renewable Energy Vermont; Strom Thurmond Institute: McKinsey (2006)</t>
  </si>
  <si>
    <t xml:space="preserve">Jobs generated by an onshore and on offshore park, considering development and installation jobs and operations and maintenance jobs. </t>
  </si>
  <si>
    <t>Clean Energy</t>
  </si>
  <si>
    <t>Doug Arent, John Tschirhart, Dick Watsson</t>
  </si>
  <si>
    <t>Western Governors' Association: Geothermal Task Force</t>
  </si>
  <si>
    <t>Clean and Diversified Energy Initiative (CDEAC)</t>
  </si>
  <si>
    <t xml:space="preserve">Study synthesizing  views and research of 24 members of geothermal community. </t>
  </si>
  <si>
    <t>Accessible at: http://www.westgov.org/wga/initiatives/cdeac/Geothermal-full.pdf</t>
  </si>
  <si>
    <t>Jose Gil and Hugo Lucas</t>
  </si>
  <si>
    <t>Institute for Diversification and Saving of Energy (Instituto para la Diversificacion y Ahorro de la Energia, IDAE)</t>
  </si>
  <si>
    <t>Plan for Renewable Energy in Spain 2005-2010 (Plan de Energias Renovables en Espana 2005-2010)</t>
  </si>
  <si>
    <r>
      <t xml:space="preserve">Daniel M. Kammen, Kamal Kapadia, and Matthias Fripp (2004) </t>
    </r>
    <r>
      <rPr>
        <i/>
        <sz val="10"/>
        <color indexed="8"/>
        <rFont val="Calibri"/>
        <family val="2"/>
      </rPr>
      <t xml:space="preserve">Putting Renewables to Work: How Many Jobs Can the Clean Energy Industry Generate? </t>
    </r>
    <r>
      <rPr>
        <sz val="10"/>
        <color indexed="8"/>
        <rFont val="Calibri"/>
        <family val="2"/>
      </rPr>
      <t xml:space="preserve">RAEL Report, Universtiy of California, Berkeley.  Available from http://socrates.berkeley.edu/~rael/papers.html [Accessed on 16 January 2009]. </t>
    </r>
  </si>
  <si>
    <t>U.S. Job Creation Due to Nuclear Power Resurgence in the United States</t>
  </si>
  <si>
    <t>Industry/expert estimates for manufacturing and  construction/operations jobs:  Indirect/induced jobs via NEI (Nuclear Energy Institute) economic impact studies and U.S. Census Data IMPLAN modeling tool</t>
  </si>
  <si>
    <t>33-41 Gen III units, 1200-1500 Mwe for 50,000 Mwe by 2020. Construction from 2009-24.  1-2 plants/yr online starting 2014 to 4-5 plants online 2020-2024.  40,000 manufacturing jobs,  80,000 construction/operations jobs and 500,000 total with direct: indirect: induced  ratios of 1:1.7:1.7.</t>
  </si>
  <si>
    <r>
      <t xml:space="preserve">C.R. Kenley, et al., (2004) </t>
    </r>
    <r>
      <rPr>
        <i/>
        <sz val="10"/>
        <color indexed="8"/>
        <rFont val="Calibri"/>
        <family val="2"/>
      </rPr>
      <t>U.S. Job Creation Due to Nuclear Power Resurgence in the United States</t>
    </r>
    <r>
      <rPr>
        <sz val="10"/>
        <color indexed="8"/>
        <rFont val="Calibri"/>
        <family val="2"/>
      </rPr>
      <t>, Volumes 1 and 2,  Idaho National Engineering and Environmental Laboratory Bechtel BWXT Idaho, LLC. Available from: http://www.inl.gov/technicalpublications/Documents/3772069.pdf [Accessed on 21 January 2009].</t>
    </r>
  </si>
  <si>
    <t xml:space="preserve">Report detailing job creation potential of renewable energy industry in California. Data is yielded from CEC (Califonia Energy Commission) research, and a CEC funded EPRI (Electric Power Research Institute) study from 2001. </t>
  </si>
  <si>
    <t xml:space="preserve">Comparison of employment projections from CEC and data from existing plants was used to derive employment rates for wind, geothermal, solar PV, solar thermal, and landfill/digester gas. </t>
  </si>
  <si>
    <t>Study calculates jobs in person-yrs/MW and person-yrs/$ invested. Uses a simple model, does not take into account multiplier effects as an I-O model would. Authors collected primary employment data from companies in the solar PV, wind energy and coal sectors, and used project scenario numbers for biomass energy. Study takes in account jobs in manufacture, transport and delivery, construction and installation, and O&amp;M.</t>
  </si>
  <si>
    <t>None.</t>
  </si>
  <si>
    <t>[ENTER "bau" for reference or business-as-usual case]</t>
  </si>
  <si>
    <t>5) Enter low carbon constituents, e.g. 0% for Carbon capture and storage, 5.9% for conventional hydropower, 18.7% for nuclear.</t>
  </si>
  <si>
    <t>(These values should sum to Total RPS percentage above]</t>
  </si>
  <si>
    <t>(These values should sum to Total Low Carbon percentage above]</t>
  </si>
  <si>
    <t>[Job-years per GWh saved]</t>
  </si>
  <si>
    <t>[Job-years per GWh]</t>
  </si>
  <si>
    <t>6) Enter Direct Jobs muliplier for each technology [in units of Job-years per GWh]</t>
  </si>
  <si>
    <t>7) Enter Indirect Jobs multiplier for each technology [additonal indirect jobs as fraction of Direct Jobs].</t>
  </si>
  <si>
    <t>3) Enter constituents of RPS portfolio in 2020, e.g. 9.5% Biomass, 1.5% Hydro(small), 1.1% Geothermal, 1.3% Municipal Solid Waste, 1% Solar, 0.1% Solar Thermal, 5.5% Wind.</t>
  </si>
  <si>
    <t>("BAU" refers to Business-as-usual reference case according to EIA Dec. 2008 data)</t>
  </si>
  <si>
    <t>0) Input desired values in highlighted yellow boxes</t>
  </si>
  <si>
    <t>Target of 12 percent of primary energy being met from renewable sources by 2010 and in 2010 electricity generation from renewable sources will account for 30.3 percent of gross consumption. </t>
  </si>
  <si>
    <t>Accessible at: http://www.idae.es/index.php/mod.pags/mem.detalle/idpag.14/relcategoria.1153/relmenu.12</t>
  </si>
  <si>
    <t xml:space="preserve">Industry analysis and projected growth to 2010 </t>
  </si>
  <si>
    <t>Erneuerbare Energien: Arbeitsplatzeffekte – Wirkungen des Ausbaus erneuerbarer Energien auf den deutschen Arbeitsmarkt</t>
  </si>
  <si>
    <t xml:space="preserve">I/O analysiswith renewable sector represented by technology specific vectors derived from 2004 survey data.   2004 estimate : 157,000 employed by renewable industry with 71.5k direct and 85.5k indirect. </t>
  </si>
  <si>
    <t>BAU 2020</t>
  </si>
  <si>
    <t>Virender Singh of Renewable Energy Policy Project (REPP) and Jeffrey Fehrs of BBC Research and Consulting</t>
  </si>
  <si>
    <t>2020 abs %</t>
  </si>
  <si>
    <t>CCS % of coal</t>
  </si>
  <si>
    <t>CCS abs % of generation</t>
  </si>
  <si>
    <t xml:space="preserve">   ck CCS% of coal</t>
  </si>
  <si>
    <t>sum RPS %</t>
  </si>
  <si>
    <t>Intermediate SOURCE PCT of TOTAL GEN.: calc'd % as function of 2020 target</t>
  </si>
  <si>
    <t>% RPS gen annual inc</t>
  </si>
  <si>
    <t>annual increase in RPS %</t>
  </si>
  <si>
    <t>BAU 2030</t>
  </si>
  <si>
    <t>Annual Increase in RPS component</t>
  </si>
  <si>
    <t>2020-2030</t>
  </si>
  <si>
    <t xml:space="preserve">FINAL SOURCE PCT of TOTAL GEN. : </t>
  </si>
  <si>
    <t>YOY increase</t>
  </si>
  <si>
    <t>Cum Job-Yrs (Modeled BAU - EIA BAU)</t>
  </si>
  <si>
    <t>8) Enter year of desired job output [cell k14 of "Inputs" worksheet], e.g. 2020</t>
  </si>
  <si>
    <t>1) Enter electricity generation assumption: e.g. "bau" for reference case, 11.4% for 0.5X of reference, 0% for no growth</t>
  </si>
  <si>
    <t>Assumes that wind energy creates 15 jobs (man years) per MW of annual installation, turbine manufacturing, component manufacturing,
wind farm development, installation and
indirect employment. O&amp;M work contributes an additional 0.40 jobs per MW of total installed capacity.</t>
  </si>
  <si>
    <t>Study focusing on economic return, energy supplyl impact, and environmental benefits of CSP (Concentrating Solar Power) in California.   RIMS II I/O model.</t>
  </si>
  <si>
    <t>bau</t>
  </si>
  <si>
    <t>Equipment lifetime (years)</t>
  </si>
  <si>
    <t>Average Employment Over Life of Facility</t>
  </si>
  <si>
    <t>CIM (person-years/
MWp)</t>
  </si>
  <si>
    <t>O&amp;M (jobs/
MWp)</t>
  </si>
  <si>
    <t>O&amp;M and fuel process-
ing</t>
  </si>
  <si>
    <t>Avg</t>
  </si>
  <si>
    <t>Biomass 1</t>
  </si>
  <si>
    <t>EPRI 2001</t>
  </si>
  <si>
    <t>Biomass 2</t>
  </si>
  <si>
    <t xml:space="preserve">REPP2001 </t>
  </si>
  <si>
    <t>Geothermal 1</t>
  </si>
  <si>
    <t>WGA 2005</t>
  </si>
  <si>
    <t>Geothermal 2</t>
  </si>
  <si>
    <t>Geothermal 3</t>
  </si>
  <si>
    <t>Landfill Gas 1</t>
  </si>
  <si>
    <t>Landfill Gas 2</t>
  </si>
  <si>
    <t>Small Hydro</t>
  </si>
  <si>
    <t>EPIA 2006</t>
  </si>
  <si>
    <t>Wind 1</t>
  </si>
  <si>
    <t>McKinsey 2006</t>
  </si>
  <si>
    <t>Wind 4</t>
  </si>
  <si>
    <t>Wind 5</t>
  </si>
  <si>
    <t xml:space="preserve">    2040 RPS. % of Total Gen.</t>
  </si>
  <si>
    <t xml:space="preserve">    2050 RPS % of Total Gen.</t>
  </si>
  <si>
    <t xml:space="preserve">    2040 Low Carbon % of Total Gen.</t>
  </si>
  <si>
    <t xml:space="preserve">    2050 Low Carbon % of Total Gen.</t>
  </si>
  <si>
    <t>2031</t>
  </si>
  <si>
    <t>2032</t>
  </si>
  <si>
    <t>2033</t>
  </si>
  <si>
    <t>2034</t>
  </si>
  <si>
    <t>2035</t>
  </si>
  <si>
    <t>2036</t>
  </si>
  <si>
    <t>2037</t>
  </si>
  <si>
    <t>2038</t>
  </si>
  <si>
    <t>2039</t>
  </si>
  <si>
    <t>2040</t>
  </si>
  <si>
    <t>Next release date full report: September 2014</t>
  </si>
  <si>
    <t>(2012 cents per kilowatthour)</t>
  </si>
  <si>
    <t>2011-2040</t>
  </si>
  <si>
    <t xml:space="preserve"> Petroleum Products (billion 2012 dollars)</t>
  </si>
  <si>
    <t>   1/ Includes lease condensate.</t>
  </si>
  <si>
    <t>   2/ Strategic petroleum reserve stock additions plus unaccounted for crude oil and crude stock withdrawals minus crude product supplied.</t>
  </si>
  <si>
    <t>   3/ Includes other hydrocarbons and alcohols.</t>
  </si>
  <si>
    <t>   4/ The volumetric amount by which total output is greater than input due to the processing of crude oil into products which, in total,</t>
  </si>
  <si>
    <t>have a lower specific gravity than the crude oil processed.</t>
  </si>
  <si>
    <t>   5/ Includes pyrolysis oils, biomass-derived Fischer-Tropsch liquids, biobutanol, and renewable feedstocks used for the</t>
  </si>
  <si>
    <t>on-site production of diesel and gasoline.</t>
  </si>
  <si>
    <t>   6/ Includes domestic sources of other blending components, other hydrocarbons, and ethers.</t>
  </si>
  <si>
    <t>   7/ Total crude supply plus other petroleum supply plus other non-petroleum supply.</t>
  </si>
  <si>
    <t>   8/ Includes ethane, natural gasoline, and refinery olefins.</t>
  </si>
  <si>
    <t>   9/ Includes ethanol and ethers blended into gasoline.</t>
  </si>
  <si>
    <t>   10/ E85 refers to a blend of 85 percent ethanol (renewable) and 15 percent motor gasoline (nonrenewable).  To address</t>
  </si>
  <si>
    <t>cold starting issues, the percentage of ethanol varies seasonally.  The annual average ethanol content of</t>
  </si>
  <si>
    <t>74 percent is used for this forecast.</t>
  </si>
  <si>
    <t>   11/ Includes only kerosene type.</t>
  </si>
  <si>
    <t>   12/ Includes distillate fuel oil from petroleum and biomass feedstocks.</t>
  </si>
  <si>
    <t>   13/ Includes kerosene, aviation gasoline, petrochemical feedstocks, lubricants, waxes, asphalt, road oil, still gas,</t>
  </si>
  <si>
    <t>special naphthas, petroleum coke, crude oil product supplied, methanol, and miscellaneous petroleum products.</t>
  </si>
  <si>
    <t>   14/ Includes energy for combined heat and power plants that have a non-regulatory status, and small on-site generating systems.</t>
  </si>
  <si>
    <t>   15/ Includes consumption of energy by electricity-only and combined heat and power plants that have a regulatory status.</t>
  </si>
  <si>
    <t>   16/ Balancing item. Includes unaccounted for supply, losses, and gains.</t>
  </si>
  <si>
    <t>   17/ End-of-year operable capacity.</t>
  </si>
  <si>
    <t>   18/ Rate is calculated by dividing the gross annual input to atmospheric crude oil distillation units by their</t>
  </si>
  <si>
    <t>operable refining capacity in barrels per calendar day.</t>
  </si>
  <si>
    <t>   - - = Not applicable.</t>
  </si>
  <si>
    <t>   Note:  Totals may not equal sum of components due to independent rounding.  Data for 2011 and 2012</t>
  </si>
  <si>
    <t>are model results and may differ from official EIA data reports.</t>
  </si>
  <si>
    <t>   Sources:  2011 and 2012 product supplied based on:  U.S. Energy Information Administration (EIA),</t>
  </si>
  <si>
    <t>Monthly Energy Review, DOE/EIA-0035(2013/09) (Washington, DC, September 2013).</t>
  </si>
  <si>
    <t>Other 2011 data:  EIA, Petroleum Supply Annual 2011, DOE/EIA-0340(2011)/1 (Washington, DC, August 2012).</t>
  </si>
  <si>
    <t>Other 2012 data:  EIA, Petroleum Supply Annual 2012, DOE/EIA-0340(2012)/1 (Washington, DC, September 2013).</t>
  </si>
  <si>
    <t>Projections:  EIA, AEO2014 National Energy Modeling System.</t>
  </si>
  <si>
    <t xml:space="preserve">    Renewable Sources 5,9/</t>
  </si>
  <si>
    <t xml:space="preserve">    Other 11/</t>
  </si>
  <si>
    <t xml:space="preserve">  Mercury (short tons)</t>
  </si>
  <si>
    <t xml:space="preserve">  Sulfur Dioxide (million short tons)</t>
  </si>
  <si>
    <t>   1/ Includes electricity-only and combined heat and power plants that have a regulatory status.</t>
  </si>
  <si>
    <t>   2/ Includes plants that only produce electricity and that have a regulatory status.</t>
  </si>
  <si>
    <t>   3/ Includes electricity generation from fuel cells.</t>
  </si>
  <si>
    <t>   4/ Includes non-biogenic municipal waste.  The U.S. Energy Information Administration estimates that in</t>
  </si>
  <si>
    <t>2012 approximately 7 billion kilowatthours of electricity were generated from a municipal waste stream containing</t>
  </si>
  <si>
    <t>petroleum-derived plastics and other non-renewable sources.  See U.S. Energy Information Administration, Methodology</t>
  </si>
  <si>
    <t>for Allocating Municipal Solid Waste to Biogenic and Non-Biogenic Energy (Washington, DC, May 2007).</t>
  </si>
  <si>
    <t>   5/ Includes conventional hydroelectric, geothermal, wood, wood waste, biogenic municipal waste, landfill gas,</t>
  </si>
  <si>
    <t>other biomass, solar, and wind power.</t>
  </si>
  <si>
    <t>   6/ Includes combined heat and power plants whose primary business is to sell electricity and heat to the public</t>
  </si>
  <si>
    <t>(i.e., those that report North American Industry Classification System code 22 or that have a regulatory status).</t>
  </si>
  <si>
    <t>   7/ Includes combined heat and power plants and electricity-only plants in the commercial and industrial sectors that have a non-regulatory</t>
  </si>
  <si>
    <t>status; and small on-site generating systems in the residential, commercial, and industrial sectors used primarily for own-use generation,</t>
  </si>
  <si>
    <t>but which may also sell some power to the grid.</t>
  </si>
  <si>
    <t>   8/ Includes refinery gas and still gas.</t>
  </si>
  <si>
    <t>   9/ Includes conventional hydroelectric, geothermal, wood, wood waste, all municipal waste, landfill gas,</t>
  </si>
  <si>
    <t>   10/ Includes batteries, chemicals, hydrogen, pitch, purchased steam, sulfur, and miscellaneous technologies.</t>
  </si>
  <si>
    <t>   11/ Includes pumped storage, non-biogenic municipal waste, refinery gas, still gas, batteries,</t>
  </si>
  <si>
    <t>chemicals, hydrogen, pitch, purchased steam, sulfur, and miscellaneous technologies.</t>
  </si>
  <si>
    <t>   Sources:  2011 and 2012 electric power sector generation; sales to the grid;</t>
  </si>
  <si>
    <t>net imports; electricity sales; and electricity end-use prices:  U.S. Energy Information Administration (EIA),</t>
  </si>
  <si>
    <t>Monthly Energy Review, DOE/EIA-0035(2013/09) (Washington, DC, September 2013) and supporting databases.  2011 and 2012 emissions:  U.S.</t>
  </si>
  <si>
    <t>Environmental Protection Agency, Clean Air Markets Database.  2011 and 2012 prices by service</t>
  </si>
  <si>
    <t>category:  EIA, AEO2014 National Energy Modeling System.  Projections:  EIA, AEO2014 National Energy Modeling</t>
  </si>
  <si>
    <t>System.</t>
  </si>
  <si>
    <t>Release date, early release: December 2013</t>
  </si>
  <si>
    <t>Next release date full report: February 2014</t>
  </si>
  <si>
    <t xml:space="preserve">   Wood and Other Biomass 4/</t>
  </si>
  <si>
    <t xml:space="preserve">   Biogenic Municipal Waste 6/</t>
  </si>
  <si>
    <t xml:space="preserve">   Wood and Other Biomass </t>
  </si>
  <si>
    <t xml:space="preserve">   Solar Photovoltaic 5/</t>
  </si>
  <si>
    <t>End-Use Sectors 7/</t>
  </si>
  <si>
    <t xml:space="preserve">   Municipal Solid Waste 8/</t>
  </si>
  <si>
    <t>   2/ Includes both hydrothermal resources (hot water and steam) and near-field enhanced geothermal systems (EGS).  Near-field EGS</t>
  </si>
  <si>
    <t>potential occurs on known hydrothermal sites, however this potential requires the addition of external fluids for electricity</t>
  </si>
  <si>
    <t>generation and is only available after 2025.</t>
  </si>
  <si>
    <t>   3/ Includes municipal waste, landfill gas, and municipal sewage sludge.  Incremental growth is assumed to be for landfill gas</t>
  </si>
  <si>
    <t>facilities.  All municipal waste is included, although a portion of the municipal waste stream contains petroleum-derived plastics</t>
  </si>
  <si>
    <t>and other non-renewable sources.</t>
  </si>
  <si>
    <t>   4/ Facilities co-firing biomass and coal are classified as coal.</t>
  </si>
  <si>
    <t>   5/ Does not include off-grid photovoltaics (PV).  Based on annual PV shipments from 1989 through 2012, EIA estimates</t>
  </si>
  <si>
    <t>that as much as 274 megawatts of remote electricity generation PV applications (i.e., off-grid power systems) were in service in</t>
  </si>
  <si>
    <t>2012, plus an additional 573 megawatts in communications, transportation, and assorted other non-grid-connected,</t>
  </si>
  <si>
    <t>specialized applications.  See U.S. Energy Information Administration, Annual Energy Review 2011, DOE/EIA-0384(2011)</t>
  </si>
  <si>
    <t>(Washington, DC, September 2012), Table 10.9 (annual PV shipments, 1989-2010), and Table 12 (U.S. photovoltaic module shipments</t>
  </si>
  <si>
    <t>by end use, sector, and type) in U.S. Energy Information Administration, Solar Photovoltaic Cell/Module Shipments report, 2011</t>
  </si>
  <si>
    <t>(Washington, DC, September 2012) and U.S. Energy Information Administration, Solar Photovoltaic Cell/Module Shipment Report, 2012</t>
  </si>
  <si>
    <t>(Washington, DC, December 2013).  The approach used to develop the estimate, based on shipment data, provides an upper estimate</t>
  </si>
  <si>
    <t>of the size of the PV stock, including both grid-based and off-grid PV.  It will overestimate the size of the stock, because</t>
  </si>
  <si>
    <t>shipments include a substantial number of units that are exported, and each year some of the PV units installed earlier will be</t>
  </si>
  <si>
    <t>retired from service or abandoned.</t>
  </si>
  <si>
    <t>   6/ Includes biogenic municipal waste, landfill gas, and municipal sewage sludge.  Incremental growth is assumed to be for</t>
  </si>
  <si>
    <t>landfill gas facilities.  Only biogenic municipal waste is included.  The U.S. Energy Information Administration estimates that in</t>
  </si>
  <si>
    <t>petroleum-derived plastics and other non-renewable sources.  See U.S. Energy Information Administration, Methodology for Allocating</t>
  </si>
  <si>
    <t>Municipal Solid Waste to Biogenic and Non-Biogenic Energy, (Washington, DC, May 2007).</t>
  </si>
  <si>
    <t>   8/ Includes municipal waste, landfill gas, and municipal sewage sludge.  All municipal waste is included, although a portion</t>
  </si>
  <si>
    <t>of the municipal waste stream contains petroleum-derived plastics and other non-renewable sources.</t>
  </si>
  <si>
    <t>   Sources:  2011 and 2012 capacity:  U.S. Energy Information Administration (EIA), Form EIA-860,</t>
  </si>
  <si>
    <t>"Annual Electric Generator Report" (preliminary).  2011 and 2012 generation:  EIA,</t>
  </si>
  <si>
    <t>Supply from Renewable Sources</t>
  </si>
  <si>
    <t xml:space="preserve">     Other 6/</t>
  </si>
  <si>
    <t xml:space="preserve"> Total Primary Supply 7/</t>
  </si>
  <si>
    <t xml:space="preserve">     E85 9/</t>
  </si>
  <si>
    <t xml:space="preserve">     Liquefied Petroleum Gases 8/</t>
  </si>
  <si>
    <t xml:space="preserve">     Motor Gasoline 10/</t>
  </si>
  <si>
    <t xml:space="preserve">     Jet Fuel 11/</t>
  </si>
  <si>
    <t xml:space="preserve">     Distillate Fuel Oil 12/</t>
  </si>
  <si>
    <t xml:space="preserve">     Other 13/</t>
  </si>
  <si>
    <t xml:space="preserve">     Industrial 14/</t>
  </si>
  <si>
    <t xml:space="preserve">     Electric Power 15/</t>
  </si>
  <si>
    <t xml:space="preserve"> Discrepancy 16/</t>
  </si>
  <si>
    <t xml:space="preserve"> Domestic Refinery Distillation Capacity 17/</t>
  </si>
  <si>
    <t xml:space="preserve"> Capacity Utilization Rate (percent) 18/</t>
  </si>
  <si>
    <t>Report #:DOE/EIA-0383(2014) Early Release</t>
  </si>
  <si>
    <t>BAU 2040</t>
  </si>
  <si>
    <t>2040 abs %</t>
  </si>
  <si>
    <t>2014-2040</t>
  </si>
  <si>
    <t>2030-2040</t>
  </si>
  <si>
    <t>4) Enter low carbon assumptions as percentage of total generation for 2020 and 2040. e.g. 24.6% in 2020 and 22.6% in 2030</t>
  </si>
  <si>
    <t>input year here</t>
  </si>
  <si>
    <t>2014-2020</t>
  </si>
  <si>
    <t>2014-</t>
  </si>
  <si>
    <t xml:space="preserve">2014- </t>
  </si>
  <si>
    <t>2011-</t>
  </si>
  <si>
    <t>2) Enter RPS percentage of total generation in 2020, 2030 and 2040: e.g. 20% of total generation in 2020, 30% in 2030, 40% in 2040</t>
  </si>
  <si>
    <t xml:space="preserve">    Small Hydro reference problem solved</t>
  </si>
  <si>
    <t>Increase BAU/year</t>
  </si>
  <si>
    <t>Increase RPS/year</t>
  </si>
  <si>
    <t>    Coal</t>
  </si>
  <si>
    <t>    Petroleum</t>
  </si>
  <si>
    <t>    Natural Gas</t>
  </si>
  <si>
    <t>    Nuclear</t>
  </si>
  <si>
    <t>    Pumped Storage/Other 12/</t>
  </si>
  <si>
    <t>    Renewable Sources 13/</t>
  </si>
  <si>
    <t>    Distributed Generation 5/</t>
  </si>
  <si>
    <t>      Total Generation</t>
  </si>
  <si>
    <t>Geothermal</t>
  </si>
  <si>
    <t>Hydro Conventional</t>
  </si>
  <si>
    <t>Solar</t>
  </si>
  <si>
    <t>Wood/Wood Waste</t>
  </si>
  <si>
    <t>MSW Biogenic/Landfill Gas</t>
  </si>
  <si>
    <t>Other Biomass</t>
  </si>
  <si>
    <t>    Conventional Hydropower</t>
  </si>
  <si>
    <t>    Geothermal 2/</t>
  </si>
  <si>
    <t>    Municipal Waste 8/</t>
  </si>
  <si>
    <t>    Wood and Other Biomass</t>
  </si>
  <si>
    <t>    Solar 4/</t>
  </si>
  <si>
    <t>    Wind</t>
  </si>
  <si>
    <t>      Total</t>
  </si>
  <si>
    <t>Energy</t>
  </si>
  <si>
    <t xml:space="preserve">    Other Gases</t>
  </si>
  <si>
    <t>Pumped Storage</t>
  </si>
  <si>
    <t>Other</t>
  </si>
  <si>
    <t xml:space="preserve">    Natural Ga0</t>
  </si>
  <si>
    <t>Wood/Wood Wa0te</t>
  </si>
  <si>
    <t>Total Electricity Generation by Fuel from EIA for South</t>
  </si>
  <si>
    <t>Generation from EIA South region from EIA</t>
  </si>
  <si>
    <t>Energy source</t>
  </si>
  <si>
    <t>MSW Biogenic/Landfill Ga0</t>
  </si>
  <si>
    <t>Other Biomass0</t>
  </si>
  <si>
    <t>Fossil</t>
  </si>
  <si>
    <t xml:space="preserve">    Other Gase0</t>
  </si>
  <si>
    <t>Pumped storage</t>
  </si>
  <si>
    <t>Contribution of Louisiana</t>
  </si>
  <si>
    <t>Total Electricity Generation by Fuel by computation for Louisiana</t>
  </si>
  <si>
    <t>Proportion for Louisiana</t>
  </si>
  <si>
    <t>Solar PV 2015</t>
  </si>
  <si>
    <t>Solar Foundation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</si>
</sst>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64" formatCode="_(* #,##0.00_);_(* \(#,##0.00\);_(* &quot;-&quot;??_);_(@_)"/>
    <numFmt numFmtId="165" formatCode="_(* #,##0_);_(* \(#,##0\);_(* &quot;-&quot;??_);_(@_)"/>
    <numFmt numFmtId="166" formatCode="0.00_)"/>
    <numFmt numFmtId="167" formatCode="0.0%"/>
    <numFmt numFmtId="168" formatCode="0_)"/>
    <numFmt numFmtId="169" formatCode="0.0_)"/>
    <numFmt numFmtId="170" formatCode="_(* #,##0.0000_);_(* \(#,##0.0000\);_(* &quot;-&quot;??_);_(@_)"/>
    <numFmt numFmtId="171" formatCode="0.0"/>
    <numFmt numFmtId="172" formatCode="0.000"/>
    <numFmt numFmtId="173" formatCode="0.000%"/>
    <numFmt numFmtId="174" formatCode="0.0000%"/>
    <numFmt numFmtId="175" formatCode="_(* #,##0.000_);_(* \(#,##0.000\);_(* &quot;-&quot;??_);_(@_)"/>
    <numFmt numFmtId="176" formatCode="#,##0.00_);\(#,##0.00\)"/>
    <numFmt numFmtId="177" formatCode="#,##0.000_);\(#,##0.000\)"/>
    <numFmt numFmtId="178" formatCode="#,##0.0000_);\(#,##0.0000\)"/>
  </numFmts>
  <fonts count="51" x14ac:knownFonts="1">
    <font>
      <sz val="11"/>
      <color theme="1"/>
      <name val="Calibri"/>
      <family val="2"/>
      <scheme val="minor"/>
    </font>
    <font>
      <sz val="10"/>
      <name val="Arial"/>
      <family val="2"/>
    </font>
    <font>
      <b/>
      <sz val="12"/>
      <name val="Helv"/>
    </font>
    <font>
      <sz val="12"/>
      <name val="Helv"/>
    </font>
    <font>
      <sz val="8"/>
      <color indexed="8"/>
      <name val="Arial"/>
      <family val="2"/>
    </font>
    <font>
      <sz val="9"/>
      <color indexed="81"/>
      <name val="Tahoma"/>
      <family val="2"/>
    </font>
    <font>
      <b/>
      <sz val="9"/>
      <color indexed="81"/>
      <name val="Tahoma"/>
      <family val="2"/>
    </font>
    <font>
      <sz val="11"/>
      <name val="Helv"/>
    </font>
    <font>
      <sz val="10"/>
      <name val="Helv"/>
    </font>
    <font>
      <b/>
      <sz val="10"/>
      <name val="Helv"/>
    </font>
    <font>
      <i/>
      <sz val="12"/>
      <name val="Helv"/>
    </font>
    <font>
      <b/>
      <i/>
      <sz val="12"/>
      <name val="Helv"/>
    </font>
    <font>
      <sz val="10"/>
      <name val="Arial"/>
      <family val="2"/>
    </font>
    <font>
      <b/>
      <sz val="10"/>
      <name val="Arial"/>
      <family val="2"/>
    </font>
    <font>
      <sz val="9"/>
      <name val="Arial"/>
      <family val="2"/>
    </font>
    <font>
      <b/>
      <sz val="9"/>
      <name val="Arial"/>
      <family val="2"/>
    </font>
    <font>
      <sz val="10"/>
      <name val="Arial"/>
      <family val="2"/>
    </font>
    <font>
      <u/>
      <sz val="10"/>
      <color indexed="12"/>
      <name val="Arial"/>
      <family val="2"/>
    </font>
    <font>
      <sz val="10"/>
      <color indexed="8"/>
      <name val="Calibri"/>
      <family val="2"/>
    </font>
    <font>
      <i/>
      <sz val="10"/>
      <color indexed="8"/>
      <name val="Calibri"/>
      <family val="2"/>
    </font>
    <font>
      <sz val="10"/>
      <color indexed="8"/>
      <name val="Times"/>
    </font>
    <font>
      <sz val="11"/>
      <color theme="1"/>
      <name val="Calibri"/>
      <family val="2"/>
      <scheme val="minor"/>
    </font>
    <font>
      <b/>
      <sz val="11"/>
      <color theme="1"/>
      <name val="Calibri"/>
      <family val="2"/>
      <scheme val="minor"/>
    </font>
    <font>
      <sz val="8"/>
      <color theme="1"/>
      <name val="Calibri"/>
      <family val="2"/>
      <scheme val="minor"/>
    </font>
    <font>
      <sz val="11"/>
      <name val="Calibri"/>
      <family val="2"/>
      <scheme val="minor"/>
    </font>
    <font>
      <b/>
      <sz val="12"/>
      <color rgb="FFFF0000"/>
      <name val="Helv"/>
    </font>
    <font>
      <sz val="9"/>
      <color theme="1"/>
      <name val="Calibri"/>
      <family val="2"/>
      <scheme val="minor"/>
    </font>
    <font>
      <b/>
      <sz val="10"/>
      <color rgb="FFFF0000"/>
      <name val="Calibri"/>
      <family val="2"/>
      <scheme val="minor"/>
    </font>
    <font>
      <sz val="10"/>
      <color theme="1"/>
      <name val="Calibri"/>
      <family val="2"/>
      <scheme val="minor"/>
    </font>
    <font>
      <b/>
      <sz val="10"/>
      <name val="Calibri"/>
      <family val="2"/>
      <scheme val="minor"/>
    </font>
    <font>
      <b/>
      <sz val="11"/>
      <name val="Calibri"/>
      <family val="2"/>
      <scheme val="minor"/>
    </font>
    <font>
      <i/>
      <sz val="11"/>
      <color theme="1"/>
      <name val="Calibri"/>
      <family val="2"/>
      <scheme val="minor"/>
    </font>
    <font>
      <sz val="10"/>
      <color rgb="FFFF0000"/>
      <name val="Calibri"/>
      <family val="2"/>
      <scheme val="minor"/>
    </font>
    <font>
      <b/>
      <sz val="10"/>
      <color theme="1"/>
      <name val="Calibri"/>
      <family val="2"/>
      <scheme val="minor"/>
    </font>
    <font>
      <b/>
      <i/>
      <sz val="11"/>
      <color theme="1"/>
      <name val="Calibri"/>
      <family val="2"/>
      <scheme val="minor"/>
    </font>
    <font>
      <b/>
      <sz val="11"/>
      <color rgb="FFFF0000"/>
      <name val="Calibri"/>
      <family val="2"/>
      <scheme val="minor"/>
    </font>
    <font>
      <sz val="10"/>
      <name val="Calibri"/>
      <family val="2"/>
      <scheme val="minor"/>
    </font>
    <font>
      <i/>
      <sz val="12"/>
      <color rgb="FFFF0000"/>
      <name val="Helv"/>
    </font>
    <font>
      <i/>
      <sz val="10"/>
      <color rgb="FFFF0000"/>
      <name val="Verdana"/>
      <family val="2"/>
    </font>
    <font>
      <strike/>
      <sz val="11"/>
      <color theme="1"/>
      <name val="Calibri"/>
      <family val="2"/>
      <scheme val="minor"/>
    </font>
    <font>
      <i/>
      <sz val="11"/>
      <name val="Calibri"/>
      <family val="2"/>
      <scheme val="minor"/>
    </font>
    <font>
      <b/>
      <i/>
      <sz val="11"/>
      <name val="Calibri"/>
      <family val="2"/>
      <scheme val="minor"/>
    </font>
    <font>
      <i/>
      <sz val="11"/>
      <color rgb="FFFF0000"/>
      <name val="Calibri"/>
      <family val="2"/>
      <scheme val="minor"/>
    </font>
    <font>
      <sz val="10"/>
      <color theme="1"/>
      <name val="Arial"/>
      <family val="2"/>
    </font>
    <font>
      <b/>
      <sz val="10"/>
      <color theme="1"/>
      <name val="Arial"/>
      <family val="2"/>
    </font>
    <font>
      <b/>
      <sz val="9"/>
      <color indexed="81"/>
      <name val="Calibri"/>
      <family val="2"/>
    </font>
    <font>
      <sz val="9"/>
      <color indexed="81"/>
      <name val="Calibri"/>
      <family val="2"/>
    </font>
    <font>
      <u/>
      <sz val="11"/>
      <color theme="10"/>
      <name val="Calibri"/>
      <family val="2"/>
      <scheme val="minor"/>
    </font>
    <font>
      <u/>
      <sz val="11"/>
      <color theme="11"/>
      <name val="Calibri"/>
      <family val="2"/>
      <scheme val="minor"/>
    </font>
    <font>
      <sz val="10"/>
      <color theme="1"/>
      <name val="Helv"/>
    </font>
    <font>
      <b/>
      <sz val="10"/>
      <color theme="1"/>
      <name val="Helv"/>
    </font>
  </fonts>
  <fills count="10">
    <fill>
      <patternFill patternType="none"/>
    </fill>
    <fill>
      <patternFill patternType="gray125"/>
    </fill>
    <fill>
      <patternFill patternType="solid">
        <fgColor rgb="FFFFFF00"/>
        <bgColor indexed="64"/>
      </patternFill>
    </fill>
    <fill>
      <patternFill patternType="solid">
        <fgColor rgb="FF99FF33"/>
        <bgColor indexed="64"/>
      </patternFill>
    </fill>
    <fill>
      <patternFill patternType="solid">
        <fgColor theme="2"/>
        <bgColor indexed="64"/>
      </patternFill>
    </fill>
    <fill>
      <patternFill patternType="solid">
        <fgColor theme="0" tint="-4.9989318521683403E-2"/>
        <bgColor indexed="64"/>
      </patternFill>
    </fill>
    <fill>
      <patternFill patternType="solid">
        <fgColor rgb="FF00B050"/>
        <bgColor indexed="64"/>
      </patternFill>
    </fill>
    <fill>
      <patternFill patternType="solid">
        <fgColor rgb="FFFFC000"/>
        <bgColor indexed="64"/>
      </patternFill>
    </fill>
    <fill>
      <patternFill patternType="solid">
        <fgColor theme="0" tint="-0.14999847407452621"/>
        <bgColor indexed="64"/>
      </patternFill>
    </fill>
    <fill>
      <patternFill patternType="solid">
        <fgColor rgb="FFFF0000"/>
        <bgColor indexed="64"/>
      </patternFill>
    </fill>
  </fills>
  <borders count="5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right style="thin">
        <color auto="1"/>
      </right>
      <top/>
      <bottom/>
      <diagonal/>
    </border>
    <border>
      <left/>
      <right style="thin">
        <color auto="1"/>
      </right>
      <top/>
      <bottom style="thin">
        <color auto="1"/>
      </bottom>
      <diagonal/>
    </border>
    <border>
      <left/>
      <right/>
      <top/>
      <bottom style="thin">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bottom style="medium">
        <color auto="1"/>
      </bottom>
      <diagonal/>
    </border>
    <border>
      <left style="thin">
        <color auto="1"/>
      </left>
      <right style="thin">
        <color auto="1"/>
      </right>
      <top style="thin">
        <color auto="1"/>
      </top>
      <bottom style="double">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style="medium">
        <color auto="1"/>
      </right>
      <top style="medium">
        <color auto="1"/>
      </top>
      <bottom/>
      <diagonal/>
    </border>
    <border>
      <left/>
      <right style="thin">
        <color auto="1"/>
      </right>
      <top style="thin">
        <color auto="1"/>
      </top>
      <bottom style="double">
        <color auto="1"/>
      </bottom>
      <diagonal/>
    </border>
    <border>
      <left style="thin">
        <color auto="1"/>
      </left>
      <right style="thin">
        <color auto="1"/>
      </right>
      <top style="thin">
        <color auto="1"/>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style="medium">
        <color auto="1"/>
      </top>
      <bottom style="medium">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top style="thin">
        <color auto="1"/>
      </top>
      <bottom/>
      <diagonal/>
    </border>
    <border>
      <left/>
      <right/>
      <top style="thin">
        <color auto="1"/>
      </top>
      <bottom/>
      <diagonal/>
    </border>
    <border>
      <left/>
      <right/>
      <top style="thin">
        <color rgb="FF000000"/>
      </top>
      <bottom/>
      <diagonal/>
    </border>
    <border>
      <left/>
      <right/>
      <top style="thin">
        <color auto="1"/>
      </top>
      <bottom style="double">
        <color auto="1"/>
      </bottom>
      <diagonal/>
    </border>
    <border>
      <left style="thin">
        <color auto="1"/>
      </left>
      <right/>
      <top style="thin">
        <color auto="1"/>
      </top>
      <bottom style="medium">
        <color auto="1"/>
      </bottom>
      <diagonal/>
    </border>
    <border>
      <left style="thin">
        <color auto="1"/>
      </left>
      <right/>
      <top style="medium">
        <color auto="1"/>
      </top>
      <bottom style="thin">
        <color auto="1"/>
      </bottom>
      <diagonal/>
    </border>
    <border>
      <left style="thin">
        <color auto="1"/>
      </left>
      <right/>
      <top style="medium">
        <color auto="1"/>
      </top>
      <bottom style="medium">
        <color auto="1"/>
      </bottom>
      <diagonal/>
    </border>
    <border>
      <left/>
      <right style="thin">
        <color auto="1"/>
      </right>
      <top style="thin">
        <color auto="1"/>
      </top>
      <bottom style="medium">
        <color auto="1"/>
      </bottom>
      <diagonal/>
    </border>
    <border>
      <left/>
      <right style="thin">
        <color auto="1"/>
      </right>
      <top style="medium">
        <color auto="1"/>
      </top>
      <bottom style="thin">
        <color auto="1"/>
      </bottom>
      <diagonal/>
    </border>
    <border>
      <left/>
      <right style="thin">
        <color auto="1"/>
      </right>
      <top style="medium">
        <color auto="1"/>
      </top>
      <bottom style="medium">
        <color auto="1"/>
      </bottom>
      <diagonal/>
    </border>
    <border>
      <left style="thin">
        <color auto="1"/>
      </left>
      <right/>
      <top style="thin">
        <color auto="1"/>
      </top>
      <bottom style="double">
        <color auto="1"/>
      </bottom>
      <diagonal/>
    </border>
    <border>
      <left/>
      <right/>
      <top style="thin">
        <color auto="1"/>
      </top>
      <bottom style="medium">
        <color auto="1"/>
      </bottom>
      <diagonal/>
    </border>
    <border>
      <left/>
      <right/>
      <top style="medium">
        <color auto="1"/>
      </top>
      <bottom style="thin">
        <color auto="1"/>
      </bottom>
      <diagonal/>
    </border>
    <border>
      <left/>
      <right/>
      <top style="medium">
        <color auto="1"/>
      </top>
      <bottom style="medium">
        <color auto="1"/>
      </bottom>
      <diagonal/>
    </border>
    <border>
      <left style="thin">
        <color auto="1"/>
      </left>
      <right style="thin">
        <color auto="1"/>
      </right>
      <top style="double">
        <color auto="1"/>
      </top>
      <bottom style="thin">
        <color auto="1"/>
      </bottom>
      <diagonal/>
    </border>
    <border>
      <left style="thin">
        <color auto="1"/>
      </left>
      <right style="thin">
        <color auto="1"/>
      </right>
      <top/>
      <bottom style="double">
        <color auto="1"/>
      </bottom>
      <diagonal/>
    </border>
    <border>
      <left/>
      <right/>
      <top/>
      <bottom style="double">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right style="thin">
        <color auto="1"/>
      </right>
      <top/>
      <bottom style="medium">
        <color auto="1"/>
      </bottom>
      <diagonal/>
    </border>
    <border>
      <left/>
      <right/>
      <top style="double">
        <color auto="1"/>
      </top>
      <bottom style="thin">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right/>
      <top style="thin">
        <color theme="0" tint="-0.34998626667073579"/>
      </top>
      <bottom style="dashed">
        <color theme="0" tint="-0.34998626667073579"/>
      </bottom>
      <diagonal/>
    </border>
    <border>
      <left/>
      <right style="thin">
        <color rgb="FF000000"/>
      </right>
      <top/>
      <bottom/>
      <diagonal/>
    </border>
    <border>
      <left/>
      <right/>
      <top style="dashed">
        <color theme="0" tint="-0.34998626667073579"/>
      </top>
      <bottom style="dashed">
        <color theme="0" tint="-0.34998626667073579"/>
      </bottom>
      <diagonal/>
    </border>
    <border>
      <left/>
      <right/>
      <top style="thin">
        <color theme="0" tint="-0.34998626667073579"/>
      </top>
      <bottom style="thin">
        <color theme="0" tint="-0.34998626667073579"/>
      </bottom>
      <diagonal/>
    </border>
    <border>
      <left/>
      <right/>
      <top/>
      <bottom style="dashed">
        <color theme="0" tint="-0.34998626667073579"/>
      </bottom>
      <diagonal/>
    </border>
    <border>
      <left style="thin">
        <color auto="1"/>
      </left>
      <right/>
      <top/>
      <bottom/>
      <diagonal/>
    </border>
  </borders>
  <cellStyleXfs count="26">
    <xf numFmtId="0" fontId="0" fillId="0" borderId="0"/>
    <xf numFmtId="164" fontId="21" fillId="0" borderId="0" applyFont="0" applyFill="0" applyBorder="0" applyAlignment="0" applyProtection="0"/>
    <xf numFmtId="164" fontId="1" fillId="0" borderId="0" applyFont="0" applyFill="0" applyBorder="0" applyAlignment="0" applyProtection="0"/>
    <xf numFmtId="0" fontId="17" fillId="0" borderId="0" applyNumberFormat="0" applyFill="0" applyBorder="0" applyAlignment="0" applyProtection="0">
      <alignment vertical="top"/>
      <protection locked="0"/>
    </xf>
    <xf numFmtId="0" fontId="3" fillId="0" borderId="0"/>
    <xf numFmtId="0" fontId="12" fillId="0" borderId="0"/>
    <xf numFmtId="0" fontId="1" fillId="0" borderId="0"/>
    <xf numFmtId="0" fontId="1" fillId="0" borderId="0"/>
    <xf numFmtId="0" fontId="16" fillId="0" borderId="0"/>
    <xf numFmtId="0" fontId="1" fillId="0" borderId="0"/>
    <xf numFmtId="9" fontId="21" fillId="0" borderId="0" applyFont="0" applyFill="0" applyBorder="0" applyAlignment="0" applyProtection="0"/>
    <xf numFmtId="9" fontId="1"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cellStyleXfs>
  <cellXfs count="571">
    <xf numFmtId="0" fontId="0" fillId="0" borderId="0" xfId="0"/>
    <xf numFmtId="0" fontId="22" fillId="0" borderId="0" xfId="0" applyFont="1"/>
    <xf numFmtId="0" fontId="0" fillId="0" borderId="0" xfId="0" applyAlignment="1">
      <alignment horizontal="center"/>
    </xf>
    <xf numFmtId="165" fontId="21" fillId="0" borderId="0" xfId="1" applyNumberFormat="1" applyFont="1" applyAlignment="1">
      <alignment horizontal="center"/>
    </xf>
    <xf numFmtId="0" fontId="0" fillId="0" borderId="0" xfId="0" applyAlignment="1">
      <alignment horizontal="left"/>
    </xf>
    <xf numFmtId="0" fontId="3" fillId="0" borderId="0" xfId="4"/>
    <xf numFmtId="0" fontId="3" fillId="0" borderId="0" xfId="4" applyAlignment="1" applyProtection="1">
      <alignment horizontal="left"/>
    </xf>
    <xf numFmtId="0" fontId="23" fillId="0" borderId="0" xfId="0" applyFont="1" applyAlignment="1">
      <alignment horizontal="center"/>
    </xf>
    <xf numFmtId="0" fontId="7" fillId="0" borderId="0" xfId="4" applyFont="1" applyAlignment="1" applyProtection="1">
      <alignment horizontal="left"/>
    </xf>
    <xf numFmtId="0" fontId="8" fillId="0" borderId="0" xfId="4" applyFont="1" applyAlignment="1" applyProtection="1">
      <alignment horizontal="left"/>
    </xf>
    <xf numFmtId="0" fontId="8" fillId="0" borderId="0" xfId="4" applyFont="1" applyFill="1" applyAlignment="1" applyProtection="1">
      <alignment horizontal="left"/>
    </xf>
    <xf numFmtId="0" fontId="9" fillId="0" borderId="0" xfId="4" applyFont="1" applyFill="1" applyAlignment="1" applyProtection="1">
      <alignment horizontal="left"/>
    </xf>
    <xf numFmtId="2" fontId="0" fillId="0" borderId="0" xfId="0" applyNumberFormat="1" applyAlignment="1">
      <alignment horizontal="center"/>
    </xf>
    <xf numFmtId="0" fontId="22" fillId="0" borderId="0" xfId="0" applyFont="1" applyAlignment="1">
      <alignment horizontal="center"/>
    </xf>
    <xf numFmtId="165" fontId="0" fillId="0" borderId="0" xfId="0" applyNumberFormat="1" applyAlignment="1">
      <alignment horizontal="center"/>
    </xf>
    <xf numFmtId="165" fontId="22" fillId="0" borderId="0" xfId="0" applyNumberFormat="1" applyFont="1" applyAlignment="1">
      <alignment horizontal="center"/>
    </xf>
    <xf numFmtId="1" fontId="0" fillId="0" borderId="0" xfId="0" applyNumberFormat="1" applyAlignment="1">
      <alignment horizontal="center"/>
    </xf>
    <xf numFmtId="0" fontId="2" fillId="0" borderId="0" xfId="4" applyFont="1" applyAlignment="1" applyProtection="1">
      <alignment horizontal="left"/>
    </xf>
    <xf numFmtId="0" fontId="2" fillId="0" borderId="0" xfId="4" applyFont="1"/>
    <xf numFmtId="165" fontId="0" fillId="0" borderId="0" xfId="0" applyNumberFormat="1" applyFont="1" applyAlignment="1">
      <alignment horizontal="center"/>
    </xf>
    <xf numFmtId="0" fontId="0" fillId="0" borderId="0" xfId="0" applyFont="1"/>
    <xf numFmtId="165" fontId="22" fillId="0" borderId="0" xfId="1" applyNumberFormat="1" applyFont="1" applyAlignment="1">
      <alignment horizontal="center"/>
    </xf>
    <xf numFmtId="167" fontId="22" fillId="0" borderId="0" xfId="10" applyNumberFormat="1" applyFont="1" applyAlignment="1">
      <alignment horizontal="center"/>
    </xf>
    <xf numFmtId="167" fontId="21" fillId="0" borderId="0" xfId="10" applyNumberFormat="1" applyFont="1" applyAlignment="1">
      <alignment horizontal="center"/>
    </xf>
    <xf numFmtId="164" fontId="22" fillId="0" borderId="0" xfId="0" applyNumberFormat="1" applyFont="1"/>
    <xf numFmtId="170" fontId="22" fillId="0" borderId="0" xfId="1" applyNumberFormat="1" applyFont="1" applyAlignment="1">
      <alignment horizontal="center"/>
    </xf>
    <xf numFmtId="2" fontId="22" fillId="0" borderId="0" xfId="0" applyNumberFormat="1" applyFont="1" applyAlignment="1">
      <alignment horizontal="center"/>
    </xf>
    <xf numFmtId="0" fontId="7" fillId="0" borderId="0" xfId="4" applyFont="1" applyFill="1" applyAlignment="1" applyProtection="1">
      <alignment horizontal="left"/>
    </xf>
    <xf numFmtId="0" fontId="23" fillId="0" borderId="0" xfId="0" applyFont="1" applyBorder="1" applyAlignment="1">
      <alignment horizontal="left"/>
    </xf>
    <xf numFmtId="9" fontId="0" fillId="0" borderId="0" xfId="0" applyNumberFormat="1"/>
    <xf numFmtId="164" fontId="0" fillId="0" borderId="0" xfId="0" applyNumberFormat="1"/>
    <xf numFmtId="165" fontId="0" fillId="0" borderId="0" xfId="0" applyNumberFormat="1"/>
    <xf numFmtId="0" fontId="22" fillId="0" borderId="0" xfId="0" applyFont="1" applyAlignment="1">
      <alignment horizontal="left"/>
    </xf>
    <xf numFmtId="0" fontId="0" fillId="0" borderId="0" xfId="0" applyFont="1" applyAlignment="1">
      <alignment horizontal="center"/>
    </xf>
    <xf numFmtId="0" fontId="9" fillId="0" borderId="0" xfId="4" applyFont="1" applyAlignment="1" applyProtection="1">
      <alignment horizontal="center"/>
    </xf>
    <xf numFmtId="0" fontId="8" fillId="0" borderId="0" xfId="4" applyFont="1" applyAlignment="1" applyProtection="1">
      <alignment horizontal="center"/>
    </xf>
    <xf numFmtId="0" fontId="9" fillId="0" borderId="0" xfId="4" applyFont="1" applyFill="1" applyAlignment="1" applyProtection="1">
      <alignment horizontal="center"/>
    </xf>
    <xf numFmtId="0" fontId="8" fillId="0" borderId="0" xfId="4" applyFont="1" applyFill="1" applyAlignment="1" applyProtection="1">
      <alignment horizontal="center"/>
    </xf>
    <xf numFmtId="0" fontId="7" fillId="0" borderId="0" xfId="4" applyFont="1" applyAlignment="1" applyProtection="1">
      <alignment horizontal="center"/>
    </xf>
    <xf numFmtId="0" fontId="7" fillId="0" borderId="0" xfId="4" applyFont="1" applyFill="1" applyAlignment="1" applyProtection="1">
      <alignment horizontal="center"/>
    </xf>
    <xf numFmtId="165" fontId="21" fillId="0" borderId="0" xfId="1" applyNumberFormat="1" applyFont="1" applyAlignment="1">
      <alignment horizontal="center"/>
    </xf>
    <xf numFmtId="1" fontId="0" fillId="2" borderId="1" xfId="0" applyNumberFormat="1" applyFill="1" applyBorder="1" applyAlignment="1">
      <alignment horizontal="center"/>
    </xf>
    <xf numFmtId="2" fontId="0" fillId="2" borderId="1" xfId="0" applyNumberFormat="1" applyFill="1" applyBorder="1" applyAlignment="1">
      <alignment horizontal="center"/>
    </xf>
    <xf numFmtId="0" fontId="22" fillId="0" borderId="0" xfId="0" applyFont="1" applyFill="1" applyBorder="1" applyAlignment="1">
      <alignment horizontal="left"/>
    </xf>
    <xf numFmtId="9" fontId="22" fillId="0" borderId="0" xfId="0" applyNumberFormat="1" applyFont="1"/>
    <xf numFmtId="0" fontId="0" fillId="3" borderId="2" xfId="0" applyFill="1" applyBorder="1"/>
    <xf numFmtId="0" fontId="0" fillId="3" borderId="3" xfId="0" applyFill="1" applyBorder="1"/>
    <xf numFmtId="0" fontId="0" fillId="3" borderId="4" xfId="0" applyFill="1" applyBorder="1"/>
    <xf numFmtId="164" fontId="0" fillId="0" borderId="0" xfId="0" applyNumberFormat="1" applyAlignment="1">
      <alignment horizontal="center"/>
    </xf>
    <xf numFmtId="171" fontId="0" fillId="2" borderId="1" xfId="0" applyNumberFormat="1" applyFill="1" applyBorder="1" applyAlignment="1">
      <alignment horizontal="center"/>
    </xf>
    <xf numFmtId="165" fontId="21" fillId="0" borderId="0" xfId="1" applyNumberFormat="1" applyFont="1" applyAlignment="1">
      <alignment horizontal="center"/>
    </xf>
    <xf numFmtId="172" fontId="2" fillId="0" borderId="0" xfId="4" applyNumberFormat="1" applyFont="1"/>
    <xf numFmtId="171" fontId="0" fillId="0" borderId="0" xfId="0" applyNumberFormat="1" applyAlignment="1">
      <alignment horizontal="center"/>
    </xf>
    <xf numFmtId="0" fontId="14" fillId="0" borderId="0" xfId="7" applyFont="1" applyAlignment="1">
      <alignment horizontal="right"/>
    </xf>
    <xf numFmtId="0" fontId="14" fillId="0" borderId="5" xfId="7" applyFont="1" applyBorder="1" applyAlignment="1">
      <alignment horizontal="right"/>
    </xf>
    <xf numFmtId="0" fontId="14" fillId="0" borderId="0" xfId="7" applyFont="1" applyAlignment="1">
      <alignment horizontal="left"/>
    </xf>
    <xf numFmtId="0" fontId="14" fillId="0" borderId="6" xfId="7" applyFont="1" applyBorder="1" applyAlignment="1">
      <alignment horizontal="right"/>
    </xf>
    <xf numFmtId="0" fontId="14" fillId="0" borderId="7" xfId="7" applyFont="1" applyBorder="1" applyAlignment="1">
      <alignment horizontal="right"/>
    </xf>
    <xf numFmtId="0" fontId="14" fillId="0" borderId="7" xfId="7" applyFont="1" applyBorder="1" applyAlignment="1">
      <alignment horizontal="left"/>
    </xf>
    <xf numFmtId="3" fontId="14" fillId="0" borderId="5" xfId="7" applyNumberFormat="1" applyFont="1" applyBorder="1" applyAlignment="1">
      <alignment horizontal="right"/>
    </xf>
    <xf numFmtId="3" fontId="14" fillId="0" borderId="0" xfId="7" applyNumberFormat="1" applyFont="1" applyAlignment="1">
      <alignment horizontal="right"/>
    </xf>
    <xf numFmtId="3" fontId="14" fillId="0" borderId="0" xfId="7" applyNumberFormat="1" applyFont="1" applyAlignment="1">
      <alignment horizontal="left"/>
    </xf>
    <xf numFmtId="165" fontId="14" fillId="0" borderId="0" xfId="2" applyNumberFormat="1" applyFont="1" applyAlignment="1">
      <alignment horizontal="right"/>
    </xf>
    <xf numFmtId="10" fontId="14" fillId="0" borderId="0" xfId="7" applyNumberFormat="1" applyFont="1" applyAlignment="1">
      <alignment horizontal="right"/>
    </xf>
    <xf numFmtId="3" fontId="14" fillId="0" borderId="0" xfId="7" applyNumberFormat="1" applyFont="1" applyBorder="1" applyAlignment="1">
      <alignment horizontal="right"/>
    </xf>
    <xf numFmtId="10" fontId="14" fillId="0" borderId="0" xfId="11" applyNumberFormat="1" applyFont="1" applyAlignment="1">
      <alignment horizontal="right"/>
    </xf>
    <xf numFmtId="167" fontId="14" fillId="0" borderId="0" xfId="11" applyNumberFormat="1" applyFont="1" applyAlignment="1">
      <alignment horizontal="right"/>
    </xf>
    <xf numFmtId="0" fontId="15" fillId="0" borderId="0" xfId="7" applyFont="1" applyAlignment="1">
      <alignment horizontal="right"/>
    </xf>
    <xf numFmtId="0" fontId="15" fillId="0" borderId="5" xfId="7" applyFont="1" applyBorder="1" applyAlignment="1">
      <alignment horizontal="right"/>
    </xf>
    <xf numFmtId="3" fontId="15" fillId="0" borderId="5" xfId="7" applyNumberFormat="1" applyFont="1" applyBorder="1" applyAlignment="1">
      <alignment horizontal="right"/>
    </xf>
    <xf numFmtId="3" fontId="15" fillId="0" borderId="0" xfId="7" applyNumberFormat="1" applyFont="1" applyAlignment="1">
      <alignment horizontal="right"/>
    </xf>
    <xf numFmtId="0" fontId="15" fillId="0" borderId="0" xfId="7" applyFont="1" applyAlignment="1">
      <alignment horizontal="left"/>
    </xf>
    <xf numFmtId="9" fontId="14" fillId="0" borderId="0" xfId="7" applyNumberFormat="1" applyFont="1" applyAlignment="1">
      <alignment horizontal="right"/>
    </xf>
    <xf numFmtId="0" fontId="14" fillId="2" borderId="7" xfId="7" applyFont="1" applyFill="1" applyBorder="1" applyAlignment="1">
      <alignment horizontal="left"/>
    </xf>
    <xf numFmtId="0" fontId="14" fillId="2" borderId="7" xfId="7" applyFont="1" applyFill="1" applyBorder="1" applyAlignment="1">
      <alignment horizontal="right"/>
    </xf>
    <xf numFmtId="0" fontId="13" fillId="0" borderId="0" xfId="7" applyFont="1" applyFill="1" applyAlignment="1">
      <alignment horizontal="left"/>
    </xf>
    <xf numFmtId="0" fontId="1" fillId="0" borderId="0" xfId="7" applyFont="1" applyFill="1" applyAlignment="1">
      <alignment horizontal="left"/>
    </xf>
    <xf numFmtId="165" fontId="22" fillId="0" borderId="0" xfId="1" applyNumberFormat="1" applyFont="1"/>
    <xf numFmtId="0" fontId="3" fillId="2" borderId="0" xfId="4" applyFill="1"/>
    <xf numFmtId="165" fontId="21" fillId="0" borderId="0" xfId="1" applyNumberFormat="1" applyFont="1" applyAlignment="1">
      <alignment horizontal="center"/>
    </xf>
    <xf numFmtId="165" fontId="22" fillId="0" borderId="0" xfId="0" applyNumberFormat="1" applyFont="1"/>
    <xf numFmtId="0" fontId="1" fillId="0" borderId="0" xfId="6" applyFont="1"/>
    <xf numFmtId="167" fontId="21" fillId="0" borderId="0" xfId="10" applyNumberFormat="1" applyFont="1" applyAlignment="1">
      <alignment horizontal="center"/>
    </xf>
    <xf numFmtId="165" fontId="21" fillId="0" borderId="0" xfId="1" applyNumberFormat="1" applyFont="1" applyAlignment="1">
      <alignment horizontal="center"/>
    </xf>
    <xf numFmtId="2" fontId="24" fillId="2" borderId="1" xfId="0" applyNumberFormat="1" applyFont="1" applyFill="1" applyBorder="1" applyAlignment="1">
      <alignment horizontal="center"/>
    </xf>
    <xf numFmtId="10" fontId="22" fillId="0" borderId="0" xfId="10" applyNumberFormat="1" applyFont="1" applyAlignment="1">
      <alignment horizontal="center"/>
    </xf>
    <xf numFmtId="165" fontId="21" fillId="3" borderId="8" xfId="1" applyNumberFormat="1" applyFont="1" applyFill="1" applyBorder="1" applyAlignment="1">
      <alignment horizontal="center"/>
    </xf>
    <xf numFmtId="165" fontId="21" fillId="3" borderId="9" xfId="1" applyNumberFormat="1" applyFont="1" applyFill="1" applyBorder="1" applyAlignment="1">
      <alignment horizontal="center"/>
    </xf>
    <xf numFmtId="165" fontId="21" fillId="3" borderId="10" xfId="1" applyNumberFormat="1" applyFont="1" applyFill="1" applyBorder="1" applyAlignment="1">
      <alignment horizontal="center"/>
    </xf>
    <xf numFmtId="0" fontId="0" fillId="0" borderId="0" xfId="0" applyAlignment="1">
      <alignment horizontal="center"/>
    </xf>
    <xf numFmtId="0" fontId="25" fillId="0" borderId="0" xfId="4" applyFont="1"/>
    <xf numFmtId="167" fontId="21" fillId="0" borderId="0" xfId="10" applyNumberFormat="1" applyFont="1" applyAlignment="1">
      <alignment horizontal="center"/>
    </xf>
    <xf numFmtId="0" fontId="26" fillId="0" borderId="0" xfId="0" applyFont="1" applyAlignment="1">
      <alignment horizontal="left"/>
    </xf>
    <xf numFmtId="0" fontId="0" fillId="0" borderId="0" xfId="0" applyFill="1" applyBorder="1" applyAlignment="1">
      <alignment horizontal="left"/>
    </xf>
    <xf numFmtId="0" fontId="0" fillId="0" borderId="0" xfId="0" applyAlignment="1">
      <alignment horizontal="center"/>
    </xf>
    <xf numFmtId="0" fontId="0" fillId="0" borderId="0" xfId="0" applyFill="1" applyAlignment="1">
      <alignment horizontal="left"/>
    </xf>
    <xf numFmtId="9" fontId="27" fillId="0" borderId="0" xfId="0" applyNumberFormat="1" applyFont="1" applyFill="1" applyAlignment="1">
      <alignment horizontal="left"/>
    </xf>
    <xf numFmtId="10" fontId="0" fillId="0" borderId="0" xfId="0" applyNumberFormat="1" applyFill="1" applyBorder="1" applyAlignment="1">
      <alignment horizontal="center"/>
    </xf>
    <xf numFmtId="167" fontId="27" fillId="0" borderId="0" xfId="0" applyNumberFormat="1" applyFont="1" applyFill="1" applyAlignment="1">
      <alignment horizontal="left"/>
    </xf>
    <xf numFmtId="165" fontId="0" fillId="0" borderId="0" xfId="0" applyNumberFormat="1" applyFont="1"/>
    <xf numFmtId="0" fontId="0" fillId="0" borderId="0" xfId="0" applyAlignment="1">
      <alignment horizontal="center"/>
    </xf>
    <xf numFmtId="0" fontId="0" fillId="0" borderId="0" xfId="0" applyAlignment="1">
      <alignment horizontal="center"/>
    </xf>
    <xf numFmtId="165" fontId="21" fillId="0" borderId="0" xfId="1" applyNumberFormat="1" applyFont="1"/>
    <xf numFmtId="167" fontId="27" fillId="0" borderId="0" xfId="0" applyNumberFormat="1" applyFont="1" applyAlignment="1">
      <alignment horizontal="center"/>
    </xf>
    <xf numFmtId="0" fontId="28" fillId="0" borderId="0" xfId="0" applyFont="1" applyAlignment="1">
      <alignment horizontal="center"/>
    </xf>
    <xf numFmtId="167" fontId="28" fillId="0" borderId="0" xfId="10" applyNumberFormat="1" applyFont="1" applyAlignment="1">
      <alignment horizontal="center"/>
    </xf>
    <xf numFmtId="0" fontId="28" fillId="0" borderId="0" xfId="0" applyFont="1" applyAlignment="1">
      <alignment horizontal="left"/>
    </xf>
    <xf numFmtId="167" fontId="29" fillId="0" borderId="0" xfId="0" applyNumberFormat="1" applyFont="1" applyAlignment="1">
      <alignment horizontal="center"/>
    </xf>
    <xf numFmtId="0" fontId="30" fillId="0" borderId="0" xfId="0" applyFont="1"/>
    <xf numFmtId="165" fontId="21" fillId="0" borderId="0" xfId="1" applyNumberFormat="1" applyFont="1" applyFill="1" applyBorder="1" applyAlignment="1">
      <alignment horizontal="center"/>
    </xf>
    <xf numFmtId="0" fontId="0" fillId="0" borderId="0" xfId="0" applyAlignment="1">
      <alignment horizontal="center"/>
    </xf>
    <xf numFmtId="165" fontId="21" fillId="0" borderId="0" xfId="1" applyNumberFormat="1" applyFont="1"/>
    <xf numFmtId="0" fontId="0" fillId="0" borderId="0" xfId="0" applyAlignment="1">
      <alignment horizontal="center"/>
    </xf>
    <xf numFmtId="0" fontId="24" fillId="0" borderId="0" xfId="0" applyFont="1"/>
    <xf numFmtId="9" fontId="21" fillId="0" borderId="0" xfId="10" applyFont="1" applyAlignment="1">
      <alignment horizontal="center"/>
    </xf>
    <xf numFmtId="10" fontId="21" fillId="0" borderId="0" xfId="10" applyNumberFormat="1" applyFont="1"/>
    <xf numFmtId="10" fontId="21" fillId="0" borderId="0" xfId="10" applyNumberFormat="1" applyFont="1" applyAlignment="1">
      <alignment horizontal="center"/>
    </xf>
    <xf numFmtId="0" fontId="22" fillId="2" borderId="11" xfId="0" applyFont="1" applyFill="1" applyBorder="1" applyAlignment="1">
      <alignment horizontal="left"/>
    </xf>
    <xf numFmtId="165" fontId="21" fillId="0" borderId="0" xfId="1" applyNumberFormat="1" applyFont="1" applyAlignment="1">
      <alignment horizontal="center"/>
    </xf>
    <xf numFmtId="0" fontId="0" fillId="0" borderId="0" xfId="0" applyAlignment="1">
      <alignment horizontal="center"/>
    </xf>
    <xf numFmtId="173" fontId="21" fillId="0" borderId="0" xfId="10" applyNumberFormat="1" applyFont="1"/>
    <xf numFmtId="10" fontId="0" fillId="0" borderId="0" xfId="0" applyNumberFormat="1" applyFont="1"/>
    <xf numFmtId="9" fontId="0" fillId="0" borderId="0" xfId="0" applyNumberFormat="1" applyFont="1"/>
    <xf numFmtId="10" fontId="0" fillId="0" borderId="0" xfId="0" applyNumberFormat="1"/>
    <xf numFmtId="0" fontId="0" fillId="2" borderId="12" xfId="0" applyFill="1" applyBorder="1"/>
    <xf numFmtId="167" fontId="21" fillId="0" borderId="0" xfId="10" applyNumberFormat="1" applyFont="1" applyAlignment="1">
      <alignment horizontal="center"/>
    </xf>
    <xf numFmtId="10" fontId="28" fillId="0" borderId="0" xfId="10" applyNumberFormat="1" applyFont="1" applyAlignment="1">
      <alignment horizontal="center"/>
    </xf>
    <xf numFmtId="165" fontId="31" fillId="0" borderId="0" xfId="1" applyNumberFormat="1" applyFont="1"/>
    <xf numFmtId="165" fontId="31" fillId="0" borderId="0" xfId="1" applyNumberFormat="1" applyFont="1" applyAlignment="1">
      <alignment horizontal="center"/>
    </xf>
    <xf numFmtId="0" fontId="0" fillId="0" borderId="0" xfId="0" applyAlignment="1">
      <alignment horizontal="center"/>
    </xf>
    <xf numFmtId="165" fontId="22" fillId="0" borderId="0" xfId="0" applyNumberFormat="1" applyFont="1" applyBorder="1" applyAlignment="1">
      <alignment horizontal="center"/>
    </xf>
    <xf numFmtId="0" fontId="0" fillId="0" borderId="0" xfId="0" applyAlignment="1">
      <alignment horizontal="center"/>
    </xf>
    <xf numFmtId="165" fontId="24" fillId="0" borderId="0" xfId="0" applyNumberFormat="1" applyFont="1" applyAlignment="1">
      <alignment horizontal="center"/>
    </xf>
    <xf numFmtId="170" fontId="0" fillId="0" borderId="0" xfId="0" applyNumberFormat="1" applyAlignment="1">
      <alignment horizontal="center"/>
    </xf>
    <xf numFmtId="174" fontId="27" fillId="0" borderId="0" xfId="0" applyNumberFormat="1" applyFont="1" applyFill="1" applyAlignment="1">
      <alignment horizontal="left"/>
    </xf>
    <xf numFmtId="174" fontId="0" fillId="0" borderId="0" xfId="0" applyNumberFormat="1"/>
    <xf numFmtId="173" fontId="29" fillId="0" borderId="0" xfId="0" applyNumberFormat="1" applyFont="1" applyAlignment="1">
      <alignment horizontal="center"/>
    </xf>
    <xf numFmtId="167" fontId="32" fillId="0" borderId="0" xfId="0" applyNumberFormat="1" applyFont="1" applyAlignment="1">
      <alignment horizontal="center"/>
    </xf>
    <xf numFmtId="167" fontId="27" fillId="0" borderId="0" xfId="10" applyNumberFormat="1" applyFont="1" applyAlignment="1">
      <alignment horizontal="center"/>
    </xf>
    <xf numFmtId="0" fontId="33" fillId="4" borderId="13" xfId="0" applyFont="1" applyFill="1" applyBorder="1" applyAlignment="1">
      <alignment horizontal="left" vertical="top" wrapText="1"/>
    </xf>
    <xf numFmtId="0" fontId="33" fillId="4" borderId="14" xfId="0" applyFont="1" applyFill="1" applyBorder="1" applyAlignment="1">
      <alignment horizontal="center" vertical="top"/>
    </xf>
    <xf numFmtId="0" fontId="33" fillId="4" borderId="14" xfId="0" applyFont="1" applyFill="1" applyBorder="1" applyAlignment="1">
      <alignment horizontal="left" vertical="top"/>
    </xf>
    <xf numFmtId="0" fontId="33" fillId="4" borderId="14" xfId="0" applyFont="1" applyFill="1" applyBorder="1" applyAlignment="1">
      <alignment horizontal="left" vertical="top" wrapText="1"/>
    </xf>
    <xf numFmtId="0" fontId="33" fillId="4" borderId="13" xfId="0" applyFont="1" applyFill="1" applyBorder="1" applyAlignment="1">
      <alignment horizontal="left" vertical="top"/>
    </xf>
    <xf numFmtId="0" fontId="28" fillId="4" borderId="0" xfId="0" applyFont="1" applyFill="1" applyAlignment="1">
      <alignment horizontal="left" vertical="top"/>
    </xf>
    <xf numFmtId="0" fontId="28" fillId="0" borderId="0" xfId="0" applyFont="1" applyFill="1" applyAlignment="1">
      <alignment horizontal="left" vertical="top" wrapText="1"/>
    </xf>
    <xf numFmtId="0" fontId="28" fillId="0" borderId="15" xfId="0" applyFont="1" applyFill="1" applyBorder="1" applyAlignment="1">
      <alignment horizontal="center" vertical="top" wrapText="1"/>
    </xf>
    <xf numFmtId="0" fontId="28" fillId="0" borderId="15" xfId="0" applyFont="1" applyFill="1" applyBorder="1" applyAlignment="1">
      <alignment horizontal="left" vertical="top" wrapText="1"/>
    </xf>
    <xf numFmtId="0" fontId="28" fillId="0" borderId="16" xfId="0" applyFont="1" applyFill="1" applyBorder="1" applyAlignment="1">
      <alignment horizontal="center" vertical="top" wrapText="1"/>
    </xf>
    <xf numFmtId="0" fontId="28" fillId="0" borderId="16" xfId="0" applyFont="1" applyFill="1" applyBorder="1" applyAlignment="1">
      <alignment horizontal="left" vertical="top" wrapText="1"/>
    </xf>
    <xf numFmtId="0" fontId="28" fillId="0" borderId="17" xfId="0" applyFont="1" applyFill="1" applyBorder="1" applyAlignment="1">
      <alignment horizontal="center" vertical="top" wrapText="1"/>
    </xf>
    <xf numFmtId="0" fontId="28" fillId="0" borderId="17" xfId="0" applyFont="1" applyFill="1" applyBorder="1" applyAlignment="1">
      <alignment horizontal="left" vertical="top" wrapText="1"/>
    </xf>
    <xf numFmtId="0" fontId="28" fillId="0" borderId="0" xfId="0" applyFont="1" applyFill="1" applyAlignment="1">
      <alignment horizontal="left" vertical="top"/>
    </xf>
    <xf numFmtId="0" fontId="28" fillId="0" borderId="16" xfId="0" applyFont="1" applyFill="1" applyBorder="1" applyAlignment="1">
      <alignment horizontal="left" vertical="top"/>
    </xf>
    <xf numFmtId="0" fontId="28" fillId="0" borderId="0" xfId="0" applyFont="1" applyAlignment="1">
      <alignment horizontal="left" vertical="top"/>
    </xf>
    <xf numFmtId="0" fontId="28" fillId="0" borderId="0" xfId="0" applyFont="1" applyFill="1" applyAlignment="1">
      <alignment horizontal="center" vertical="top" wrapText="1"/>
    </xf>
    <xf numFmtId="0" fontId="28" fillId="0" borderId="0" xfId="0" applyFont="1" applyAlignment="1">
      <alignment horizontal="left" vertical="top" wrapText="1"/>
    </xf>
    <xf numFmtId="0" fontId="28" fillId="0" borderId="0" xfId="0" applyFont="1" applyAlignment="1">
      <alignment horizontal="center" vertical="top"/>
    </xf>
    <xf numFmtId="165" fontId="0" fillId="0" borderId="0" xfId="0" applyNumberFormat="1" applyBorder="1" applyAlignment="1">
      <alignment horizontal="center"/>
    </xf>
    <xf numFmtId="0" fontId="0" fillId="0" borderId="7" xfId="0" applyBorder="1"/>
    <xf numFmtId="3" fontId="0" fillId="0" borderId="0" xfId="0" applyNumberFormat="1"/>
    <xf numFmtId="172" fontId="0" fillId="0" borderId="0" xfId="0" applyNumberFormat="1" applyAlignment="1">
      <alignment horizontal="center"/>
    </xf>
    <xf numFmtId="0" fontId="0" fillId="0" borderId="0" xfId="0" applyAlignment="1">
      <alignment horizontal="center"/>
    </xf>
    <xf numFmtId="167" fontId="29" fillId="0" borderId="0" xfId="0" applyNumberFormat="1" applyFont="1" applyAlignment="1">
      <alignment horizontal="left"/>
    </xf>
    <xf numFmtId="167" fontId="21" fillId="0" borderId="0" xfId="10" applyNumberFormat="1" applyFont="1" applyAlignment="1">
      <alignment horizontal="center"/>
    </xf>
    <xf numFmtId="10" fontId="21" fillId="0" borderId="0" xfId="10" applyNumberFormat="1" applyFont="1"/>
    <xf numFmtId="173" fontId="22" fillId="0" borderId="0" xfId="10" applyNumberFormat="1" applyFont="1"/>
    <xf numFmtId="10" fontId="22" fillId="0" borderId="0" xfId="0" applyNumberFormat="1" applyFont="1"/>
    <xf numFmtId="167" fontId="21" fillId="0" borderId="0" xfId="10" applyNumberFormat="1" applyFont="1"/>
    <xf numFmtId="167" fontId="22" fillId="0" borderId="0" xfId="0" applyNumberFormat="1" applyFont="1" applyAlignment="1">
      <alignment horizontal="center"/>
    </xf>
    <xf numFmtId="164" fontId="21" fillId="0" borderId="0" xfId="1" applyFont="1"/>
    <xf numFmtId="0" fontId="0" fillId="0" borderId="0" xfId="0" applyAlignment="1">
      <alignment horizontal="center"/>
    </xf>
    <xf numFmtId="167" fontId="21" fillId="0" borderId="0" xfId="10" applyNumberFormat="1" applyFont="1" applyAlignment="1">
      <alignment horizontal="center"/>
    </xf>
    <xf numFmtId="10" fontId="21" fillId="0" borderId="0" xfId="10" applyNumberFormat="1" applyFont="1" applyAlignment="1">
      <alignment horizontal="center"/>
    </xf>
    <xf numFmtId="165" fontId="21" fillId="0" borderId="0" xfId="1" applyNumberFormat="1" applyFont="1" applyAlignment="1">
      <alignment horizontal="center"/>
    </xf>
    <xf numFmtId="0" fontId="0" fillId="0" borderId="5" xfId="0" applyFont="1" applyBorder="1" applyAlignment="1">
      <alignment horizontal="center"/>
    </xf>
    <xf numFmtId="0" fontId="22" fillId="0" borderId="5" xfId="0" applyFont="1" applyBorder="1" applyAlignment="1">
      <alignment horizontal="center"/>
    </xf>
    <xf numFmtId="165" fontId="21" fillId="0" borderId="5" xfId="1" applyNumberFormat="1" applyFont="1" applyBorder="1" applyAlignment="1">
      <alignment horizontal="center"/>
    </xf>
    <xf numFmtId="10" fontId="21" fillId="0" borderId="5" xfId="10" applyNumberFormat="1" applyFont="1" applyBorder="1" applyAlignment="1">
      <alignment horizontal="center"/>
    </xf>
    <xf numFmtId="164" fontId="21" fillId="0" borderId="5" xfId="1" applyNumberFormat="1" applyFont="1" applyBorder="1" applyAlignment="1">
      <alignment horizontal="center"/>
    </xf>
    <xf numFmtId="167" fontId="21" fillId="0" borderId="5" xfId="10" applyNumberFormat="1" applyFont="1" applyBorder="1" applyAlignment="1">
      <alignment horizontal="center"/>
    </xf>
    <xf numFmtId="9" fontId="21" fillId="0" borderId="5" xfId="10" applyFont="1" applyBorder="1" applyAlignment="1">
      <alignment horizontal="center"/>
    </xf>
    <xf numFmtId="165" fontId="0" fillId="0" borderId="5" xfId="0" applyNumberFormat="1" applyFont="1" applyBorder="1" applyAlignment="1">
      <alignment horizontal="center"/>
    </xf>
    <xf numFmtId="10" fontId="22" fillId="0" borderId="5" xfId="10" applyNumberFormat="1" applyFont="1" applyBorder="1" applyAlignment="1">
      <alignment horizontal="center"/>
    </xf>
    <xf numFmtId="165" fontId="21" fillId="0" borderId="5" xfId="1" applyNumberFormat="1" applyFont="1" applyBorder="1" applyAlignment="1">
      <alignment horizontal="center"/>
    </xf>
    <xf numFmtId="167" fontId="21" fillId="0" borderId="5" xfId="10" applyNumberFormat="1" applyFont="1" applyBorder="1" applyAlignment="1">
      <alignment horizontal="center"/>
    </xf>
    <xf numFmtId="164" fontId="21" fillId="0" borderId="5" xfId="1" applyNumberFormat="1" applyFont="1" applyBorder="1" applyAlignment="1">
      <alignment horizontal="center"/>
    </xf>
    <xf numFmtId="165" fontId="0" fillId="0" borderId="5" xfId="0" applyNumberFormat="1" applyBorder="1" applyAlignment="1">
      <alignment horizontal="center"/>
    </xf>
    <xf numFmtId="1" fontId="0" fillId="0" borderId="5" xfId="0" applyNumberFormat="1" applyFont="1" applyBorder="1" applyAlignment="1">
      <alignment horizontal="center"/>
    </xf>
    <xf numFmtId="171" fontId="0" fillId="0" borderId="5" xfId="0" applyNumberFormat="1" applyFont="1" applyBorder="1" applyAlignment="1">
      <alignment horizontal="center"/>
    </xf>
    <xf numFmtId="165" fontId="22" fillId="0" borderId="5" xfId="0" applyNumberFormat="1" applyFont="1" applyBorder="1" applyAlignment="1">
      <alignment horizontal="center"/>
    </xf>
    <xf numFmtId="0" fontId="22" fillId="0" borderId="5" xfId="0" applyFont="1" applyBorder="1"/>
    <xf numFmtId="0" fontId="0" fillId="0" borderId="5" xfId="0" applyBorder="1" applyAlignment="1">
      <alignment horizontal="center"/>
    </xf>
    <xf numFmtId="165" fontId="24" fillId="0" borderId="5" xfId="0" applyNumberFormat="1" applyFont="1" applyBorder="1" applyAlignment="1">
      <alignment horizontal="center"/>
    </xf>
    <xf numFmtId="170" fontId="0" fillId="0" borderId="5" xfId="0" applyNumberFormat="1" applyBorder="1" applyAlignment="1">
      <alignment horizontal="center"/>
    </xf>
    <xf numFmtId="10" fontId="21" fillId="2" borderId="1" xfId="10" applyNumberFormat="1" applyFont="1" applyFill="1" applyBorder="1" applyAlignment="1">
      <alignment horizontal="center"/>
    </xf>
    <xf numFmtId="165" fontId="34" fillId="0" borderId="0" xfId="1" applyNumberFormat="1" applyFont="1"/>
    <xf numFmtId="165" fontId="21" fillId="0" borderId="0" xfId="1" applyNumberFormat="1" applyFont="1" applyFill="1"/>
    <xf numFmtId="0" fontId="21" fillId="2" borderId="18" xfId="1" applyNumberFormat="1" applyFont="1" applyFill="1" applyBorder="1" applyAlignment="1">
      <alignment horizontal="center"/>
    </xf>
    <xf numFmtId="167" fontId="22" fillId="0" borderId="5" xfId="10" applyNumberFormat="1" applyFont="1" applyBorder="1" applyAlignment="1">
      <alignment horizontal="center"/>
    </xf>
    <xf numFmtId="167" fontId="36" fillId="0" borderId="0" xfId="0" applyNumberFormat="1" applyFont="1" applyAlignment="1">
      <alignment horizontal="center"/>
    </xf>
    <xf numFmtId="9" fontId="36" fillId="0" borderId="0" xfId="0" quotePrefix="1" applyNumberFormat="1" applyFont="1" applyAlignment="1">
      <alignment horizontal="center"/>
    </xf>
    <xf numFmtId="0" fontId="36" fillId="0" borderId="0" xfId="0" applyFont="1" applyAlignment="1">
      <alignment horizontal="center"/>
    </xf>
    <xf numFmtId="167" fontId="36" fillId="0" borderId="0" xfId="10" applyNumberFormat="1" applyFont="1" applyAlignment="1">
      <alignment horizontal="center"/>
    </xf>
    <xf numFmtId="10" fontId="24" fillId="0" borderId="0" xfId="0" applyNumberFormat="1" applyFont="1" applyFill="1" applyBorder="1" applyAlignment="1">
      <alignment horizontal="center"/>
    </xf>
    <xf numFmtId="10" fontId="36" fillId="0" borderId="0" xfId="10" applyNumberFormat="1" applyFont="1" applyAlignment="1">
      <alignment horizontal="center"/>
    </xf>
    <xf numFmtId="165" fontId="0" fillId="0" borderId="0" xfId="0" applyNumberFormat="1" applyFont="1" applyBorder="1" applyAlignment="1">
      <alignment horizontal="center"/>
    </xf>
    <xf numFmtId="167" fontId="24" fillId="0" borderId="0" xfId="10" applyNumberFormat="1" applyFont="1" applyAlignment="1">
      <alignment horizontal="center"/>
    </xf>
    <xf numFmtId="167" fontId="21" fillId="2" borderId="1" xfId="10" applyNumberFormat="1" applyFont="1" applyFill="1" applyBorder="1" applyAlignment="1">
      <alignment horizontal="center"/>
    </xf>
    <xf numFmtId="167" fontId="21" fillId="2" borderId="1" xfId="10" applyNumberFormat="1" applyFont="1" applyFill="1" applyBorder="1" applyAlignment="1">
      <alignment horizontal="center"/>
    </xf>
    <xf numFmtId="167" fontId="21" fillId="2" borderId="1" xfId="10" applyNumberFormat="1" applyFont="1" applyFill="1" applyBorder="1" applyAlignment="1">
      <alignment horizontal="center"/>
    </xf>
    <xf numFmtId="0" fontId="15" fillId="5" borderId="14" xfId="6" applyFont="1" applyFill="1" applyBorder="1" applyAlignment="1">
      <alignment horizontal="center" vertical="center" wrapText="1"/>
    </xf>
    <xf numFmtId="0" fontId="15" fillId="5" borderId="19" xfId="6" applyFont="1" applyFill="1" applyBorder="1" applyAlignment="1">
      <alignment horizontal="center" vertical="center" wrapText="1"/>
    </xf>
    <xf numFmtId="0" fontId="14" fillId="0" borderId="15" xfId="6" applyFont="1" applyFill="1" applyBorder="1" applyAlignment="1">
      <alignment horizontal="center" vertical="center" wrapText="1"/>
    </xf>
    <xf numFmtId="0" fontId="14" fillId="0" borderId="16" xfId="6" applyFont="1" applyFill="1" applyBorder="1" applyAlignment="1">
      <alignment horizontal="center" vertical="center" wrapText="1"/>
    </xf>
    <xf numFmtId="1" fontId="14" fillId="0" borderId="16" xfId="6" applyNumberFormat="1" applyFont="1" applyFill="1" applyBorder="1" applyAlignment="1">
      <alignment horizontal="center" vertical="center" wrapText="1"/>
    </xf>
    <xf numFmtId="2" fontId="14" fillId="0" borderId="16" xfId="6" applyNumberFormat="1" applyFont="1" applyBorder="1" applyAlignment="1">
      <alignment horizontal="center" vertical="center" wrapText="1"/>
    </xf>
    <xf numFmtId="0" fontId="14" fillId="0" borderId="16" xfId="6" applyFont="1" applyBorder="1" applyAlignment="1">
      <alignment horizontal="center" vertical="center" wrapText="1"/>
    </xf>
    <xf numFmtId="9" fontId="14" fillId="0" borderId="16" xfId="6" applyNumberFormat="1" applyFont="1" applyBorder="1" applyAlignment="1">
      <alignment horizontal="center" vertical="center" wrapText="1"/>
    </xf>
    <xf numFmtId="1" fontId="14" fillId="0" borderId="16" xfId="6" applyNumberFormat="1" applyFont="1" applyBorder="1" applyAlignment="1">
      <alignment horizontal="center" vertical="center" wrapText="1"/>
    </xf>
    <xf numFmtId="9" fontId="14" fillId="0" borderId="16" xfId="6" applyNumberFormat="1" applyFont="1" applyFill="1" applyBorder="1" applyAlignment="1">
      <alignment horizontal="center" vertical="center" wrapText="1"/>
    </xf>
    <xf numFmtId="9" fontId="14" fillId="0" borderId="16" xfId="11" applyFont="1" applyBorder="1" applyAlignment="1">
      <alignment horizontal="center" vertical="center" wrapText="1"/>
    </xf>
    <xf numFmtId="1" fontId="14" fillId="0" borderId="15" xfId="6" applyNumberFormat="1" applyFont="1" applyBorder="1" applyAlignment="1">
      <alignment horizontal="center" vertical="center" wrapText="1"/>
    </xf>
    <xf numFmtId="0" fontId="14" fillId="0" borderId="20" xfId="6" applyFont="1" applyFill="1" applyBorder="1" applyAlignment="1">
      <alignment horizontal="center" vertical="center" wrapText="1"/>
    </xf>
    <xf numFmtId="9" fontId="14" fillId="0" borderId="20" xfId="6" quotePrefix="1" applyNumberFormat="1" applyFont="1" applyFill="1" applyBorder="1" applyAlignment="1">
      <alignment horizontal="center" vertical="center" wrapText="1"/>
    </xf>
    <xf numFmtId="1" fontId="14" fillId="0" borderId="20" xfId="6" applyNumberFormat="1" applyFont="1" applyFill="1" applyBorder="1" applyAlignment="1">
      <alignment horizontal="center" vertical="center" wrapText="1"/>
    </xf>
    <xf numFmtId="2" fontId="14" fillId="0" borderId="20" xfId="6" applyNumberFormat="1" applyFont="1" applyBorder="1" applyAlignment="1">
      <alignment horizontal="center" vertical="center" wrapText="1"/>
    </xf>
    <xf numFmtId="0" fontId="14" fillId="0" borderId="21" xfId="6" applyFont="1" applyBorder="1" applyAlignment="1">
      <alignment horizontal="center" vertical="center" wrapText="1"/>
    </xf>
    <xf numFmtId="9" fontId="14" fillId="0" borderId="21" xfId="6" applyNumberFormat="1" applyFont="1" applyBorder="1" applyAlignment="1">
      <alignment horizontal="center" vertical="center" wrapText="1"/>
    </xf>
    <xf numFmtId="1" fontId="14" fillId="0" borderId="21" xfId="6" applyNumberFormat="1" applyFont="1" applyBorder="1" applyAlignment="1">
      <alignment horizontal="center" vertical="center" wrapText="1"/>
    </xf>
    <xf numFmtId="2" fontId="14" fillId="0" borderId="21" xfId="6" applyNumberFormat="1" applyFont="1" applyBorder="1" applyAlignment="1">
      <alignment horizontal="center" vertical="center" wrapText="1"/>
    </xf>
    <xf numFmtId="0" fontId="14" fillId="0" borderId="22" xfId="6" applyFont="1" applyBorder="1" applyAlignment="1">
      <alignment horizontal="center" vertical="center" wrapText="1"/>
    </xf>
    <xf numFmtId="9" fontId="14" fillId="0" borderId="22" xfId="6" applyNumberFormat="1" applyFont="1" applyBorder="1" applyAlignment="1">
      <alignment horizontal="center" vertical="center" wrapText="1"/>
    </xf>
    <xf numFmtId="1" fontId="14" fillId="0" borderId="22" xfId="6" applyNumberFormat="1" applyFont="1" applyBorder="1" applyAlignment="1">
      <alignment horizontal="center" vertical="center" wrapText="1"/>
    </xf>
    <xf numFmtId="2" fontId="14" fillId="0" borderId="22" xfId="6" applyNumberFormat="1" applyFont="1" applyBorder="1" applyAlignment="1">
      <alignment horizontal="center" vertical="center" wrapText="1"/>
    </xf>
    <xf numFmtId="2" fontId="14" fillId="0" borderId="22" xfId="6" applyNumberFormat="1" applyFont="1" applyFill="1" applyBorder="1" applyAlignment="1">
      <alignment horizontal="center" vertical="center" wrapText="1"/>
    </xf>
    <xf numFmtId="0" fontId="14" fillId="0" borderId="21" xfId="4" applyFont="1" applyBorder="1" applyAlignment="1">
      <alignment horizontal="center" vertical="center" wrapText="1"/>
    </xf>
    <xf numFmtId="9" fontId="14" fillId="0" borderId="21" xfId="4" applyNumberFormat="1" applyFont="1" applyFill="1" applyBorder="1" applyAlignment="1">
      <alignment horizontal="center" vertical="center" wrapText="1"/>
    </xf>
    <xf numFmtId="1" fontId="14" fillId="0" borderId="21" xfId="4" applyNumberFormat="1" applyFont="1" applyBorder="1" applyAlignment="1">
      <alignment horizontal="center" vertical="center" wrapText="1"/>
    </xf>
    <xf numFmtId="2" fontId="14" fillId="0" borderId="21" xfId="4" applyNumberFormat="1" applyFont="1" applyBorder="1" applyAlignment="1">
      <alignment horizontal="center" vertical="center" wrapText="1"/>
    </xf>
    <xf numFmtId="9" fontId="14" fillId="0" borderId="21" xfId="6" applyNumberFormat="1" applyFont="1" applyFill="1" applyBorder="1" applyAlignment="1">
      <alignment horizontal="center" vertical="center" wrapText="1"/>
    </xf>
    <xf numFmtId="0" fontId="14" fillId="0" borderId="21" xfId="6" applyFont="1" applyFill="1" applyBorder="1" applyAlignment="1">
      <alignment horizontal="center" vertical="center" wrapText="1"/>
    </xf>
    <xf numFmtId="0" fontId="14" fillId="0" borderId="22" xfId="6" applyFont="1" applyFill="1" applyBorder="1" applyAlignment="1">
      <alignment horizontal="center" vertical="center" wrapText="1"/>
    </xf>
    <xf numFmtId="9" fontId="14" fillId="0" borderId="22" xfId="6" applyNumberFormat="1" applyFont="1" applyFill="1" applyBorder="1" applyAlignment="1">
      <alignment horizontal="center" vertical="center" wrapText="1"/>
    </xf>
    <xf numFmtId="1" fontId="14" fillId="0" borderId="22" xfId="6" applyNumberFormat="1" applyFont="1" applyFill="1" applyBorder="1" applyAlignment="1">
      <alignment horizontal="center" vertical="center" wrapText="1"/>
    </xf>
    <xf numFmtId="9" fontId="14" fillId="0" borderId="15" xfId="11" applyFont="1" applyBorder="1" applyAlignment="1">
      <alignment horizontal="center" vertical="center" wrapText="1"/>
    </xf>
    <xf numFmtId="167" fontId="21" fillId="2" borderId="0" xfId="10" applyNumberFormat="1" applyFont="1" applyFill="1" applyBorder="1" applyAlignment="1">
      <alignment horizontal="center"/>
    </xf>
    <xf numFmtId="0" fontId="0" fillId="0" borderId="0" xfId="0" applyAlignment="1">
      <alignment horizontal="center"/>
    </xf>
    <xf numFmtId="0" fontId="22" fillId="0" borderId="0" xfId="0" applyFont="1" applyAlignment="1">
      <alignment wrapText="1"/>
    </xf>
    <xf numFmtId="10" fontId="22" fillId="0" borderId="0" xfId="0" applyNumberFormat="1" applyFont="1" applyAlignment="1">
      <alignment wrapText="1"/>
    </xf>
    <xf numFmtId="0" fontId="3" fillId="0" borderId="0" xfId="4" applyFill="1" applyAlignment="1" applyProtection="1">
      <alignment horizontal="left"/>
    </xf>
    <xf numFmtId="0" fontId="3" fillId="0" borderId="0" xfId="4" applyFill="1"/>
    <xf numFmtId="0" fontId="0" fillId="0" borderId="0" xfId="0" applyFill="1"/>
    <xf numFmtId="0" fontId="25" fillId="0" borderId="0" xfId="4" applyFont="1" applyFill="1"/>
    <xf numFmtId="0" fontId="2" fillId="0" borderId="0" xfId="4" applyFont="1" applyFill="1" applyAlignment="1" applyProtection="1">
      <alignment horizontal="left"/>
    </xf>
    <xf numFmtId="0" fontId="2" fillId="0" borderId="0" xfId="4" applyFont="1" applyFill="1"/>
    <xf numFmtId="0" fontId="3" fillId="6" borderId="0" xfId="4" applyFill="1"/>
    <xf numFmtId="0" fontId="3" fillId="6" borderId="0" xfId="4" applyFill="1" applyAlignment="1" applyProtection="1">
      <alignment horizontal="left"/>
    </xf>
    <xf numFmtId="0" fontId="2" fillId="6" borderId="0" xfId="4" applyFont="1" applyFill="1" applyAlignment="1" applyProtection="1">
      <alignment horizontal="left"/>
    </xf>
    <xf numFmtId="0" fontId="2" fillId="6" borderId="0" xfId="4" applyFont="1" applyFill="1"/>
    <xf numFmtId="9" fontId="21" fillId="6" borderId="0" xfId="10" applyFont="1" applyFill="1"/>
    <xf numFmtId="167" fontId="21" fillId="6" borderId="0" xfId="10" applyNumberFormat="1" applyFont="1" applyFill="1"/>
    <xf numFmtId="0" fontId="10" fillId="6" borderId="0" xfId="4" applyFont="1" applyFill="1" applyAlignment="1" applyProtection="1">
      <alignment horizontal="left"/>
    </xf>
    <xf numFmtId="0" fontId="3" fillId="6" borderId="0" xfId="4" applyFont="1" applyFill="1"/>
    <xf numFmtId="0" fontId="11" fillId="6" borderId="0" xfId="4" applyFont="1" applyFill="1" applyAlignment="1" applyProtection="1">
      <alignment horizontal="left"/>
    </xf>
    <xf numFmtId="0" fontId="10" fillId="6" borderId="0" xfId="4" applyFont="1" applyFill="1"/>
    <xf numFmtId="0" fontId="0" fillId="0" borderId="31" xfId="0" applyBorder="1"/>
    <xf numFmtId="0" fontId="3" fillId="7" borderId="0" xfId="4" applyFill="1" applyAlignment="1" applyProtection="1">
      <alignment horizontal="left"/>
    </xf>
    <xf numFmtId="0" fontId="3" fillId="7" borderId="0" xfId="4" applyFill="1"/>
    <xf numFmtId="0" fontId="2" fillId="7" borderId="0" xfId="4" applyFont="1" applyFill="1" applyAlignment="1" applyProtection="1">
      <alignment horizontal="left"/>
    </xf>
    <xf numFmtId="0" fontId="2" fillId="7" borderId="0" xfId="4" applyFont="1" applyFill="1"/>
    <xf numFmtId="165" fontId="21" fillId="0" borderId="0" xfId="1" applyNumberFormat="1" applyFont="1" applyBorder="1" applyAlignment="1">
      <alignment horizontal="center"/>
    </xf>
    <xf numFmtId="0" fontId="4" fillId="7" borderId="0" xfId="4" applyFont="1" applyFill="1"/>
    <xf numFmtId="10" fontId="3" fillId="6" borderId="0" xfId="10" applyNumberFormat="1" applyFont="1" applyFill="1" applyAlignment="1" applyProtection="1">
      <alignment horizontal="left"/>
    </xf>
    <xf numFmtId="10" fontId="3" fillId="6" borderId="0" xfId="10" applyNumberFormat="1" applyFont="1" applyFill="1"/>
    <xf numFmtId="0" fontId="11" fillId="6" borderId="0" xfId="4" applyFont="1" applyFill="1"/>
    <xf numFmtId="165" fontId="22" fillId="0" borderId="0" xfId="2" applyNumberFormat="1" applyFont="1" applyFill="1"/>
    <xf numFmtId="171" fontId="0" fillId="2" borderId="0" xfId="0" applyNumberFormat="1" applyFill="1" applyBorder="1" applyAlignment="1">
      <alignment horizontal="center"/>
    </xf>
    <xf numFmtId="167" fontId="21" fillId="2" borderId="18" xfId="10" applyNumberFormat="1" applyFont="1" applyFill="1" applyBorder="1" applyAlignment="1">
      <alignment horizontal="center"/>
    </xf>
    <xf numFmtId="0" fontId="0" fillId="0" borderId="5" xfId="0" applyFont="1" applyBorder="1"/>
    <xf numFmtId="0" fontId="0" fillId="0" borderId="5" xfId="0" applyBorder="1"/>
    <xf numFmtId="0" fontId="0" fillId="0" borderId="0" xfId="0" applyFont="1" applyFill="1"/>
    <xf numFmtId="0" fontId="39" fillId="0" borderId="0" xfId="0" applyFont="1" applyFill="1" applyAlignment="1">
      <alignment horizontal="center"/>
    </xf>
    <xf numFmtId="167" fontId="21" fillId="0" borderId="5" xfId="10" applyNumberFormat="1" applyFont="1" applyFill="1" applyBorder="1" applyAlignment="1">
      <alignment horizontal="center"/>
    </xf>
    <xf numFmtId="167" fontId="21" fillId="0" borderId="0" xfId="10" applyNumberFormat="1" applyFont="1" applyFill="1" applyAlignment="1">
      <alignment horizontal="center"/>
    </xf>
    <xf numFmtId="0" fontId="0" fillId="0" borderId="0" xfId="0" applyFont="1" applyFill="1" applyAlignment="1">
      <alignment horizontal="center"/>
    </xf>
    <xf numFmtId="165" fontId="21" fillId="0" borderId="0" xfId="1" applyNumberFormat="1" applyFont="1" applyFill="1" applyAlignment="1">
      <alignment horizontal="center"/>
    </xf>
    <xf numFmtId="165" fontId="21" fillId="0" borderId="5" xfId="1" applyNumberFormat="1" applyFont="1" applyFill="1" applyBorder="1" applyAlignment="1">
      <alignment horizontal="center"/>
    </xf>
    <xf numFmtId="10" fontId="0" fillId="0" borderId="0" xfId="0" applyNumberFormat="1" applyFill="1" applyAlignment="1">
      <alignment horizontal="center"/>
    </xf>
    <xf numFmtId="167" fontId="21" fillId="0" borderId="0" xfId="10" applyNumberFormat="1" applyFont="1" applyFill="1" applyBorder="1" applyAlignment="1">
      <alignment horizontal="center"/>
    </xf>
    <xf numFmtId="170" fontId="0" fillId="0" borderId="0" xfId="0" applyNumberFormat="1" applyBorder="1" applyAlignment="1">
      <alignment horizontal="center"/>
    </xf>
    <xf numFmtId="0" fontId="21" fillId="6" borderId="18" xfId="1" applyNumberFormat="1" applyFont="1" applyFill="1" applyBorder="1" applyAlignment="1">
      <alignment horizontal="center"/>
    </xf>
    <xf numFmtId="165" fontId="31" fillId="0" borderId="0" xfId="1" applyNumberFormat="1" applyFont="1" applyFill="1"/>
    <xf numFmtId="0" fontId="21" fillId="0" borderId="0" xfId="0" applyFont="1" applyAlignment="1">
      <alignment wrapText="1"/>
    </xf>
    <xf numFmtId="10" fontId="21" fillId="0" borderId="0" xfId="0" applyNumberFormat="1" applyFont="1" applyAlignment="1">
      <alignment wrapText="1"/>
    </xf>
    <xf numFmtId="0" fontId="21" fillId="0" borderId="0" xfId="0" applyFont="1" applyFill="1" applyAlignment="1">
      <alignment wrapText="1"/>
    </xf>
    <xf numFmtId="10" fontId="21" fillId="0" borderId="0" xfId="0" applyNumberFormat="1" applyFont="1" applyFill="1" applyAlignment="1">
      <alignment wrapText="1"/>
    </xf>
    <xf numFmtId="0" fontId="21" fillId="0" borderId="0" xfId="0" applyFont="1"/>
    <xf numFmtId="0" fontId="21" fillId="0" borderId="31" xfId="0" applyFont="1" applyBorder="1"/>
    <xf numFmtId="0" fontId="24" fillId="0" borderId="0" xfId="4" applyFont="1"/>
    <xf numFmtId="0" fontId="24" fillId="0" borderId="0" xfId="4" applyFont="1" applyAlignment="1" applyProtection="1">
      <alignment horizontal="right"/>
    </xf>
    <xf numFmtId="166" fontId="30" fillId="7" borderId="0" xfId="4" applyNumberFormat="1" applyFont="1" applyFill="1" applyProtection="1"/>
    <xf numFmtId="0" fontId="30" fillId="7" borderId="0" xfId="4" applyFont="1" applyFill="1" applyAlignment="1" applyProtection="1">
      <alignment horizontal="center"/>
    </xf>
    <xf numFmtId="168" fontId="30" fillId="6" borderId="0" xfId="4" applyNumberFormat="1" applyFont="1" applyFill="1" applyProtection="1"/>
    <xf numFmtId="167" fontId="30" fillId="6" borderId="0" xfId="4" applyNumberFormat="1" applyFont="1" applyFill="1" applyProtection="1"/>
    <xf numFmtId="166" fontId="24" fillId="6" borderId="0" xfId="4" applyNumberFormat="1" applyFont="1" applyFill="1" applyProtection="1"/>
    <xf numFmtId="167" fontId="24" fillId="6" borderId="0" xfId="4" applyNumberFormat="1" applyFont="1" applyFill="1" applyProtection="1"/>
    <xf numFmtId="166" fontId="30" fillId="6" borderId="0" xfId="4" applyNumberFormat="1" applyFont="1" applyFill="1" applyProtection="1"/>
    <xf numFmtId="9" fontId="30" fillId="6" borderId="0" xfId="10" applyFont="1" applyFill="1" applyProtection="1"/>
    <xf numFmtId="167" fontId="40" fillId="6" borderId="0" xfId="10" applyNumberFormat="1" applyFont="1" applyFill="1" applyProtection="1"/>
    <xf numFmtId="10" fontId="40" fillId="6" borderId="0" xfId="10" applyNumberFormat="1" applyFont="1" applyFill="1" applyProtection="1"/>
    <xf numFmtId="167" fontId="40" fillId="6" borderId="0" xfId="4" applyNumberFormat="1" applyFont="1" applyFill="1" applyProtection="1"/>
    <xf numFmtId="171" fontId="40" fillId="6" borderId="0" xfId="4" applyNumberFormat="1" applyFont="1" applyFill="1"/>
    <xf numFmtId="0" fontId="40" fillId="6" borderId="0" xfId="4" applyFont="1" applyFill="1"/>
    <xf numFmtId="166" fontId="24" fillId="7" borderId="0" xfId="4" applyNumberFormat="1" applyFont="1" applyFill="1" applyProtection="1"/>
    <xf numFmtId="167" fontId="24" fillId="7" borderId="0" xfId="4" applyNumberFormat="1" applyFont="1" applyFill="1" applyProtection="1"/>
    <xf numFmtId="0" fontId="24" fillId="0" borderId="0" xfId="4" applyFont="1" applyFill="1"/>
    <xf numFmtId="166" fontId="24" fillId="0" borderId="0" xfId="4" applyNumberFormat="1" applyFont="1" applyProtection="1"/>
    <xf numFmtId="167" fontId="24" fillId="0" borderId="0" xfId="4" applyNumberFormat="1" applyFont="1" applyProtection="1"/>
    <xf numFmtId="0" fontId="35" fillId="0" borderId="0" xfId="4" applyFont="1" applyAlignment="1" applyProtection="1">
      <alignment horizontal="right"/>
    </xf>
    <xf numFmtId="0" fontId="30" fillId="0" borderId="0" xfId="4" applyFont="1"/>
    <xf numFmtId="0" fontId="30" fillId="0" borderId="0" xfId="4" applyFont="1" applyFill="1"/>
    <xf numFmtId="0" fontId="24" fillId="6" borderId="0" xfId="4" applyFont="1" applyFill="1"/>
    <xf numFmtId="0" fontId="35" fillId="0" borderId="0" xfId="4" applyFont="1" applyFill="1" applyAlignment="1" applyProtection="1">
      <alignment horizontal="right"/>
    </xf>
    <xf numFmtId="10" fontId="24" fillId="6" borderId="0" xfId="10" applyNumberFormat="1" applyFont="1" applyFill="1" applyProtection="1"/>
    <xf numFmtId="167" fontId="41" fillId="6" borderId="0" xfId="10" applyNumberFormat="1" applyFont="1" applyFill="1" applyProtection="1"/>
    <xf numFmtId="167" fontId="40" fillId="6" borderId="0" xfId="10" applyNumberFormat="1" applyFont="1" applyFill="1"/>
    <xf numFmtId="0" fontId="0" fillId="8" borderId="0" xfId="0" applyFill="1" applyAlignment="1">
      <alignment horizontal="center"/>
    </xf>
    <xf numFmtId="0" fontId="22" fillId="8" borderId="0" xfId="0" applyFont="1" applyFill="1" applyAlignment="1">
      <alignment horizontal="center"/>
    </xf>
    <xf numFmtId="165" fontId="22" fillId="8" borderId="0" xfId="1" applyNumberFormat="1" applyFont="1" applyFill="1" applyAlignment="1">
      <alignment horizontal="center"/>
    </xf>
    <xf numFmtId="165" fontId="21" fillId="8" borderId="0" xfId="1" applyNumberFormat="1" applyFont="1" applyFill="1" applyAlignment="1">
      <alignment horizontal="center"/>
    </xf>
    <xf numFmtId="165" fontId="0" fillId="8" borderId="0" xfId="0" applyNumberFormat="1" applyFill="1" applyAlignment="1">
      <alignment horizontal="center"/>
    </xf>
    <xf numFmtId="167" fontId="21" fillId="8" borderId="0" xfId="10" applyNumberFormat="1" applyFont="1" applyFill="1" applyAlignment="1">
      <alignment horizontal="center"/>
    </xf>
    <xf numFmtId="1" fontId="0" fillId="8" borderId="0" xfId="0" applyNumberFormat="1" applyFill="1" applyAlignment="1">
      <alignment horizontal="center"/>
    </xf>
    <xf numFmtId="165" fontId="0" fillId="8" borderId="0" xfId="0" applyNumberFormat="1" applyFont="1" applyFill="1" applyAlignment="1">
      <alignment horizontal="center"/>
    </xf>
    <xf numFmtId="2" fontId="0" fillId="8" borderId="0" xfId="0" applyNumberFormat="1" applyFill="1" applyAlignment="1">
      <alignment horizontal="center"/>
    </xf>
    <xf numFmtId="10" fontId="21" fillId="8" borderId="0" xfId="10" applyNumberFormat="1" applyFont="1" applyFill="1" applyAlignment="1">
      <alignment horizontal="center"/>
    </xf>
    <xf numFmtId="165" fontId="39" fillId="8" borderId="0" xfId="1" applyNumberFormat="1" applyFont="1" applyFill="1" applyAlignment="1">
      <alignment horizontal="center"/>
    </xf>
    <xf numFmtId="9" fontId="22" fillId="8" borderId="0" xfId="10" applyFont="1" applyFill="1" applyAlignment="1">
      <alignment horizontal="center"/>
    </xf>
    <xf numFmtId="173" fontId="21" fillId="8" borderId="0" xfId="10" applyNumberFormat="1" applyFont="1" applyFill="1" applyAlignment="1">
      <alignment horizontal="center"/>
    </xf>
    <xf numFmtId="10" fontId="22" fillId="8" borderId="0" xfId="10" applyNumberFormat="1" applyFont="1" applyFill="1" applyAlignment="1">
      <alignment horizontal="center"/>
    </xf>
    <xf numFmtId="165" fontId="22" fillId="8" borderId="0" xfId="0" applyNumberFormat="1" applyFont="1" applyFill="1" applyAlignment="1">
      <alignment horizontal="center"/>
    </xf>
    <xf numFmtId="171" fontId="0" fillId="8" borderId="0" xfId="0" applyNumberFormat="1" applyFill="1" applyAlignment="1">
      <alignment horizontal="center"/>
    </xf>
    <xf numFmtId="170" fontId="0" fillId="8" borderId="0" xfId="0" applyNumberFormat="1" applyFill="1" applyAlignment="1">
      <alignment horizontal="center"/>
    </xf>
    <xf numFmtId="0" fontId="3" fillId="8" borderId="0" xfId="4" applyFill="1"/>
    <xf numFmtId="0" fontId="3" fillId="8" borderId="5" xfId="4" applyFill="1" applyBorder="1"/>
    <xf numFmtId="0" fontId="3" fillId="8" borderId="0" xfId="4" applyFill="1" applyAlignment="1" applyProtection="1">
      <alignment horizontal="right"/>
    </xf>
    <xf numFmtId="0" fontId="3" fillId="8" borderId="5" xfId="4" applyFill="1" applyBorder="1" applyAlignment="1" applyProtection="1">
      <alignment horizontal="right"/>
    </xf>
    <xf numFmtId="166" fontId="3" fillId="8" borderId="0" xfId="4" applyNumberFormat="1" applyFill="1" applyProtection="1"/>
    <xf numFmtId="166" fontId="3" fillId="8" borderId="5" xfId="4" applyNumberFormat="1" applyFill="1" applyBorder="1" applyProtection="1"/>
    <xf numFmtId="166" fontId="2" fillId="8" borderId="0" xfId="4" applyNumberFormat="1" applyFont="1" applyFill="1" applyProtection="1"/>
    <xf numFmtId="166" fontId="2" fillId="8" borderId="5" xfId="4" applyNumberFormat="1" applyFont="1" applyFill="1" applyBorder="1" applyProtection="1"/>
    <xf numFmtId="168" fontId="2" fillId="8" borderId="0" xfId="4" applyNumberFormat="1" applyFont="1" applyFill="1" applyProtection="1"/>
    <xf numFmtId="168" fontId="2" fillId="8" borderId="5" xfId="4" applyNumberFormat="1" applyFont="1" applyFill="1" applyBorder="1" applyProtection="1"/>
    <xf numFmtId="166" fontId="3" fillId="8" borderId="0" xfId="4" applyNumberFormat="1" applyFont="1" applyFill="1" applyProtection="1"/>
    <xf numFmtId="166" fontId="3" fillId="8" borderId="5" xfId="4" applyNumberFormat="1" applyFont="1" applyFill="1" applyBorder="1" applyProtection="1"/>
    <xf numFmtId="9" fontId="2" fillId="8" borderId="0" xfId="10" applyFont="1" applyFill="1" applyProtection="1"/>
    <xf numFmtId="9" fontId="2" fillId="8" borderId="5" xfId="10" applyFont="1" applyFill="1" applyBorder="1" applyProtection="1"/>
    <xf numFmtId="167" fontId="10" fillId="8" borderId="0" xfId="10" applyNumberFormat="1" applyFont="1" applyFill="1" applyProtection="1"/>
    <xf numFmtId="167" fontId="10" fillId="8" borderId="5" xfId="10" applyNumberFormat="1" applyFont="1" applyFill="1" applyBorder="1" applyProtection="1"/>
    <xf numFmtId="171" fontId="10" fillId="8" borderId="0" xfId="4" applyNumberFormat="1" applyFont="1" applyFill="1"/>
    <xf numFmtId="171" fontId="10" fillId="8" borderId="5" xfId="4" applyNumberFormat="1" applyFont="1" applyFill="1" applyBorder="1"/>
    <xf numFmtId="169" fontId="3" fillId="8" borderId="0" xfId="4" applyNumberFormat="1" applyFill="1" applyProtection="1"/>
    <xf numFmtId="169" fontId="3" fillId="8" borderId="5" xfId="4" applyNumberFormat="1" applyFill="1" applyBorder="1" applyProtection="1"/>
    <xf numFmtId="0" fontId="25" fillId="8" borderId="0" xfId="4" applyFont="1" applyFill="1" applyAlignment="1" applyProtection="1">
      <alignment horizontal="right"/>
    </xf>
    <xf numFmtId="0" fontId="2" fillId="8" borderId="0" xfId="4" applyFont="1" applyFill="1"/>
    <xf numFmtId="168" fontId="3" fillId="8" borderId="0" xfId="4" applyNumberFormat="1" applyFill="1" applyProtection="1"/>
    <xf numFmtId="10" fontId="3" fillId="8" borderId="0" xfId="10" applyNumberFormat="1" applyFont="1" applyFill="1" applyProtection="1"/>
    <xf numFmtId="167" fontId="11" fillId="8" borderId="0" xfId="10" applyNumberFormat="1" applyFont="1" applyFill="1" applyProtection="1"/>
    <xf numFmtId="167" fontId="10" fillId="8" borderId="0" xfId="10" applyNumberFormat="1" applyFont="1" applyFill="1"/>
    <xf numFmtId="1" fontId="0" fillId="0" borderId="5" xfId="0" applyNumberFormat="1" applyBorder="1" applyAlignment="1">
      <alignment horizontal="center"/>
    </xf>
    <xf numFmtId="171" fontId="0" fillId="0" borderId="5" xfId="0" applyNumberFormat="1" applyBorder="1" applyAlignment="1">
      <alignment horizontal="center"/>
    </xf>
    <xf numFmtId="10" fontId="0" fillId="0" borderId="5" xfId="0" applyNumberFormat="1" applyFill="1" applyBorder="1" applyAlignment="1">
      <alignment horizontal="center"/>
    </xf>
    <xf numFmtId="0" fontId="9" fillId="6" borderId="0" xfId="4" applyFont="1" applyFill="1" applyAlignment="1" applyProtection="1">
      <alignment horizontal="left"/>
    </xf>
    <xf numFmtId="0" fontId="9" fillId="6" borderId="0" xfId="4" applyFont="1" applyFill="1" applyAlignment="1" applyProtection="1">
      <alignment horizontal="center"/>
    </xf>
    <xf numFmtId="10" fontId="22" fillId="6" borderId="0" xfId="10" applyNumberFormat="1" applyFont="1" applyFill="1" applyAlignment="1">
      <alignment horizontal="center"/>
    </xf>
    <xf numFmtId="10" fontId="22" fillId="6" borderId="5" xfId="10" applyNumberFormat="1" applyFont="1" applyFill="1" applyBorder="1" applyAlignment="1">
      <alignment horizontal="center"/>
    </xf>
    <xf numFmtId="165" fontId="34" fillId="6" borderId="0" xfId="1" applyNumberFormat="1" applyFont="1" applyFill="1"/>
    <xf numFmtId="0" fontId="22" fillId="6" borderId="0" xfId="0" applyFont="1" applyFill="1"/>
    <xf numFmtId="0" fontId="0" fillId="6" borderId="0" xfId="0" applyFont="1" applyFill="1"/>
    <xf numFmtId="0" fontId="39" fillId="6" borderId="0" xfId="0" applyFont="1" applyFill="1" applyAlignment="1">
      <alignment horizontal="center"/>
    </xf>
    <xf numFmtId="10" fontId="21" fillId="6" borderId="0" xfId="10" applyNumberFormat="1" applyFont="1" applyFill="1" applyAlignment="1">
      <alignment horizontal="center"/>
    </xf>
    <xf numFmtId="167" fontId="21" fillId="6" borderId="5" xfId="10" applyNumberFormat="1" applyFont="1" applyFill="1" applyBorder="1" applyAlignment="1">
      <alignment horizontal="center"/>
    </xf>
    <xf numFmtId="167" fontId="21" fillId="6" borderId="0" xfId="10" applyNumberFormat="1" applyFont="1" applyFill="1" applyAlignment="1">
      <alignment horizontal="center"/>
    </xf>
    <xf numFmtId="175" fontId="21" fillId="6" borderId="0" xfId="1" applyNumberFormat="1" applyFont="1" applyFill="1" applyAlignment="1">
      <alignment horizontal="center"/>
    </xf>
    <xf numFmtId="9" fontId="0" fillId="6" borderId="0" xfId="0" applyNumberFormat="1" applyFont="1" applyFill="1"/>
    <xf numFmtId="164" fontId="0" fillId="6" borderId="0" xfId="0" applyNumberFormat="1" applyFill="1"/>
    <xf numFmtId="10" fontId="0" fillId="6" borderId="0" xfId="0" applyNumberFormat="1" applyFill="1"/>
    <xf numFmtId="165" fontId="22" fillId="0" borderId="5" xfId="1" applyNumberFormat="1" applyFont="1" applyBorder="1" applyAlignment="1">
      <alignment horizontal="center"/>
    </xf>
    <xf numFmtId="1" fontId="22" fillId="0" borderId="5" xfId="0" applyNumberFormat="1" applyFont="1" applyBorder="1" applyAlignment="1">
      <alignment horizontal="center"/>
    </xf>
    <xf numFmtId="2" fontId="22" fillId="0" borderId="5" xfId="0" applyNumberFormat="1" applyFont="1" applyBorder="1" applyAlignment="1">
      <alignment horizontal="center"/>
    </xf>
    <xf numFmtId="2" fontId="0" fillId="0" borderId="5" xfId="0" applyNumberFormat="1" applyBorder="1" applyAlignment="1">
      <alignment horizontal="center"/>
    </xf>
    <xf numFmtId="170" fontId="22" fillId="8" borderId="0" xfId="1" applyNumberFormat="1" applyFont="1" applyFill="1" applyAlignment="1">
      <alignment horizontal="center"/>
    </xf>
    <xf numFmtId="0" fontId="35" fillId="8" borderId="0" xfId="0" applyFont="1" applyFill="1" applyAlignment="1">
      <alignment horizontal="center"/>
    </xf>
    <xf numFmtId="9" fontId="21" fillId="8" borderId="0" xfId="10" applyFont="1" applyFill="1" applyAlignment="1">
      <alignment horizontal="center"/>
    </xf>
    <xf numFmtId="2" fontId="21" fillId="0" borderId="0" xfId="10" applyNumberFormat="1" applyFont="1" applyFill="1" applyAlignment="1">
      <alignment horizontal="center"/>
    </xf>
    <xf numFmtId="10" fontId="21" fillId="0" borderId="0" xfId="10" applyNumberFormat="1" applyFont="1" applyFill="1" applyAlignment="1">
      <alignment horizontal="center"/>
    </xf>
    <xf numFmtId="10" fontId="21" fillId="0" borderId="5" xfId="10" applyNumberFormat="1" applyFont="1" applyFill="1" applyBorder="1" applyAlignment="1">
      <alignment horizontal="center"/>
    </xf>
    <xf numFmtId="164" fontId="0" fillId="0" borderId="0" xfId="0" applyNumberFormat="1" applyFill="1"/>
    <xf numFmtId="0" fontId="0" fillId="0" borderId="0" xfId="0" applyFill="1" applyAlignment="1">
      <alignment horizontal="center"/>
    </xf>
    <xf numFmtId="0" fontId="22" fillId="0" borderId="0" xfId="0" applyFont="1" applyFill="1" applyAlignment="1">
      <alignment horizontal="center"/>
    </xf>
    <xf numFmtId="170" fontId="22" fillId="0" borderId="0" xfId="1" applyNumberFormat="1" applyFont="1" applyFill="1" applyAlignment="1">
      <alignment horizontal="center"/>
    </xf>
    <xf numFmtId="165" fontId="0" fillId="0" borderId="0" xfId="0" applyNumberFormat="1" applyFill="1" applyAlignment="1">
      <alignment horizontal="center"/>
    </xf>
    <xf numFmtId="10" fontId="22" fillId="0" borderId="0" xfId="10" applyNumberFormat="1" applyFont="1" applyFill="1" applyAlignment="1">
      <alignment horizontal="center"/>
    </xf>
    <xf numFmtId="165" fontId="0" fillId="0" borderId="0" xfId="0" applyNumberFormat="1" applyFont="1" applyFill="1" applyAlignment="1">
      <alignment horizontal="center"/>
    </xf>
    <xf numFmtId="165" fontId="22" fillId="0" borderId="0" xfId="0" applyNumberFormat="1" applyFont="1" applyFill="1" applyAlignment="1">
      <alignment horizontal="center"/>
    </xf>
    <xf numFmtId="1" fontId="0" fillId="0" borderId="0" xfId="0" applyNumberFormat="1" applyFill="1" applyAlignment="1">
      <alignment horizontal="center"/>
    </xf>
    <xf numFmtId="171" fontId="0" fillId="0" borderId="0" xfId="0" applyNumberFormat="1" applyFill="1" applyAlignment="1">
      <alignment horizontal="center"/>
    </xf>
    <xf numFmtId="170" fontId="0" fillId="0" borderId="0" xfId="0" applyNumberFormat="1" applyFill="1" applyAlignment="1">
      <alignment horizontal="center"/>
    </xf>
    <xf numFmtId="10" fontId="24" fillId="0" borderId="0" xfId="10" applyNumberFormat="1" applyFont="1" applyFill="1" applyAlignment="1">
      <alignment horizontal="center"/>
    </xf>
    <xf numFmtId="10" fontId="24" fillId="8" borderId="0" xfId="10" applyNumberFormat="1" applyFont="1" applyFill="1" applyAlignment="1">
      <alignment horizontal="center"/>
    </xf>
    <xf numFmtId="0" fontId="15" fillId="5" borderId="32" xfId="6" applyFont="1" applyFill="1" applyBorder="1" applyAlignment="1">
      <alignment horizontal="center" vertical="center" wrapText="1"/>
    </xf>
    <xf numFmtId="2" fontId="14" fillId="0" borderId="34" xfId="6" applyNumberFormat="1" applyFont="1" applyBorder="1" applyAlignment="1">
      <alignment horizontal="center" vertical="center" wrapText="1"/>
    </xf>
    <xf numFmtId="2" fontId="14" fillId="0" borderId="35" xfId="6" applyNumberFormat="1" applyFont="1" applyBorder="1" applyAlignment="1">
      <alignment horizontal="center" vertical="center" wrapText="1"/>
    </xf>
    <xf numFmtId="2" fontId="14" fillId="0" borderId="33" xfId="6" applyNumberFormat="1" applyFont="1" applyFill="1" applyBorder="1" applyAlignment="1">
      <alignment horizontal="center" vertical="center" wrapText="1"/>
    </xf>
    <xf numFmtId="2" fontId="14" fillId="0" borderId="24" xfId="6" applyNumberFormat="1" applyFont="1" applyFill="1" applyBorder="1" applyAlignment="1">
      <alignment horizontal="center" vertical="center" wrapText="1"/>
    </xf>
    <xf numFmtId="2" fontId="14" fillId="0" borderId="35" xfId="6" applyNumberFormat="1" applyFont="1" applyFill="1" applyBorder="1" applyAlignment="1">
      <alignment horizontal="center" vertical="center" wrapText="1"/>
    </xf>
    <xf numFmtId="0" fontId="1" fillId="0" borderId="0" xfId="6" applyFont="1" applyBorder="1"/>
    <xf numFmtId="2" fontId="14" fillId="0" borderId="6" xfId="6" applyNumberFormat="1" applyFont="1" applyFill="1" applyBorder="1" applyAlignment="1">
      <alignment horizontal="center" vertical="center" wrapText="1"/>
    </xf>
    <xf numFmtId="2" fontId="14" fillId="0" borderId="36" xfId="6" applyNumberFormat="1" applyFont="1" applyFill="1" applyBorder="1" applyAlignment="1">
      <alignment horizontal="center" vertical="center" wrapText="1"/>
    </xf>
    <xf numFmtId="2" fontId="14" fillId="0" borderId="26" xfId="6" applyNumberFormat="1" applyFont="1" applyFill="1" applyBorder="1" applyAlignment="1">
      <alignment horizontal="center" vertical="center" wrapText="1"/>
    </xf>
    <xf numFmtId="2" fontId="14" fillId="0" borderId="37" xfId="6" applyNumberFormat="1" applyFont="1" applyFill="1" applyBorder="1" applyAlignment="1">
      <alignment horizontal="center" vertical="center" wrapText="1"/>
    </xf>
    <xf numFmtId="2" fontId="14" fillId="0" borderId="38" xfId="6" applyNumberFormat="1" applyFont="1" applyFill="1" applyBorder="1" applyAlignment="1">
      <alignment horizontal="center" vertical="center" wrapText="1"/>
    </xf>
    <xf numFmtId="0" fontId="15" fillId="5" borderId="39" xfId="6" applyFont="1" applyFill="1" applyBorder="1" applyAlignment="1">
      <alignment horizontal="center" vertical="center" wrapText="1"/>
    </xf>
    <xf numFmtId="2" fontId="14" fillId="0" borderId="34" xfId="4" applyNumberFormat="1" applyFont="1" applyFill="1" applyBorder="1" applyAlignment="1">
      <alignment horizontal="center" vertical="center" wrapText="1"/>
    </xf>
    <xf numFmtId="2" fontId="14" fillId="0" borderId="34" xfId="6" applyNumberFormat="1" applyFont="1" applyFill="1" applyBorder="1" applyAlignment="1">
      <alignment horizontal="center" vertical="center" wrapText="1"/>
    </xf>
    <xf numFmtId="2" fontId="14" fillId="0" borderId="37" xfId="4" applyNumberFormat="1" applyFont="1" applyFill="1" applyBorder="1" applyAlignment="1">
      <alignment horizontal="center" vertical="center" wrapText="1"/>
    </xf>
    <xf numFmtId="2" fontId="14" fillId="0" borderId="40" xfId="6" applyNumberFormat="1" applyFont="1" applyFill="1" applyBorder="1" applyAlignment="1">
      <alignment horizontal="center" vertical="center" wrapText="1"/>
    </xf>
    <xf numFmtId="2" fontId="14" fillId="0" borderId="41" xfId="6" applyNumberFormat="1" applyFont="1" applyFill="1" applyBorder="1" applyAlignment="1">
      <alignment horizontal="center" vertical="center" wrapText="1"/>
    </xf>
    <xf numFmtId="2" fontId="14" fillId="0" borderId="25" xfId="6" applyNumberFormat="1" applyFont="1" applyFill="1" applyBorder="1" applyAlignment="1">
      <alignment horizontal="center" vertical="center" wrapText="1"/>
    </xf>
    <xf numFmtId="2" fontId="14" fillId="0" borderId="42" xfId="6" applyNumberFormat="1" applyFont="1" applyFill="1" applyBorder="1" applyAlignment="1">
      <alignment horizontal="center" vertical="center" wrapText="1"/>
    </xf>
    <xf numFmtId="2" fontId="14" fillId="0" borderId="41" xfId="4" applyNumberFormat="1" applyFont="1" applyFill="1" applyBorder="1" applyAlignment="1">
      <alignment horizontal="center" vertical="center" wrapText="1"/>
    </xf>
    <xf numFmtId="2" fontId="14" fillId="0" borderId="40" xfId="6" applyNumberFormat="1" applyFont="1" applyBorder="1" applyAlignment="1">
      <alignment horizontal="center" vertical="center" wrapText="1"/>
    </xf>
    <xf numFmtId="2" fontId="14" fillId="0" borderId="43" xfId="6" applyNumberFormat="1" applyFont="1" applyBorder="1" applyAlignment="1">
      <alignment horizontal="center" vertical="center" wrapText="1"/>
    </xf>
    <xf numFmtId="2" fontId="14" fillId="0" borderId="43" xfId="6" applyNumberFormat="1" applyFont="1" applyFill="1" applyBorder="1" applyAlignment="1">
      <alignment horizontal="center" vertical="center" wrapText="1"/>
    </xf>
    <xf numFmtId="0" fontId="15" fillId="5" borderId="45" xfId="6" applyFont="1" applyFill="1" applyBorder="1" applyAlignment="1">
      <alignment horizontal="center" vertical="center" wrapText="1"/>
    </xf>
    <xf numFmtId="0" fontId="14" fillId="0" borderId="46" xfId="6" applyFont="1" applyFill="1" applyBorder="1" applyAlignment="1">
      <alignment horizontal="center" vertical="center" wrapText="1"/>
    </xf>
    <xf numFmtId="1" fontId="14" fillId="0" borderId="46" xfId="6" applyNumberFormat="1" applyFont="1" applyFill="1" applyBorder="1" applyAlignment="1">
      <alignment horizontal="center" vertical="center" wrapText="1"/>
    </xf>
    <xf numFmtId="2" fontId="14" fillId="0" borderId="46" xfId="6" applyNumberFormat="1" applyFont="1" applyBorder="1" applyAlignment="1">
      <alignment horizontal="center" vertical="center" wrapText="1"/>
    </xf>
    <xf numFmtId="2" fontId="14" fillId="0" borderId="46" xfId="6" applyNumberFormat="1" applyFont="1" applyFill="1" applyBorder="1" applyAlignment="1">
      <alignment horizontal="center" vertical="center" wrapText="1"/>
    </xf>
    <xf numFmtId="2" fontId="14" fillId="0" borderId="47" xfId="6" applyNumberFormat="1" applyFont="1" applyFill="1" applyBorder="1" applyAlignment="1">
      <alignment horizontal="center" vertical="center" wrapText="1"/>
    </xf>
    <xf numFmtId="2" fontId="14" fillId="0" borderId="13" xfId="6" applyNumberFormat="1" applyFont="1" applyFill="1" applyBorder="1" applyAlignment="1">
      <alignment horizontal="center" vertical="center" wrapText="1"/>
    </xf>
    <xf numFmtId="2" fontId="14" fillId="0" borderId="48" xfId="6" applyNumberFormat="1" applyFont="1" applyFill="1" applyBorder="1" applyAlignment="1">
      <alignment horizontal="center" vertical="center" wrapText="1"/>
    </xf>
    <xf numFmtId="0" fontId="14" fillId="0" borderId="43" xfId="6" applyFont="1" applyFill="1" applyBorder="1" applyAlignment="1">
      <alignment horizontal="center" vertical="center" wrapText="1"/>
    </xf>
    <xf numFmtId="9" fontId="14" fillId="0" borderId="43" xfId="6" applyNumberFormat="1" applyFont="1" applyFill="1" applyBorder="1" applyAlignment="1">
      <alignment horizontal="center" vertical="center" wrapText="1"/>
    </xf>
    <xf numFmtId="1" fontId="14" fillId="0" borderId="43" xfId="6" applyNumberFormat="1" applyFont="1" applyFill="1" applyBorder="1" applyAlignment="1">
      <alignment horizontal="center" vertical="center" wrapText="1"/>
    </xf>
    <xf numFmtId="2" fontId="14" fillId="0" borderId="49" xfId="6" applyNumberFormat="1" applyFont="1" applyBorder="1" applyAlignment="1">
      <alignment horizontal="center" vertical="center" wrapText="1"/>
    </xf>
    <xf numFmtId="2" fontId="14" fillId="0" borderId="50" xfId="6" applyNumberFormat="1" applyFont="1" applyFill="1" applyBorder="1" applyAlignment="1">
      <alignment horizontal="center" vertical="center" wrapText="1"/>
    </xf>
    <xf numFmtId="2" fontId="14" fillId="0" borderId="49" xfId="6" applyNumberFormat="1" applyFont="1" applyFill="1" applyBorder="1" applyAlignment="1">
      <alignment horizontal="center" vertical="center" wrapText="1"/>
    </xf>
    <xf numFmtId="2" fontId="14" fillId="0" borderId="51" xfId="6" applyNumberFormat="1" applyFont="1" applyFill="1" applyBorder="1" applyAlignment="1">
      <alignment horizontal="center" vertical="center" wrapText="1"/>
    </xf>
    <xf numFmtId="2" fontId="14" fillId="0" borderId="13" xfId="6" applyNumberFormat="1" applyFont="1" applyBorder="1" applyAlignment="1">
      <alignment horizontal="center" vertical="center" wrapText="1"/>
    </xf>
    <xf numFmtId="0" fontId="14" fillId="0" borderId="46" xfId="6" applyFont="1" applyBorder="1" applyAlignment="1">
      <alignment horizontal="center" vertical="center" wrapText="1"/>
    </xf>
    <xf numFmtId="9" fontId="14" fillId="0" borderId="46" xfId="6" applyNumberFormat="1" applyFont="1" applyBorder="1" applyAlignment="1">
      <alignment horizontal="center" vertical="center" wrapText="1"/>
    </xf>
    <xf numFmtId="1" fontId="14" fillId="0" borderId="46" xfId="6" applyNumberFormat="1" applyFont="1" applyBorder="1" applyAlignment="1">
      <alignment horizontal="center" vertical="center" wrapText="1"/>
    </xf>
    <xf numFmtId="2" fontId="14" fillId="0" borderId="47" xfId="6" applyNumberFormat="1" applyFont="1" applyBorder="1" applyAlignment="1">
      <alignment horizontal="center" vertical="center" wrapText="1"/>
    </xf>
    <xf numFmtId="0" fontId="14" fillId="0" borderId="15" xfId="4" applyFont="1" applyBorder="1" applyAlignment="1">
      <alignment horizontal="center" vertical="center" wrapText="1"/>
    </xf>
    <xf numFmtId="9" fontId="14" fillId="0" borderId="15" xfId="4" applyNumberFormat="1" applyFont="1" applyFill="1" applyBorder="1" applyAlignment="1">
      <alignment horizontal="center" vertical="center" wrapText="1"/>
    </xf>
    <xf numFmtId="1" fontId="14" fillId="0" borderId="15" xfId="4" applyNumberFormat="1" applyFont="1" applyBorder="1" applyAlignment="1">
      <alignment horizontal="center" vertical="center" wrapText="1"/>
    </xf>
    <xf numFmtId="2" fontId="14" fillId="0" borderId="15" xfId="4" applyNumberFormat="1" applyFont="1" applyBorder="1" applyAlignment="1">
      <alignment horizontal="center" vertical="center" wrapText="1"/>
    </xf>
    <xf numFmtId="2" fontId="14" fillId="0" borderId="23" xfId="4" applyNumberFormat="1" applyFont="1" applyFill="1" applyBorder="1" applyAlignment="1">
      <alignment horizontal="center" vertical="center" wrapText="1"/>
    </xf>
    <xf numFmtId="2" fontId="14" fillId="0" borderId="7" xfId="4" applyNumberFormat="1" applyFont="1" applyFill="1" applyBorder="1" applyAlignment="1">
      <alignment horizontal="center" vertical="center" wrapText="1"/>
    </xf>
    <xf numFmtId="2" fontId="14" fillId="0" borderId="6" xfId="4" applyNumberFormat="1" applyFont="1" applyFill="1" applyBorder="1" applyAlignment="1">
      <alignment horizontal="center" vertical="center" wrapText="1"/>
    </xf>
    <xf numFmtId="2" fontId="14" fillId="0" borderId="42" xfId="6" applyNumberFormat="1" applyFont="1" applyBorder="1" applyAlignment="1">
      <alignment horizontal="center" vertical="center" wrapText="1"/>
    </xf>
    <xf numFmtId="9" fontId="14" fillId="0" borderId="46" xfId="6" applyNumberFormat="1" applyFont="1" applyFill="1" applyBorder="1" applyAlignment="1">
      <alignment horizontal="center" vertical="center" wrapText="1"/>
    </xf>
    <xf numFmtId="2" fontId="14" fillId="0" borderId="41" xfId="6" applyNumberFormat="1" applyFont="1" applyBorder="1" applyAlignment="1">
      <alignment horizontal="center" vertical="center" wrapText="1"/>
    </xf>
    <xf numFmtId="2" fontId="14" fillId="0" borderId="46" xfId="4" applyNumberFormat="1" applyFont="1" applyBorder="1" applyAlignment="1">
      <alignment horizontal="center" vertical="center" wrapText="1"/>
    </xf>
    <xf numFmtId="2" fontId="14" fillId="0" borderId="48" xfId="6" applyNumberFormat="1" applyFont="1" applyBorder="1" applyAlignment="1">
      <alignment horizontal="center" vertical="center" wrapText="1"/>
    </xf>
    <xf numFmtId="2" fontId="14" fillId="0" borderId="7" xfId="4" applyNumberFormat="1" applyFont="1" applyBorder="1" applyAlignment="1">
      <alignment horizontal="center" vertical="center" wrapText="1"/>
    </xf>
    <xf numFmtId="2" fontId="14" fillId="0" borderId="41" xfId="4" applyNumberFormat="1" applyFont="1" applyBorder="1" applyAlignment="1">
      <alignment horizontal="center" vertical="center" wrapText="1"/>
    </xf>
    <xf numFmtId="0" fontId="3" fillId="5" borderId="0" xfId="4" applyFill="1" applyAlignment="1" applyProtection="1">
      <alignment horizontal="right"/>
    </xf>
    <xf numFmtId="0" fontId="3" fillId="5" borderId="0" xfId="4" applyFill="1"/>
    <xf numFmtId="166" fontId="3" fillId="5" borderId="0" xfId="4" applyNumberFormat="1" applyFill="1" applyProtection="1"/>
    <xf numFmtId="0" fontId="25" fillId="5" borderId="0" xfId="4" applyFont="1" applyFill="1" applyAlignment="1" applyProtection="1">
      <alignment horizontal="right"/>
    </xf>
    <xf numFmtId="0" fontId="2" fillId="5" borderId="0" xfId="4" applyFont="1" applyFill="1"/>
    <xf numFmtId="165" fontId="22" fillId="5" borderId="0" xfId="2" applyNumberFormat="1" applyFont="1" applyFill="1"/>
    <xf numFmtId="0" fontId="37" fillId="0" borderId="0" xfId="4" applyFont="1" applyFill="1"/>
    <xf numFmtId="165" fontId="38" fillId="0" borderId="0" xfId="1" applyNumberFormat="1" applyFont="1" applyFill="1"/>
    <xf numFmtId="165" fontId="42" fillId="0" borderId="0" xfId="1" applyNumberFormat="1" applyFont="1" applyFill="1"/>
    <xf numFmtId="0" fontId="42" fillId="0" borderId="0" xfId="4" applyFont="1" applyFill="1"/>
    <xf numFmtId="0" fontId="10" fillId="0" borderId="0" xfId="4" applyFont="1" applyFill="1"/>
    <xf numFmtId="167" fontId="10" fillId="0" borderId="0" xfId="10" applyNumberFormat="1" applyFont="1" applyFill="1"/>
    <xf numFmtId="167" fontId="40" fillId="0" borderId="0" xfId="10" applyNumberFormat="1" applyFont="1" applyFill="1"/>
    <xf numFmtId="9" fontId="0" fillId="0" borderId="0" xfId="0" applyNumberFormat="1" applyFill="1"/>
    <xf numFmtId="168" fontId="2" fillId="2" borderId="0" xfId="4" applyNumberFormat="1" applyFont="1" applyFill="1" applyProtection="1"/>
    <xf numFmtId="0" fontId="28" fillId="2" borderId="53" xfId="0" applyFont="1" applyFill="1" applyBorder="1" applyAlignment="1">
      <alignment wrapText="1"/>
    </xf>
    <xf numFmtId="10" fontId="28" fillId="2" borderId="53" xfId="0" applyNumberFormat="1" applyFont="1" applyFill="1" applyBorder="1" applyAlignment="1">
      <alignment wrapText="1"/>
    </xf>
    <xf numFmtId="0" fontId="33" fillId="2" borderId="53" xfId="0" applyFont="1" applyFill="1" applyBorder="1" applyAlignment="1">
      <alignment wrapText="1"/>
    </xf>
    <xf numFmtId="10" fontId="33" fillId="2" borderId="53" xfId="0" applyNumberFormat="1" applyFont="1" applyFill="1" applyBorder="1" applyAlignment="1">
      <alignment wrapText="1"/>
    </xf>
    <xf numFmtId="0" fontId="2" fillId="2" borderId="0" xfId="4" applyFont="1" applyFill="1"/>
    <xf numFmtId="0" fontId="30" fillId="2" borderId="0" xfId="4" applyFont="1" applyFill="1"/>
    <xf numFmtId="10" fontId="22" fillId="2" borderId="0" xfId="0" applyNumberFormat="1" applyFont="1" applyFill="1" applyAlignment="1">
      <alignment wrapText="1"/>
    </xf>
    <xf numFmtId="4" fontId="43" fillId="2" borderId="56" xfId="0" applyNumberFormat="1" applyFont="1" applyFill="1" applyBorder="1" applyAlignment="1">
      <alignment horizontal="right" vertical="center"/>
    </xf>
    <xf numFmtId="4" fontId="0" fillId="2" borderId="0" xfId="0" applyNumberFormat="1" applyFill="1"/>
    <xf numFmtId="4" fontId="44" fillId="2" borderId="0" xfId="0" applyNumberFormat="1" applyFont="1" applyFill="1" applyAlignment="1">
      <alignment horizontal="right" vertical="center"/>
    </xf>
    <xf numFmtId="176" fontId="21" fillId="0" borderId="0" xfId="1" applyNumberFormat="1" applyFont="1" applyFill="1" applyBorder="1" applyAlignment="1">
      <alignment horizontal="center"/>
    </xf>
    <xf numFmtId="177" fontId="21" fillId="0" borderId="0" xfId="1" applyNumberFormat="1" applyFont="1" applyFill="1" applyBorder="1" applyAlignment="1">
      <alignment horizontal="center"/>
    </xf>
    <xf numFmtId="178" fontId="21" fillId="0" borderId="0" xfId="1" applyNumberFormat="1" applyFont="1" applyFill="1" applyBorder="1" applyAlignment="1">
      <alignment horizontal="center"/>
    </xf>
    <xf numFmtId="172" fontId="21" fillId="0" borderId="0" xfId="1" applyNumberFormat="1" applyFont="1" applyFill="1" applyBorder="1" applyAlignment="1">
      <alignment horizontal="center"/>
    </xf>
    <xf numFmtId="165" fontId="0" fillId="0" borderId="0" xfId="1" applyNumberFormat="1" applyFont="1" applyFill="1" applyBorder="1" applyAlignment="1">
      <alignment horizontal="center"/>
    </xf>
    <xf numFmtId="0" fontId="28" fillId="0" borderId="0" xfId="0" applyFont="1" applyAlignment="1">
      <alignment wrapText="1"/>
    </xf>
    <xf numFmtId="0" fontId="33" fillId="0" borderId="0" xfId="0" applyFont="1" applyAlignment="1">
      <alignment wrapText="1"/>
    </xf>
    <xf numFmtId="0" fontId="28" fillId="0" borderId="53" xfId="0" applyFont="1" applyBorder="1" applyAlignment="1">
      <alignment wrapText="1"/>
    </xf>
    <xf numFmtId="0" fontId="33" fillId="0" borderId="53" xfId="0" applyFont="1" applyBorder="1" applyAlignment="1">
      <alignment wrapText="1"/>
    </xf>
    <xf numFmtId="10" fontId="28" fillId="0" borderId="0" xfId="0" applyNumberFormat="1" applyFont="1" applyAlignment="1">
      <alignment wrapText="1"/>
    </xf>
    <xf numFmtId="10" fontId="33" fillId="0" borderId="0" xfId="0" applyNumberFormat="1" applyFont="1" applyAlignment="1">
      <alignment wrapText="1"/>
    </xf>
    <xf numFmtId="2" fontId="43" fillId="2" borderId="52" xfId="0" applyNumberFormat="1" applyFont="1" applyFill="1" applyBorder="1" applyAlignment="1">
      <alignment horizontal="right" vertical="center"/>
    </xf>
    <xf numFmtId="2" fontId="43" fillId="2" borderId="55" xfId="0" applyNumberFormat="1" applyFont="1" applyFill="1" applyBorder="1" applyAlignment="1">
      <alignment horizontal="right" vertical="center"/>
    </xf>
    <xf numFmtId="2" fontId="2" fillId="2" borderId="0" xfId="4" applyNumberFormat="1" applyFont="1" applyFill="1" applyProtection="1"/>
    <xf numFmtId="0" fontId="43" fillId="0" borderId="56" xfId="0" applyFont="1" applyBorder="1" applyAlignment="1">
      <alignment horizontal="left" vertical="center"/>
    </xf>
    <xf numFmtId="0" fontId="44" fillId="0" borderId="0" xfId="0" applyFont="1" applyAlignment="1">
      <alignment horizontal="left" vertical="center"/>
    </xf>
    <xf numFmtId="0" fontId="0" fillId="0" borderId="53" xfId="0" applyBorder="1" applyAlignment="1">
      <alignment wrapText="1"/>
    </xf>
    <xf numFmtId="0" fontId="49" fillId="9" borderId="0" xfId="4" applyFont="1" applyFill="1" applyAlignment="1" applyProtection="1">
      <alignment horizontal="left"/>
    </xf>
    <xf numFmtId="0" fontId="50" fillId="9" borderId="0" xfId="4" applyFont="1" applyFill="1" applyAlignment="1" applyProtection="1">
      <alignment horizontal="center"/>
    </xf>
    <xf numFmtId="165" fontId="21" fillId="9" borderId="0" xfId="1" applyNumberFormat="1" applyFont="1" applyFill="1" applyAlignment="1">
      <alignment horizontal="center"/>
    </xf>
    <xf numFmtId="0" fontId="21" fillId="9" borderId="0" xfId="0" applyFont="1" applyFill="1"/>
    <xf numFmtId="0" fontId="43" fillId="0" borderId="52" xfId="0" applyFont="1" applyBorder="1" applyAlignment="1">
      <alignment horizontal="left" vertical="center"/>
    </xf>
    <xf numFmtId="0" fontId="43" fillId="0" borderId="54" xfId="0" applyFont="1" applyBorder="1" applyAlignment="1">
      <alignment horizontal="left" vertical="center"/>
    </xf>
    <xf numFmtId="0" fontId="43" fillId="0" borderId="55" xfId="0" applyFont="1" applyBorder="1" applyAlignment="1">
      <alignment horizontal="left" vertical="center"/>
    </xf>
    <xf numFmtId="167" fontId="0" fillId="0" borderId="0" xfId="0" applyNumberFormat="1"/>
    <xf numFmtId="0" fontId="22" fillId="9" borderId="0" xfId="0" applyFont="1" applyFill="1"/>
    <xf numFmtId="0" fontId="22" fillId="9" borderId="0" xfId="0" applyFont="1" applyFill="1" applyAlignment="1">
      <alignment horizontal="center"/>
    </xf>
    <xf numFmtId="165" fontId="22" fillId="9" borderId="0" xfId="0" applyNumberFormat="1" applyFont="1" applyFill="1" applyAlignment="1">
      <alignment horizontal="center"/>
    </xf>
    <xf numFmtId="165" fontId="22" fillId="9" borderId="5" xfId="0" applyNumberFormat="1" applyFont="1" applyFill="1" applyBorder="1" applyAlignment="1">
      <alignment horizontal="center"/>
    </xf>
    <xf numFmtId="165" fontId="22" fillId="9" borderId="0" xfId="0" applyNumberFormat="1" applyFont="1" applyFill="1" applyBorder="1" applyAlignment="1">
      <alignment horizontal="center"/>
    </xf>
    <xf numFmtId="167" fontId="0" fillId="2" borderId="1" xfId="10" applyNumberFormat="1" applyFont="1" applyFill="1" applyBorder="1" applyAlignment="1">
      <alignment horizontal="center"/>
    </xf>
    <xf numFmtId="2" fontId="14" fillId="0" borderId="15" xfId="4" applyNumberFormat="1" applyFont="1" applyFill="1" applyBorder="1" applyAlignment="1">
      <alignment horizontal="center" vertical="center" wrapText="1"/>
    </xf>
    <xf numFmtId="2" fontId="14" fillId="0" borderId="24" xfId="6" applyNumberFormat="1" applyFont="1" applyBorder="1" applyAlignment="1">
      <alignment horizontal="center" vertical="center" wrapText="1"/>
    </xf>
    <xf numFmtId="2" fontId="14" fillId="0" borderId="25" xfId="6" applyNumberFormat="1" applyFont="1" applyBorder="1" applyAlignment="1">
      <alignment horizontal="center" vertical="center" wrapText="1"/>
    </xf>
    <xf numFmtId="2" fontId="14" fillId="0" borderId="20" xfId="6" applyNumberFormat="1" applyFont="1" applyFill="1" applyBorder="1" applyAlignment="1">
      <alignment horizontal="center" vertical="center" wrapText="1"/>
    </xf>
    <xf numFmtId="2" fontId="14" fillId="0" borderId="21" xfId="6" applyNumberFormat="1" applyFont="1" applyFill="1" applyBorder="1" applyAlignment="1">
      <alignment horizontal="center" vertical="center" wrapText="1"/>
    </xf>
    <xf numFmtId="2" fontId="14" fillId="0" borderId="16" xfId="6" applyNumberFormat="1" applyFont="1" applyFill="1" applyBorder="1" applyAlignment="1">
      <alignment horizontal="center" vertical="center" wrapText="1"/>
    </xf>
    <xf numFmtId="2" fontId="14" fillId="0" borderId="21" xfId="4" applyNumberFormat="1" applyFont="1" applyFill="1" applyBorder="1" applyAlignment="1">
      <alignment horizontal="center" vertical="center" wrapText="1"/>
    </xf>
    <xf numFmtId="168" fontId="28" fillId="2" borderId="53" xfId="0" applyNumberFormat="1" applyFont="1" applyFill="1" applyBorder="1" applyAlignment="1">
      <alignment wrapText="1"/>
    </xf>
    <xf numFmtId="0" fontId="1" fillId="0" borderId="0" xfId="0" applyFont="1"/>
    <xf numFmtId="2" fontId="1" fillId="0" borderId="0" xfId="0" applyNumberFormat="1" applyFont="1"/>
    <xf numFmtId="9" fontId="1" fillId="0" borderId="0" xfId="6" applyNumberFormat="1" applyFont="1"/>
    <xf numFmtId="0" fontId="0" fillId="0" borderId="0" xfId="0" applyAlignment="1">
      <alignment horizontal="center"/>
    </xf>
    <xf numFmtId="0" fontId="15" fillId="5" borderId="17" xfId="6" applyFont="1" applyFill="1" applyBorder="1" applyAlignment="1">
      <alignment horizontal="center" vertical="center" wrapText="1"/>
    </xf>
    <xf numFmtId="0" fontId="15" fillId="5" borderId="15" xfId="6" applyFont="1" applyFill="1" applyBorder="1" applyAlignment="1">
      <alignment horizontal="center" vertical="center" wrapText="1"/>
    </xf>
    <xf numFmtId="0" fontId="15" fillId="5" borderId="27" xfId="6" applyFont="1" applyFill="1" applyBorder="1" applyAlignment="1">
      <alignment horizontal="center" vertical="center" wrapText="1"/>
    </xf>
    <xf numFmtId="0" fontId="15" fillId="5" borderId="6" xfId="6" applyFont="1" applyFill="1" applyBorder="1" applyAlignment="1">
      <alignment horizontal="center" vertical="center" wrapText="1"/>
    </xf>
    <xf numFmtId="0" fontId="15" fillId="5" borderId="17" xfId="6" applyFont="1" applyFill="1" applyBorder="1" applyAlignment="1">
      <alignment horizontal="center" vertical="center" textRotation="90" wrapText="1"/>
    </xf>
    <xf numFmtId="0" fontId="15" fillId="5" borderId="28" xfId="6" applyFont="1" applyFill="1" applyBorder="1" applyAlignment="1">
      <alignment horizontal="center" vertical="center" textRotation="90" wrapText="1"/>
    </xf>
    <xf numFmtId="0" fontId="15" fillId="5" borderId="44" xfId="6" applyFont="1" applyFill="1" applyBorder="1" applyAlignment="1">
      <alignment horizontal="center" vertical="center" textRotation="90" wrapText="1"/>
    </xf>
    <xf numFmtId="0" fontId="15" fillId="5" borderId="29" xfId="6" applyFont="1" applyFill="1" applyBorder="1" applyAlignment="1">
      <alignment horizontal="center" vertical="center" wrapText="1"/>
    </xf>
    <xf numFmtId="0" fontId="15" fillId="5" borderId="30" xfId="6" applyFont="1" applyFill="1" applyBorder="1" applyAlignment="1">
      <alignment horizontal="center" vertical="center" wrapText="1"/>
    </xf>
    <xf numFmtId="0" fontId="15" fillId="5" borderId="23" xfId="6" applyFont="1" applyFill="1" applyBorder="1" applyAlignment="1">
      <alignment horizontal="center" vertical="center" wrapText="1"/>
    </xf>
    <xf numFmtId="0" fontId="15" fillId="5" borderId="7" xfId="6" applyFont="1" applyFill="1" applyBorder="1" applyAlignment="1">
      <alignment horizontal="center" vertical="center" wrapText="1"/>
    </xf>
    <xf numFmtId="0" fontId="15" fillId="5" borderId="24" xfId="6" applyFont="1" applyFill="1" applyBorder="1" applyAlignment="1">
      <alignment horizontal="center"/>
    </xf>
    <xf numFmtId="0" fontId="15" fillId="5" borderId="25" xfId="6" applyFont="1" applyFill="1" applyBorder="1" applyAlignment="1">
      <alignment horizontal="center"/>
    </xf>
    <xf numFmtId="0" fontId="15" fillId="5" borderId="26" xfId="6" applyFont="1" applyFill="1" applyBorder="1" applyAlignment="1">
      <alignment horizontal="center"/>
    </xf>
    <xf numFmtId="2" fontId="14" fillId="0" borderId="15" xfId="6" applyNumberFormat="1" applyFont="1" applyFill="1" applyBorder="1" applyAlignment="1">
      <alignment horizontal="center" vertical="center" wrapText="1"/>
    </xf>
    <xf numFmtId="2" fontId="14" fillId="0" borderId="20" xfId="6" applyNumberFormat="1" applyFont="1" applyFill="1" applyBorder="1" applyAlignment="1">
      <alignment horizontal="center" vertical="center" wrapText="1"/>
    </xf>
    <xf numFmtId="2" fontId="14" fillId="0" borderId="21" xfId="6" applyNumberFormat="1" applyFont="1" applyFill="1" applyBorder="1" applyAlignment="1">
      <alignment horizontal="center" vertical="center" wrapText="1"/>
    </xf>
    <xf numFmtId="2" fontId="14" fillId="0" borderId="16" xfId="6" applyNumberFormat="1" applyFont="1" applyFill="1" applyBorder="1" applyAlignment="1">
      <alignment horizontal="center" vertical="center" wrapText="1"/>
    </xf>
    <xf numFmtId="2" fontId="14" fillId="2" borderId="21" xfId="4" applyNumberFormat="1" applyFont="1" applyFill="1" applyBorder="1" applyAlignment="1">
      <alignment horizontal="center" vertical="center" wrapText="1"/>
    </xf>
    <xf numFmtId="2" fontId="14" fillId="2" borderId="16" xfId="4" applyNumberFormat="1" applyFont="1" applyFill="1" applyBorder="1" applyAlignment="1">
      <alignment horizontal="center" vertical="center" wrapText="1"/>
    </xf>
    <xf numFmtId="2" fontId="14" fillId="2" borderId="20" xfId="4" applyNumberFormat="1" applyFont="1" applyFill="1" applyBorder="1" applyAlignment="1">
      <alignment horizontal="center" vertical="center" wrapText="1"/>
    </xf>
    <xf numFmtId="0" fontId="1" fillId="0" borderId="57" xfId="0" applyFont="1" applyBorder="1"/>
    <xf numFmtId="0" fontId="1" fillId="0" borderId="0" xfId="0" applyFont="1" applyAlignment="1">
      <alignment horizontal="center"/>
    </xf>
    <xf numFmtId="2" fontId="14" fillId="0" borderId="24" xfId="6" applyNumberFormat="1" applyFont="1" applyBorder="1" applyAlignment="1">
      <alignment horizontal="center" vertical="center" wrapText="1"/>
    </xf>
    <xf numFmtId="2" fontId="14" fillId="0" borderId="25" xfId="6" applyNumberFormat="1" applyFont="1" applyBorder="1" applyAlignment="1">
      <alignment horizontal="center" vertical="center" wrapText="1"/>
    </xf>
    <xf numFmtId="2" fontId="14" fillId="0" borderId="26" xfId="6" applyNumberFormat="1" applyFont="1" applyBorder="1" applyAlignment="1">
      <alignment horizontal="center" vertical="center" wrapText="1"/>
    </xf>
    <xf numFmtId="2" fontId="14" fillId="0" borderId="23" xfId="6" applyNumberFormat="1" applyFont="1" applyBorder="1" applyAlignment="1">
      <alignment horizontal="center" vertical="center" wrapText="1"/>
    </xf>
    <xf numFmtId="2" fontId="14" fillId="0" borderId="7" xfId="6" applyNumberFormat="1" applyFont="1" applyBorder="1" applyAlignment="1">
      <alignment horizontal="center" vertical="center" wrapText="1"/>
    </xf>
    <xf numFmtId="2" fontId="14" fillId="0" borderId="6" xfId="6" applyNumberFormat="1" applyFont="1" applyBorder="1" applyAlignment="1">
      <alignment horizontal="center" vertical="center" wrapText="1"/>
    </xf>
    <xf numFmtId="2" fontId="14" fillId="0" borderId="15" xfId="4" applyNumberFormat="1" applyFont="1" applyFill="1" applyBorder="1" applyAlignment="1">
      <alignment horizontal="center" vertical="center" wrapText="1"/>
    </xf>
    <xf numFmtId="2" fontId="14" fillId="0" borderId="16" xfId="4" applyNumberFormat="1" applyFont="1" applyFill="1" applyBorder="1" applyAlignment="1">
      <alignment horizontal="center" vertical="center" wrapText="1"/>
    </xf>
    <xf numFmtId="0" fontId="28" fillId="0" borderId="0" xfId="0" applyFont="1" applyAlignment="1">
      <alignment horizontal="center" vertical="top"/>
    </xf>
    <xf numFmtId="0" fontId="0" fillId="0" borderId="0" xfId="0" applyAlignment="1">
      <alignment wrapText="1"/>
    </xf>
    <xf numFmtId="0" fontId="0" fillId="0" borderId="31" xfId="0" applyBorder="1" applyAlignment="1">
      <alignment wrapText="1"/>
    </xf>
  </cellXfs>
  <cellStyles count="26">
    <cellStyle name="Comma" xfId="1" builtinId="3"/>
    <cellStyle name="Comma 2" xfId="2"/>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2" xfId="3"/>
    <cellStyle name="Normal" xfId="0" builtinId="0"/>
    <cellStyle name="Normal 2" xfId="4"/>
    <cellStyle name="Normal 3" xfId="5"/>
    <cellStyle name="Normal 3 2" xfId="6"/>
    <cellStyle name="Normal 4" xfId="7"/>
    <cellStyle name="Normal 5" xfId="8"/>
    <cellStyle name="Normal 5 2" xfId="9"/>
    <cellStyle name="Percent" xfId="10" builtinId="5"/>
    <cellStyle name="Percent 2" xfId="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 Type="http://schemas.openxmlformats.org/officeDocument/2006/relationships/theme" Target="theme/theme1.xml"/><Relationship Id="rId12" Type="http://schemas.openxmlformats.org/officeDocument/2006/relationships/styles" Target="styles.xml"/><Relationship Id="rId13" Type="http://schemas.openxmlformats.org/officeDocument/2006/relationships/sharedStrings" Target="sharedStrings.xml"/><Relationship Id="rId14"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3415891195419"/>
          <c:y val="0.0293717451985169"/>
          <c:w val="0.594331504016543"/>
          <c:h val="0.863337707786526"/>
        </c:manualLayout>
      </c:layout>
      <c:lineChart>
        <c:grouping val="standard"/>
        <c:varyColors val="0"/>
        <c:ser>
          <c:idx val="0"/>
          <c:order val="0"/>
          <c:trendline>
            <c:trendlineType val="exp"/>
            <c:dispRSqr val="1"/>
            <c:dispEq val="1"/>
            <c:trendlineLbl>
              <c:numFmt formatCode="General" sourceLinked="0"/>
              <c:txPr>
                <a:bodyPr/>
                <a:lstStyle/>
                <a:p>
                  <a:pPr>
                    <a:defRPr sz="1000" b="0" i="0" u="none" strike="noStrike" baseline="0">
                      <a:solidFill>
                        <a:srgbClr val="000000"/>
                      </a:solidFill>
                      <a:latin typeface="Calibri"/>
                      <a:ea typeface="Calibri"/>
                      <a:cs typeface="Calibri"/>
                    </a:defRPr>
                  </a:pPr>
                  <a:endParaRPr lang="en-US"/>
                </a:p>
              </c:txPr>
            </c:trendlineLbl>
          </c:trendline>
          <c:cat>
            <c:strRef>
              <c:f>'backup - Mass Transit'!$AA$24:$AX$24</c:f>
              <c:strCache>
                <c:ptCount val="24"/>
                <c:pt idx="0">
                  <c:v>1981</c:v>
                </c:pt>
                <c:pt idx="1">
                  <c:v>1982</c:v>
                </c:pt>
                <c:pt idx="2">
                  <c:v>1983</c:v>
                </c:pt>
                <c:pt idx="3">
                  <c:v>1984</c:v>
                </c:pt>
                <c:pt idx="4">
                  <c:v>1985</c:v>
                </c:pt>
                <c:pt idx="5">
                  <c:v>1986</c:v>
                </c:pt>
                <c:pt idx="6">
                  <c:v>1987</c:v>
                </c:pt>
                <c:pt idx="7">
                  <c:v>1988</c:v>
                </c:pt>
                <c:pt idx="8">
                  <c:v>1989</c:v>
                </c:pt>
                <c:pt idx="9">
                  <c:v>1990</c:v>
                </c:pt>
                <c:pt idx="10">
                  <c:v>1991</c:v>
                </c:pt>
                <c:pt idx="11">
                  <c:v>1992</c:v>
                </c:pt>
                <c:pt idx="12">
                  <c:v>1993</c:v>
                </c:pt>
                <c:pt idx="13">
                  <c:v>1994</c:v>
                </c:pt>
                <c:pt idx="14">
                  <c:v>1995</c:v>
                </c:pt>
                <c:pt idx="15">
                  <c:v>1996</c:v>
                </c:pt>
                <c:pt idx="16">
                  <c:v>1997</c:v>
                </c:pt>
                <c:pt idx="17">
                  <c:v>1998</c:v>
                </c:pt>
                <c:pt idx="18">
                  <c:v>1999</c:v>
                </c:pt>
                <c:pt idx="19">
                  <c:v>2000</c:v>
                </c:pt>
                <c:pt idx="20">
                  <c:v>2001</c:v>
                </c:pt>
                <c:pt idx="21">
                  <c:v>2002</c:v>
                </c:pt>
                <c:pt idx="22">
                  <c:v>2003</c:v>
                </c:pt>
                <c:pt idx="23">
                  <c:v>2004</c:v>
                </c:pt>
              </c:strCache>
            </c:strRef>
          </c:cat>
          <c:val>
            <c:numRef>
              <c:f>'backup - Mass Transit'!$AA$25:$AX$25</c:f>
              <c:numCache>
                <c:formatCode>#,##0</c:formatCode>
                <c:ptCount val="24"/>
                <c:pt idx="0">
                  <c:v>3182.0</c:v>
                </c:pt>
                <c:pt idx="1">
                  <c:v>3729.0</c:v>
                </c:pt>
                <c:pt idx="2">
                  <c:v>4105.0</c:v>
                </c:pt>
                <c:pt idx="3">
                  <c:v>4296.0</c:v>
                </c:pt>
                <c:pt idx="4">
                  <c:v>4166.0</c:v>
                </c:pt>
                <c:pt idx="5">
                  <c:v>4040.0</c:v>
                </c:pt>
                <c:pt idx="6">
                  <c:v>4243.0</c:v>
                </c:pt>
                <c:pt idx="7">
                  <c:v>4106.0</c:v>
                </c:pt>
                <c:pt idx="8">
                  <c:v>4677.0</c:v>
                </c:pt>
                <c:pt idx="9">
                  <c:v>5443.0</c:v>
                </c:pt>
                <c:pt idx="10">
                  <c:v>5914.0</c:v>
                </c:pt>
                <c:pt idx="11">
                  <c:v>6047.0</c:v>
                </c:pt>
                <c:pt idx="12">
                  <c:v>5937.0</c:v>
                </c:pt>
                <c:pt idx="13">
                  <c:v>7389.0</c:v>
                </c:pt>
                <c:pt idx="14">
                  <c:v>7977.65825</c:v>
                </c:pt>
                <c:pt idx="15">
                  <c:v>8060.7755</c:v>
                </c:pt>
                <c:pt idx="16">
                  <c:v>8235.077499999999</c:v>
                </c:pt>
                <c:pt idx="17">
                  <c:v>8297.34075</c:v>
                </c:pt>
                <c:pt idx="18">
                  <c:v>8398.08025</c:v>
                </c:pt>
                <c:pt idx="19">
                  <c:v>10052.36175</c:v>
                </c:pt>
                <c:pt idx="20">
                  <c:v>9883.15375</c:v>
                </c:pt>
                <c:pt idx="21">
                  <c:v>13292.852</c:v>
                </c:pt>
                <c:pt idx="22">
                  <c:v>15655.89575</c:v>
                </c:pt>
                <c:pt idx="23">
                  <c:v>16863.25</c:v>
                </c:pt>
              </c:numCache>
            </c:numRef>
          </c:val>
          <c:smooth val="0"/>
        </c:ser>
        <c:dLbls>
          <c:showLegendKey val="0"/>
          <c:showVal val="0"/>
          <c:showCatName val="0"/>
          <c:showSerName val="0"/>
          <c:showPercent val="0"/>
          <c:showBubbleSize val="0"/>
        </c:dLbls>
        <c:marker val="1"/>
        <c:smooth val="0"/>
        <c:axId val="2109572152"/>
        <c:axId val="2108879288"/>
      </c:lineChart>
      <c:catAx>
        <c:axId val="2109572152"/>
        <c:scaling>
          <c:orientation val="minMax"/>
        </c:scaling>
        <c:delete val="0"/>
        <c:axPos val="b"/>
        <c:numFmt formatCode="General" sourceLinked="1"/>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n-US"/>
          </a:p>
        </c:txPr>
        <c:crossAx val="2108879288"/>
        <c:crosses val="autoZero"/>
        <c:auto val="1"/>
        <c:lblAlgn val="ctr"/>
        <c:lblOffset val="100"/>
        <c:noMultiLvlLbl val="0"/>
      </c:catAx>
      <c:valAx>
        <c:axId val="2108879288"/>
        <c:scaling>
          <c:logBase val="10.0"/>
          <c:orientation val="minMax"/>
          <c:min val="10.0"/>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109572152"/>
        <c:crosses val="autoZero"/>
        <c:crossBetween val="between"/>
      </c:valAx>
    </c:plotArea>
    <c:legend>
      <c:legendPos val="r"/>
      <c:overlay val="0"/>
      <c:txPr>
        <a:bodyPr/>
        <a:lstStyle/>
        <a:p>
          <a:pPr>
            <a:defRPr sz="5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9779965004374"/>
          <c:y val="0.0282524059492563"/>
          <c:w val="0.547288713910761"/>
          <c:h val="0.748385826771653"/>
        </c:manualLayout>
      </c:layout>
      <c:lineChart>
        <c:grouping val="standard"/>
        <c:varyColors val="0"/>
        <c:ser>
          <c:idx val="1"/>
          <c:order val="0"/>
          <c:trendline>
            <c:trendlineType val="exp"/>
            <c:dispRSqr val="1"/>
            <c:dispEq val="1"/>
            <c:trendlineLbl>
              <c:numFmt formatCode="General" sourceLinked="0"/>
              <c:txPr>
                <a:bodyPr/>
                <a:lstStyle/>
                <a:p>
                  <a:pPr>
                    <a:defRPr sz="1000" b="0" i="0" u="none" strike="noStrike" baseline="0">
                      <a:solidFill>
                        <a:srgbClr val="000000"/>
                      </a:solidFill>
                      <a:latin typeface="Calibri"/>
                      <a:ea typeface="Calibri"/>
                      <a:cs typeface="Calibri"/>
                    </a:defRPr>
                  </a:pPr>
                  <a:endParaRPr lang="en-US"/>
                </a:p>
              </c:txPr>
            </c:trendlineLbl>
          </c:trendline>
          <c:cat>
            <c:numRef>
              <c:f>'backup - Mass Transit'!$F$24:$Z$24</c:f>
              <c:numCache>
                <c:formatCode>General</c:formatCode>
                <c:ptCount val="21"/>
                <c:pt idx="0">
                  <c:v>1960.0</c:v>
                </c:pt>
                <c:pt idx="1">
                  <c:v>1961.0</c:v>
                </c:pt>
                <c:pt idx="2">
                  <c:v>1962.0</c:v>
                </c:pt>
                <c:pt idx="3">
                  <c:v>1963.0</c:v>
                </c:pt>
                <c:pt idx="4">
                  <c:v>1964.0</c:v>
                </c:pt>
                <c:pt idx="5">
                  <c:v>1965.0</c:v>
                </c:pt>
                <c:pt idx="6">
                  <c:v>1966.0</c:v>
                </c:pt>
                <c:pt idx="7">
                  <c:v>1967.0</c:v>
                </c:pt>
                <c:pt idx="8">
                  <c:v>1968.0</c:v>
                </c:pt>
                <c:pt idx="9">
                  <c:v>1969.0</c:v>
                </c:pt>
                <c:pt idx="10">
                  <c:v>1970.0</c:v>
                </c:pt>
                <c:pt idx="11">
                  <c:v>1971.0</c:v>
                </c:pt>
                <c:pt idx="12">
                  <c:v>1972.0</c:v>
                </c:pt>
                <c:pt idx="13">
                  <c:v>1973.0</c:v>
                </c:pt>
                <c:pt idx="14">
                  <c:v>1974.0</c:v>
                </c:pt>
                <c:pt idx="15">
                  <c:v>1975.0</c:v>
                </c:pt>
                <c:pt idx="16">
                  <c:v>1976.0</c:v>
                </c:pt>
                <c:pt idx="17">
                  <c:v>1977.0</c:v>
                </c:pt>
                <c:pt idx="18">
                  <c:v>1978.0</c:v>
                </c:pt>
                <c:pt idx="19">
                  <c:v>1979.0</c:v>
                </c:pt>
                <c:pt idx="20">
                  <c:v>1980.0</c:v>
                </c:pt>
              </c:numCache>
            </c:numRef>
          </c:cat>
          <c:val>
            <c:numRef>
              <c:f>'backup - Mass Transit'!$F$25:$Z$25</c:f>
              <c:numCache>
                <c:formatCode>#,##0</c:formatCode>
                <c:ptCount val="21"/>
                <c:pt idx="0">
                  <c:v>94.0</c:v>
                </c:pt>
                <c:pt idx="1">
                  <c:v>120.0</c:v>
                </c:pt>
                <c:pt idx="2">
                  <c:v>90.0</c:v>
                </c:pt>
                <c:pt idx="3">
                  <c:v>162.0</c:v>
                </c:pt>
                <c:pt idx="4">
                  <c:v>155.0</c:v>
                </c:pt>
                <c:pt idx="5">
                  <c:v>242.0</c:v>
                </c:pt>
                <c:pt idx="6">
                  <c:v>216.0</c:v>
                </c:pt>
                <c:pt idx="7">
                  <c:v>324.0</c:v>
                </c:pt>
                <c:pt idx="8">
                  <c:v>443.0</c:v>
                </c:pt>
                <c:pt idx="9">
                  <c:v>559.0</c:v>
                </c:pt>
                <c:pt idx="10">
                  <c:v>366.0</c:v>
                </c:pt>
                <c:pt idx="11">
                  <c:v>446.0</c:v>
                </c:pt>
                <c:pt idx="12">
                  <c:v>495.0</c:v>
                </c:pt>
                <c:pt idx="13">
                  <c:v>920.0</c:v>
                </c:pt>
                <c:pt idx="14">
                  <c:v>973.0</c:v>
                </c:pt>
                <c:pt idx="15">
                  <c:v>1408.0</c:v>
                </c:pt>
                <c:pt idx="16">
                  <c:v>1907.0</c:v>
                </c:pt>
                <c:pt idx="17">
                  <c:v>2544.0</c:v>
                </c:pt>
                <c:pt idx="18">
                  <c:v>2308.0</c:v>
                </c:pt>
                <c:pt idx="19">
                  <c:v>2849.0</c:v>
                </c:pt>
                <c:pt idx="20">
                  <c:v>3341.0</c:v>
                </c:pt>
              </c:numCache>
            </c:numRef>
          </c:val>
          <c:smooth val="0"/>
        </c:ser>
        <c:dLbls>
          <c:showLegendKey val="0"/>
          <c:showVal val="0"/>
          <c:showCatName val="0"/>
          <c:showSerName val="0"/>
          <c:showPercent val="0"/>
          <c:showBubbleSize val="0"/>
        </c:dLbls>
        <c:marker val="1"/>
        <c:smooth val="0"/>
        <c:axId val="2111563544"/>
        <c:axId val="2111566600"/>
      </c:lineChart>
      <c:catAx>
        <c:axId val="2111563544"/>
        <c:scaling>
          <c:orientation val="minMax"/>
        </c:scaling>
        <c:delete val="0"/>
        <c:axPos val="b"/>
        <c:numFmt formatCode="General" sourceLinked="1"/>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n-US"/>
          </a:p>
        </c:txPr>
        <c:crossAx val="2111566600"/>
        <c:crosses val="autoZero"/>
        <c:auto val="1"/>
        <c:lblAlgn val="ctr"/>
        <c:lblOffset val="100"/>
        <c:noMultiLvlLbl val="0"/>
      </c:catAx>
      <c:valAx>
        <c:axId val="2111566600"/>
        <c:scaling>
          <c:logBase val="10.0"/>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111563544"/>
        <c:crosses val="autoZero"/>
        <c:crossBetween val="between"/>
      </c:valAx>
    </c:plotArea>
    <c:legend>
      <c:legendPos val="r"/>
      <c:overlay val="0"/>
      <c:txPr>
        <a:bodyPr/>
        <a:lstStyle/>
        <a:p>
          <a:pPr>
            <a:defRPr sz="5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 Id="rId2" Type="http://schemas.openxmlformats.org/officeDocument/2006/relationships/chart" Target="../charts/chart2.xml"/><Relationship Id="rId3"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685800</xdr:colOff>
      <xdr:row>1</xdr:row>
      <xdr:rowOff>28575</xdr:rowOff>
    </xdr:from>
    <xdr:to>
      <xdr:col>4</xdr:col>
      <xdr:colOff>285750</xdr:colOff>
      <xdr:row>1</xdr:row>
      <xdr:rowOff>1257300</xdr:rowOff>
    </xdr:to>
    <xdr:pic>
      <xdr:nvPicPr>
        <xdr:cNvPr id="4054029"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7725" y="28575"/>
          <a:ext cx="4467225" cy="1228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666750</xdr:colOff>
      <xdr:row>0</xdr:row>
      <xdr:rowOff>104775</xdr:rowOff>
    </xdr:from>
    <xdr:to>
      <xdr:col>7</xdr:col>
      <xdr:colOff>333375</xdr:colOff>
      <xdr:row>7</xdr:row>
      <xdr:rowOff>85725</xdr:rowOff>
    </xdr:to>
    <xdr:pic>
      <xdr:nvPicPr>
        <xdr:cNvPr id="1838529"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76425" y="104775"/>
          <a:ext cx="4048125"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666750</xdr:colOff>
      <xdr:row>0</xdr:row>
      <xdr:rowOff>104775</xdr:rowOff>
    </xdr:from>
    <xdr:to>
      <xdr:col>7</xdr:col>
      <xdr:colOff>333375</xdr:colOff>
      <xdr:row>7</xdr:row>
      <xdr:rowOff>85725</xdr:rowOff>
    </xdr:to>
    <xdr:pic>
      <xdr:nvPicPr>
        <xdr:cNvPr id="3"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51050" y="104775"/>
          <a:ext cx="465772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4</xdr:col>
      <xdr:colOff>381000</xdr:colOff>
      <xdr:row>7</xdr:row>
      <xdr:rowOff>12700</xdr:rowOff>
    </xdr:to>
    <xdr:sp macro="" textlink="">
      <xdr:nvSpPr>
        <xdr:cNvPr id="4" name="AutoShape 406"/>
        <xdr:cNvSpPr>
          <a:spLocks noChangeAspect="1" noChangeArrowheads="1"/>
        </xdr:cNvSpPr>
      </xdr:nvSpPr>
      <xdr:spPr bwMode="auto">
        <a:xfrm>
          <a:off x="0" y="0"/>
          <a:ext cx="4686300" cy="1079500"/>
        </a:xfrm>
        <a:prstGeom prst="rect">
          <a:avLst/>
        </a:prstGeom>
        <a:noFill/>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editAs="oneCell">
    <xdr:from>
      <xdr:col>0</xdr:col>
      <xdr:colOff>0</xdr:colOff>
      <xdr:row>0</xdr:row>
      <xdr:rowOff>0</xdr:rowOff>
    </xdr:from>
    <xdr:to>
      <xdr:col>4</xdr:col>
      <xdr:colOff>419100</xdr:colOff>
      <xdr:row>7</xdr:row>
      <xdr:rowOff>50800</xdr:rowOff>
    </xdr:to>
    <xdr:sp macro="" textlink="">
      <xdr:nvSpPr>
        <xdr:cNvPr id="1838486" name="AutoShape 406"/>
        <xdr:cNvSpPr>
          <a:spLocks noChangeAspect="1" noChangeArrowheads="1"/>
        </xdr:cNvSpPr>
      </xdr:nvSpPr>
      <xdr:spPr bwMode="auto">
        <a:xfrm>
          <a:off x="0" y="0"/>
          <a:ext cx="4724400" cy="1117600"/>
        </a:xfrm>
        <a:prstGeom prst="rect">
          <a:avLst/>
        </a:prstGeom>
        <a:noFill/>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editAs="oneCell">
    <xdr:from>
      <xdr:col>4</xdr:col>
      <xdr:colOff>431800</xdr:colOff>
      <xdr:row>0</xdr:row>
      <xdr:rowOff>0</xdr:rowOff>
    </xdr:from>
    <xdr:to>
      <xdr:col>11</xdr:col>
      <xdr:colOff>660400</xdr:colOff>
      <xdr:row>7</xdr:row>
      <xdr:rowOff>88900</xdr:rowOff>
    </xdr:to>
    <xdr:sp macro="" textlink="">
      <xdr:nvSpPr>
        <xdr:cNvPr id="1838487" name="AutoShape 407"/>
        <xdr:cNvSpPr>
          <a:spLocks noChangeAspect="1" noChangeArrowheads="1"/>
        </xdr:cNvSpPr>
      </xdr:nvSpPr>
      <xdr:spPr bwMode="auto">
        <a:xfrm>
          <a:off x="4737100" y="0"/>
          <a:ext cx="4762500" cy="1155700"/>
        </a:xfrm>
        <a:prstGeom prst="rect">
          <a:avLst/>
        </a:prstGeom>
        <a:noFill/>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editAs="oneCell">
    <xdr:from>
      <xdr:col>11</xdr:col>
      <xdr:colOff>673100</xdr:colOff>
      <xdr:row>0</xdr:row>
      <xdr:rowOff>0</xdr:rowOff>
    </xdr:from>
    <xdr:to>
      <xdr:col>18</xdr:col>
      <xdr:colOff>1079500</xdr:colOff>
      <xdr:row>7</xdr:row>
      <xdr:rowOff>76200</xdr:rowOff>
    </xdr:to>
    <xdr:sp macro="" textlink="">
      <xdr:nvSpPr>
        <xdr:cNvPr id="1838488" name="AutoShape 408"/>
        <xdr:cNvSpPr>
          <a:spLocks noChangeAspect="1" noChangeArrowheads="1"/>
        </xdr:cNvSpPr>
      </xdr:nvSpPr>
      <xdr:spPr bwMode="auto">
        <a:xfrm>
          <a:off x="9512300" y="0"/>
          <a:ext cx="4737100" cy="1143000"/>
        </a:xfrm>
        <a:prstGeom prst="rect">
          <a:avLst/>
        </a:prstGeom>
        <a:noFill/>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editAs="oneCell">
    <xdr:from>
      <xdr:col>18</xdr:col>
      <xdr:colOff>1092200</xdr:colOff>
      <xdr:row>0</xdr:row>
      <xdr:rowOff>0</xdr:rowOff>
    </xdr:from>
    <xdr:to>
      <xdr:col>22</xdr:col>
      <xdr:colOff>419100</xdr:colOff>
      <xdr:row>7</xdr:row>
      <xdr:rowOff>50800</xdr:rowOff>
    </xdr:to>
    <xdr:sp macro="" textlink="">
      <xdr:nvSpPr>
        <xdr:cNvPr id="1838489" name="AutoShape 409"/>
        <xdr:cNvSpPr>
          <a:spLocks noChangeAspect="1" noChangeArrowheads="1"/>
        </xdr:cNvSpPr>
      </xdr:nvSpPr>
      <xdr:spPr bwMode="auto">
        <a:xfrm>
          <a:off x="14262100" y="0"/>
          <a:ext cx="4711700" cy="1117600"/>
        </a:xfrm>
        <a:prstGeom prst="rect">
          <a:avLst/>
        </a:prstGeom>
        <a:noFill/>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editAs="oneCell">
    <xdr:from>
      <xdr:col>22</xdr:col>
      <xdr:colOff>431800</xdr:colOff>
      <xdr:row>0</xdr:row>
      <xdr:rowOff>0</xdr:rowOff>
    </xdr:from>
    <xdr:to>
      <xdr:col>25</xdr:col>
      <xdr:colOff>1155700</xdr:colOff>
      <xdr:row>7</xdr:row>
      <xdr:rowOff>88900</xdr:rowOff>
    </xdr:to>
    <xdr:sp macro="" textlink="">
      <xdr:nvSpPr>
        <xdr:cNvPr id="1838490" name="AutoShape 410"/>
        <xdr:cNvSpPr>
          <a:spLocks noChangeAspect="1" noChangeArrowheads="1"/>
        </xdr:cNvSpPr>
      </xdr:nvSpPr>
      <xdr:spPr bwMode="auto">
        <a:xfrm>
          <a:off x="18986500" y="0"/>
          <a:ext cx="4762500" cy="1155700"/>
        </a:xfrm>
        <a:prstGeom prst="rect">
          <a:avLst/>
        </a:prstGeom>
        <a:noFill/>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editAs="oneCell">
    <xdr:from>
      <xdr:col>25</xdr:col>
      <xdr:colOff>1168400</xdr:colOff>
      <xdr:row>0</xdr:row>
      <xdr:rowOff>0</xdr:rowOff>
    </xdr:from>
    <xdr:to>
      <xdr:col>29</xdr:col>
      <xdr:colOff>520700</xdr:colOff>
      <xdr:row>7</xdr:row>
      <xdr:rowOff>76200</xdr:rowOff>
    </xdr:to>
    <xdr:sp macro="" textlink="">
      <xdr:nvSpPr>
        <xdr:cNvPr id="1838491" name="AutoShape 411"/>
        <xdr:cNvSpPr>
          <a:spLocks noChangeAspect="1" noChangeArrowheads="1"/>
        </xdr:cNvSpPr>
      </xdr:nvSpPr>
      <xdr:spPr bwMode="auto">
        <a:xfrm>
          <a:off x="23761700" y="0"/>
          <a:ext cx="4737100" cy="1143000"/>
        </a:xfrm>
        <a:prstGeom prst="rect">
          <a:avLst/>
        </a:prstGeom>
        <a:noFill/>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editAs="oneCell">
    <xdr:from>
      <xdr:col>29</xdr:col>
      <xdr:colOff>533400</xdr:colOff>
      <xdr:row>0</xdr:row>
      <xdr:rowOff>0</xdr:rowOff>
    </xdr:from>
    <xdr:to>
      <xdr:col>32</xdr:col>
      <xdr:colOff>1206500</xdr:colOff>
      <xdr:row>7</xdr:row>
      <xdr:rowOff>50800</xdr:rowOff>
    </xdr:to>
    <xdr:sp macro="" textlink="">
      <xdr:nvSpPr>
        <xdr:cNvPr id="1838492" name="AutoShape 412"/>
        <xdr:cNvSpPr>
          <a:spLocks noChangeAspect="1" noChangeArrowheads="1"/>
        </xdr:cNvSpPr>
      </xdr:nvSpPr>
      <xdr:spPr bwMode="auto">
        <a:xfrm>
          <a:off x="28511500" y="0"/>
          <a:ext cx="4711700" cy="1117600"/>
        </a:xfrm>
        <a:prstGeom prst="rect">
          <a:avLst/>
        </a:prstGeom>
        <a:noFill/>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editAs="oneCell">
    <xdr:from>
      <xdr:col>32</xdr:col>
      <xdr:colOff>1219200</xdr:colOff>
      <xdr:row>0</xdr:row>
      <xdr:rowOff>0</xdr:rowOff>
    </xdr:from>
    <xdr:to>
      <xdr:col>36</xdr:col>
      <xdr:colOff>571500</xdr:colOff>
      <xdr:row>7</xdr:row>
      <xdr:rowOff>76200</xdr:rowOff>
    </xdr:to>
    <xdr:sp macro="" textlink="">
      <xdr:nvSpPr>
        <xdr:cNvPr id="1838493" name="AutoShape 413"/>
        <xdr:cNvSpPr>
          <a:spLocks noChangeAspect="1" noChangeArrowheads="1"/>
        </xdr:cNvSpPr>
      </xdr:nvSpPr>
      <xdr:spPr bwMode="auto">
        <a:xfrm>
          <a:off x="33235900" y="0"/>
          <a:ext cx="4737100" cy="1143000"/>
        </a:xfrm>
        <a:prstGeom prst="rect">
          <a:avLst/>
        </a:prstGeom>
        <a:noFill/>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editAs="oneCell">
    <xdr:from>
      <xdr:col>36</xdr:col>
      <xdr:colOff>584200</xdr:colOff>
      <xdr:row>0</xdr:row>
      <xdr:rowOff>0</xdr:rowOff>
    </xdr:from>
    <xdr:to>
      <xdr:col>39</xdr:col>
      <xdr:colOff>1219200</xdr:colOff>
      <xdr:row>7</xdr:row>
      <xdr:rowOff>12700</xdr:rowOff>
    </xdr:to>
    <xdr:sp macro="" textlink="">
      <xdr:nvSpPr>
        <xdr:cNvPr id="1838494" name="AutoShape 414"/>
        <xdr:cNvSpPr>
          <a:spLocks noChangeAspect="1" noChangeArrowheads="1"/>
        </xdr:cNvSpPr>
      </xdr:nvSpPr>
      <xdr:spPr bwMode="auto">
        <a:xfrm>
          <a:off x="37985700" y="0"/>
          <a:ext cx="4673600" cy="1079500"/>
        </a:xfrm>
        <a:prstGeom prst="rect">
          <a:avLst/>
        </a:prstGeom>
        <a:noFill/>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editAs="oneCell">
    <xdr:from>
      <xdr:col>39</xdr:col>
      <xdr:colOff>1244600</xdr:colOff>
      <xdr:row>0</xdr:row>
      <xdr:rowOff>0</xdr:rowOff>
    </xdr:from>
    <xdr:to>
      <xdr:col>43</xdr:col>
      <xdr:colOff>558800</xdr:colOff>
      <xdr:row>7</xdr:row>
      <xdr:rowOff>12700</xdr:rowOff>
    </xdr:to>
    <xdr:sp macro="" textlink="">
      <xdr:nvSpPr>
        <xdr:cNvPr id="1838495" name="AutoShape 415"/>
        <xdr:cNvSpPr>
          <a:spLocks noChangeAspect="1" noChangeArrowheads="1"/>
        </xdr:cNvSpPr>
      </xdr:nvSpPr>
      <xdr:spPr bwMode="auto">
        <a:xfrm>
          <a:off x="42684700" y="0"/>
          <a:ext cx="4699000" cy="1079500"/>
        </a:xfrm>
        <a:prstGeom prst="rect">
          <a:avLst/>
        </a:prstGeom>
        <a:noFill/>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twoCellAnchor editAs="oneCell">
    <xdr:from>
      <xdr:col>43</xdr:col>
      <xdr:colOff>558800</xdr:colOff>
      <xdr:row>0</xdr:row>
      <xdr:rowOff>0</xdr:rowOff>
    </xdr:from>
    <xdr:to>
      <xdr:col>46</xdr:col>
      <xdr:colOff>1219200</xdr:colOff>
      <xdr:row>7</xdr:row>
      <xdr:rowOff>50800</xdr:rowOff>
    </xdr:to>
    <xdr:sp macro="" textlink="">
      <xdr:nvSpPr>
        <xdr:cNvPr id="1838496" name="AutoShape 416"/>
        <xdr:cNvSpPr>
          <a:spLocks noChangeAspect="1" noChangeArrowheads="1"/>
        </xdr:cNvSpPr>
      </xdr:nvSpPr>
      <xdr:spPr bwMode="auto">
        <a:xfrm>
          <a:off x="47383700" y="0"/>
          <a:ext cx="4699000" cy="1117600"/>
        </a:xfrm>
        <a:prstGeom prst="rect">
          <a:avLst/>
        </a:prstGeom>
        <a:noFill/>
        <a:extLst>
          <a:ext uri="{909E8E84-426E-40dd-AFC4-6F175D3DCCD1}">
            <a14:hiddenFill xmlns:a14="http://schemas.microsoft.com/office/drawing/2010/main">
              <a:solidFill>
                <a:srgbClr val="FFFFFF"/>
              </a:solidFill>
            </a14:hiddenFill>
          </a:ext>
        </a:extLst>
      </xdr:spPr>
      <xdr:txBody>
        <a:bodyPr rtlCol="0"/>
        <a:lstStyle/>
        <a:p>
          <a:pPr algn="ctr"/>
          <a:endParaRPr lang="en-US"/>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85725</xdr:colOff>
      <xdr:row>0</xdr:row>
      <xdr:rowOff>152400</xdr:rowOff>
    </xdr:from>
    <xdr:to>
      <xdr:col>6</xdr:col>
      <xdr:colOff>2038350</xdr:colOff>
      <xdr:row>8</xdr:row>
      <xdr:rowOff>200025</xdr:rowOff>
    </xdr:to>
    <xdr:pic>
      <xdr:nvPicPr>
        <xdr:cNvPr id="3027362"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152400"/>
          <a:ext cx="4676775" cy="1343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8</xdr:col>
      <xdr:colOff>485775</xdr:colOff>
      <xdr:row>40</xdr:row>
      <xdr:rowOff>0</xdr:rowOff>
    </xdr:from>
    <xdr:to>
      <xdr:col>16</xdr:col>
      <xdr:colOff>38100</xdr:colOff>
      <xdr:row>60</xdr:row>
      <xdr:rowOff>95250</xdr:rowOff>
    </xdr:to>
    <xdr:graphicFrame macro="">
      <xdr:nvGraphicFramePr>
        <xdr:cNvPr id="4055070"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57150</xdr:colOff>
      <xdr:row>39</xdr:row>
      <xdr:rowOff>133350</xdr:rowOff>
    </xdr:from>
    <xdr:to>
      <xdr:col>8</xdr:col>
      <xdr:colOff>361950</xdr:colOff>
      <xdr:row>57</xdr:row>
      <xdr:rowOff>133350</xdr:rowOff>
    </xdr:to>
    <xdr:graphicFrame macro="">
      <xdr:nvGraphicFramePr>
        <xdr:cNvPr id="4055071"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58</xdr:col>
      <xdr:colOff>247650</xdr:colOff>
      <xdr:row>0</xdr:row>
      <xdr:rowOff>104775</xdr:rowOff>
    </xdr:from>
    <xdr:to>
      <xdr:col>64</xdr:col>
      <xdr:colOff>381000</xdr:colOff>
      <xdr:row>9</xdr:row>
      <xdr:rowOff>28575</xdr:rowOff>
    </xdr:to>
    <xdr:pic>
      <xdr:nvPicPr>
        <xdr:cNvPr id="4055072" name="Picture 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0062150" y="104775"/>
          <a:ext cx="4667250" cy="129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1.vml"/><Relationship Id="rId3"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3.vml"/><Relationship Id="rId2"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 Id="rId2" Type="http://schemas.openxmlformats.org/officeDocument/2006/relationships/vmlDrawing" Target="../drawings/vmlDrawing4.vml"/><Relationship Id="rId3" Type="http://schemas.openxmlformats.org/officeDocument/2006/relationships/comments" Target="../comments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 Id="rId2" Type="http://schemas.openxmlformats.org/officeDocument/2006/relationships/vmlDrawing" Target="../drawings/vmlDrawing5.vml"/><Relationship Id="rId3" Type="http://schemas.openxmlformats.org/officeDocument/2006/relationships/comments" Target="../comments5.xml"/></Relationships>
</file>

<file path=xl/worksheets/_rels/sheet8.xml.rels><?xml version="1.0" encoding="UTF-8" standalone="yes"?>
<Relationships xmlns="http://schemas.openxmlformats.org/package/2006/relationships"><Relationship Id="rId1" Type="http://schemas.openxmlformats.org/officeDocument/2006/relationships/vmlDrawing" Target="../drawings/vmlDrawing6.vml"/><Relationship Id="rId2" Type="http://schemas.openxmlformats.org/officeDocument/2006/relationships/comments" Target="../comments6.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4.xml"/><Relationship Id="rId2" Type="http://schemas.openxmlformats.org/officeDocument/2006/relationships/vmlDrawing" Target="../drawings/vmlDrawing7.vml"/><Relationship Id="rId3"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70"/>
  <sheetViews>
    <sheetView tabSelected="1" topLeftCell="A18" zoomScale="80" zoomScaleNormal="80" zoomScalePageLayoutView="80" workbookViewId="0">
      <selection activeCell="C55" sqref="C55"/>
    </sheetView>
  </sheetViews>
  <sheetFormatPr baseColWidth="10" defaultColWidth="8.83203125" defaultRowHeight="14" x14ac:dyDescent="0"/>
  <cols>
    <col min="1" max="1" width="2.5" customWidth="1"/>
    <col min="2" max="2" width="42" customWidth="1"/>
    <col min="3" max="3" width="16.83203125" customWidth="1"/>
    <col min="4" max="4" width="14.1640625" style="2" customWidth="1"/>
    <col min="5" max="5" width="13.1640625" style="94" customWidth="1"/>
    <col min="6" max="6" width="11" style="94" customWidth="1"/>
    <col min="7" max="7" width="11.5" style="94" customWidth="1"/>
    <col min="8" max="8" width="17.5" style="7" customWidth="1"/>
    <col min="9" max="9" width="16.1640625" style="7" customWidth="1"/>
    <col min="10" max="11" width="17.5" style="7" customWidth="1"/>
    <col min="12" max="12" width="4.5" style="7" customWidth="1"/>
    <col min="13" max="13" width="29.33203125" style="7" bestFit="1" customWidth="1"/>
    <col min="14" max="14" width="12.5" customWidth="1"/>
    <col min="15" max="15" width="13.5" customWidth="1"/>
    <col min="16" max="16" width="16.6640625" customWidth="1"/>
    <col min="17" max="17" width="17.83203125" customWidth="1"/>
    <col min="18" max="18" width="16.33203125" customWidth="1"/>
  </cols>
  <sheetData>
    <row r="1" spans="1:20" ht="113.25" hidden="1" customHeight="1">
      <c r="A1" s="536"/>
      <c r="B1" s="536"/>
      <c r="C1" s="536"/>
      <c r="D1" s="536"/>
      <c r="E1" s="536"/>
      <c r="F1" s="536"/>
      <c r="G1" s="536"/>
      <c r="H1" s="536"/>
      <c r="I1" s="536"/>
      <c r="J1" s="536"/>
      <c r="K1" s="536"/>
      <c r="L1" s="536"/>
      <c r="M1" s="536"/>
      <c r="N1" s="536"/>
      <c r="O1" s="536"/>
      <c r="P1" s="536"/>
      <c r="Q1" s="536"/>
      <c r="R1" s="536"/>
      <c r="S1" s="536"/>
      <c r="T1" s="536"/>
    </row>
    <row r="2" spans="1:20" ht="113.25" customHeight="1">
      <c r="A2" s="536"/>
      <c r="B2" s="536"/>
      <c r="C2" s="536"/>
      <c r="D2" s="536"/>
      <c r="E2" s="536"/>
      <c r="F2" s="536"/>
      <c r="G2" s="536"/>
      <c r="H2" s="536"/>
      <c r="I2" s="536"/>
      <c r="J2" s="536"/>
      <c r="K2" s="536"/>
      <c r="L2" s="536"/>
      <c r="M2" s="536"/>
      <c r="N2" s="536"/>
      <c r="O2" s="536"/>
      <c r="P2" s="119"/>
      <c r="Q2" s="119"/>
      <c r="R2" s="119"/>
      <c r="S2" s="119"/>
      <c r="T2" s="119"/>
    </row>
    <row r="3" spans="1:20" ht="15" thickBot="1">
      <c r="C3" s="110"/>
      <c r="D3"/>
      <c r="E3" s="110"/>
      <c r="F3" s="110"/>
      <c r="G3" s="110"/>
      <c r="H3" s="110"/>
      <c r="I3" s="247"/>
      <c r="J3" s="247"/>
      <c r="K3" s="247"/>
      <c r="L3" s="171"/>
      <c r="M3" s="7" t="s">
        <v>0</v>
      </c>
    </row>
    <row r="4" spans="1:20" ht="15" thickBot="1">
      <c r="C4" s="117" t="s">
        <v>141</v>
      </c>
      <c r="D4" s="124"/>
      <c r="E4" s="119"/>
      <c r="F4" s="110"/>
      <c r="G4" s="110"/>
      <c r="H4" s="162" t="s">
        <v>0</v>
      </c>
      <c r="I4" s="247"/>
      <c r="J4" s="247"/>
      <c r="K4" s="247"/>
      <c r="L4" s="171"/>
      <c r="M4" t="s">
        <v>0</v>
      </c>
      <c r="Q4" t="s">
        <v>0</v>
      </c>
      <c r="R4" t="s">
        <v>0</v>
      </c>
    </row>
    <row r="5" spans="1:20">
      <c r="B5" s="1" t="s">
        <v>1</v>
      </c>
      <c r="C5" s="110" t="s">
        <v>708</v>
      </c>
      <c r="D5" s="1"/>
      <c r="E5" s="110"/>
      <c r="F5" s="110"/>
      <c r="G5" s="110"/>
      <c r="H5"/>
      <c r="I5"/>
      <c r="J5"/>
      <c r="K5"/>
      <c r="L5"/>
      <c r="M5" t="s">
        <v>0</v>
      </c>
      <c r="N5" t="s">
        <v>0</v>
      </c>
      <c r="O5" t="s">
        <v>0</v>
      </c>
      <c r="P5" t="s">
        <v>0</v>
      </c>
    </row>
    <row r="6" spans="1:20" ht="15" thickBot="1">
      <c r="B6" s="1" t="s">
        <v>3</v>
      </c>
      <c r="C6" s="110"/>
      <c r="D6" s="104" t="s">
        <v>342</v>
      </c>
      <c r="E6" s="110"/>
      <c r="F6" s="110"/>
      <c r="G6" s="110"/>
      <c r="H6" s="29" t="s">
        <v>0</v>
      </c>
      <c r="I6" s="29"/>
      <c r="J6" s="29"/>
      <c r="K6" s="29"/>
      <c r="L6" s="29"/>
      <c r="M6" s="7" t="s">
        <v>0</v>
      </c>
      <c r="N6" t="s">
        <v>0</v>
      </c>
      <c r="O6" t="s">
        <v>0</v>
      </c>
      <c r="P6" t="s">
        <v>0</v>
      </c>
    </row>
    <row r="7" spans="1:20" ht="15" thickBot="1">
      <c r="B7" s="4" t="s">
        <v>383</v>
      </c>
      <c r="C7" s="210" t="s">
        <v>555</v>
      </c>
      <c r="D7" s="114">
        <f>'Output - Jobs vs Yr (BAU)'!X4/'Output - Jobs vs Yr (BAU)'!C4-1</f>
        <v>0.29599651089281553</v>
      </c>
      <c r="E7" s="92" t="s">
        <v>519</v>
      </c>
      <c r="F7" s="109"/>
      <c r="G7" s="109"/>
      <c r="H7" s="29" t="s">
        <v>0</v>
      </c>
      <c r="I7" s="29"/>
      <c r="J7" s="29"/>
      <c r="K7" s="29"/>
      <c r="L7" s="29"/>
      <c r="M7" s="7" t="s">
        <v>0</v>
      </c>
      <c r="N7" t="s">
        <v>0</v>
      </c>
      <c r="O7" t="s">
        <v>0</v>
      </c>
      <c r="P7" t="s">
        <v>0</v>
      </c>
    </row>
    <row r="8" spans="1:20" ht="15" thickBot="1">
      <c r="B8" s="1" t="s">
        <v>368</v>
      </c>
      <c r="C8" s="109"/>
      <c r="D8" s="104" t="s">
        <v>342</v>
      </c>
      <c r="E8" s="498" t="s">
        <v>718</v>
      </c>
      <c r="F8" s="109"/>
      <c r="G8" s="498" t="s">
        <v>719</v>
      </c>
      <c r="H8"/>
      <c r="I8"/>
      <c r="J8"/>
      <c r="K8"/>
      <c r="L8"/>
      <c r="M8" t="s">
        <v>0</v>
      </c>
      <c r="N8" t="s">
        <v>0</v>
      </c>
      <c r="O8" s="111" t="s">
        <v>0</v>
      </c>
      <c r="P8" s="31" t="s">
        <v>0</v>
      </c>
    </row>
    <row r="9" spans="1:20" ht="15.75" hidden="1" customHeight="1" thickBot="1">
      <c r="B9" s="43" t="s">
        <v>368</v>
      </c>
      <c r="C9" s="110"/>
      <c r="D9" s="114" t="e">
        <f>'Output - Jobs vs Yr (BAU)'!X6/'Output - Jobs vs Yr (BAU)'!C6-1</f>
        <v>#DIV/0!</v>
      </c>
      <c r="E9" s="109"/>
      <c r="F9" s="109"/>
      <c r="G9" s="109"/>
      <c r="H9"/>
      <c r="I9"/>
      <c r="J9"/>
      <c r="K9"/>
      <c r="L9"/>
      <c r="M9"/>
      <c r="O9" s="102"/>
    </row>
    <row r="10" spans="1:20" ht="15.75" hidden="1" customHeight="1" thickBot="1">
      <c r="B10" s="93" t="s">
        <v>352</v>
      </c>
      <c r="C10" s="110"/>
      <c r="D10" s="43"/>
      <c r="E10" s="109"/>
      <c r="F10" s="109"/>
      <c r="G10" s="109"/>
      <c r="H10"/>
      <c r="I10"/>
      <c r="J10"/>
      <c r="K10"/>
      <c r="L10"/>
      <c r="M10"/>
      <c r="O10" s="102"/>
    </row>
    <row r="11" spans="1:20" ht="15" thickBot="1">
      <c r="B11" t="s">
        <v>380</v>
      </c>
      <c r="C11" s="524">
        <v>0.05</v>
      </c>
      <c r="D11" s="125">
        <f>'Output - Jobs vs Yr (BAU)'!N18/'Output -Jobs vs Yr'!N14</f>
        <v>4.0404312322487729E-2</v>
      </c>
      <c r="E11" s="497">
        <f>(7.7/3)^(1/6)</f>
        <v>1.1701141873017888</v>
      </c>
      <c r="F11" s="109"/>
      <c r="G11" s="494">
        <f>(12.5/3)^(1/6)</f>
        <v>1.2685223586294079</v>
      </c>
      <c r="H11"/>
      <c r="I11"/>
      <c r="J11"/>
      <c r="K11"/>
      <c r="L11"/>
      <c r="M11" t="s">
        <v>0</v>
      </c>
      <c r="N11" t="s">
        <v>0</v>
      </c>
      <c r="O11" s="111" t="s">
        <v>0</v>
      </c>
      <c r="P11" s="31" t="s">
        <v>0</v>
      </c>
    </row>
    <row r="12" spans="1:20" ht="15" thickBot="1">
      <c r="B12" t="s">
        <v>381</v>
      </c>
      <c r="C12" s="209">
        <v>0.1</v>
      </c>
      <c r="D12" s="125">
        <f>'Output - Jobs vs Yr (BAU)'!X18/'Output -Jobs vs Yr'!X14</f>
        <v>6.4198170632078055E-2</v>
      </c>
      <c r="E12" s="497">
        <f>(D12/D11)^(1/10)</f>
        <v>1.0473925809677609</v>
      </c>
      <c r="F12" s="109"/>
      <c r="G12" s="495">
        <f>(C12/C11)^(1/10)</f>
        <v>1.0717734625362931</v>
      </c>
      <c r="H12"/>
      <c r="I12"/>
      <c r="J12"/>
      <c r="K12"/>
      <c r="L12"/>
      <c r="M12" t="s">
        <v>0</v>
      </c>
      <c r="N12" t="s">
        <v>0</v>
      </c>
      <c r="O12" s="111" t="s">
        <v>0</v>
      </c>
      <c r="P12" s="31" t="s">
        <v>0</v>
      </c>
    </row>
    <row r="13" spans="1:20" ht="15" thickBot="1">
      <c r="B13" t="s">
        <v>578</v>
      </c>
      <c r="C13" s="210">
        <v>0.15</v>
      </c>
      <c r="D13" s="172">
        <f>'Output - Jobs vs Yr (BAU)'!AH18/'Output -Jobs vs Yr'!AH14</f>
        <v>6.8438282868313952E-2</v>
      </c>
      <c r="E13" s="497">
        <f>(D13/D12)^(1/10)</f>
        <v>1.0064162609401588</v>
      </c>
      <c r="F13" s="109"/>
      <c r="G13" s="496">
        <f>(C13/C12)^(1/10)</f>
        <v>1.0413797439924106</v>
      </c>
      <c r="H13"/>
      <c r="I13"/>
      <c r="J13"/>
      <c r="K13"/>
      <c r="L13"/>
      <c r="M13"/>
      <c r="O13" s="111"/>
      <c r="P13" s="31"/>
    </row>
    <row r="14" spans="1:20">
      <c r="B14" t="s">
        <v>579</v>
      </c>
      <c r="C14" s="246"/>
      <c r="D14" s="172"/>
      <c r="E14" s="109"/>
      <c r="F14" s="109"/>
      <c r="G14" s="109"/>
      <c r="H14"/>
      <c r="I14"/>
      <c r="J14"/>
      <c r="K14"/>
      <c r="L14"/>
      <c r="M14"/>
      <c r="O14" s="111"/>
      <c r="P14" s="31"/>
    </row>
    <row r="15" spans="1:20" ht="15" thickBot="1">
      <c r="C15" s="4" t="s">
        <v>0</v>
      </c>
      <c r="D15" s="32"/>
      <c r="E15" s="4"/>
      <c r="F15" s="95" t="s">
        <v>0</v>
      </c>
      <c r="G15" s="95"/>
      <c r="H15" s="4"/>
      <c r="I15" s="4"/>
      <c r="J15" s="4"/>
      <c r="K15" s="4"/>
      <c r="L15" s="4"/>
      <c r="N15" t="s">
        <v>713</v>
      </c>
      <c r="O15" s="31" t="s">
        <v>713</v>
      </c>
      <c r="P15" s="31" t="s">
        <v>714</v>
      </c>
      <c r="Q15" t="s">
        <v>711</v>
      </c>
    </row>
    <row r="16" spans="1:20" ht="15" thickBot="1">
      <c r="B16" s="32" t="s">
        <v>363</v>
      </c>
      <c r="C16" s="106" t="s">
        <v>366</v>
      </c>
      <c r="D16" s="104" t="s">
        <v>535</v>
      </c>
      <c r="E16" s="104" t="s">
        <v>364</v>
      </c>
      <c r="F16" s="104" t="s">
        <v>359</v>
      </c>
      <c r="G16" s="104" t="s">
        <v>545</v>
      </c>
      <c r="H16" s="104" t="s">
        <v>364</v>
      </c>
      <c r="I16" s="104" t="s">
        <v>707</v>
      </c>
      <c r="J16" s="104" t="s">
        <v>706</v>
      </c>
      <c r="K16" s="104" t="s">
        <v>364</v>
      </c>
      <c r="L16" s="104"/>
      <c r="M16" s="44" t="s">
        <v>257</v>
      </c>
      <c r="N16" s="291">
        <v>2020</v>
      </c>
      <c r="O16" s="291">
        <v>2030</v>
      </c>
      <c r="P16" s="291">
        <v>2040</v>
      </c>
      <c r="Q16" s="198">
        <v>2031</v>
      </c>
    </row>
    <row r="17" spans="2:17" ht="15" thickBot="1">
      <c r="B17" t="s">
        <v>353</v>
      </c>
      <c r="C17" s="195">
        <f>D17*$C$11/$D$11</f>
        <v>4.9996055285318211E-2</v>
      </c>
      <c r="D17" s="126">
        <f>'Output - Jobs vs Yr (BAU)'!N10/'Output -Jobs vs Yr'!$N$14</f>
        <v>4.0401124652807201E-2</v>
      </c>
      <c r="E17" s="105">
        <f t="shared" ref="E17:E23" si="0">IF($C$24&lt;&gt;0,C17/$C$24,0)</f>
        <v>0.99992110570636417</v>
      </c>
      <c r="F17" s="172">
        <f>C17*$C$12/$C$11</f>
        <v>9.9992110570636422E-2</v>
      </c>
      <c r="G17" s="105">
        <f>'Output - Jobs vs Yr (BAU)'!X10/'Output - Jobs vs Yr (BAU)'!X24</f>
        <v>6.4195221047581102E-2</v>
      </c>
      <c r="H17" s="105">
        <f t="shared" ref="H17:H23" si="1">G17/$G$24</f>
        <v>0.99995663361665088</v>
      </c>
      <c r="I17" s="172">
        <f>F17*$C$13/$C$12</f>
        <v>0.14998816585595462</v>
      </c>
      <c r="J17" s="105">
        <f>'Output - Jobs vs Yr (BAU)'!AH10/'Output - Jobs vs Yr (BAU)'!AH24</f>
        <v>6.8437256980759587E-2</v>
      </c>
      <c r="K17" s="105">
        <f>J17/$J$24</f>
        <v>0.99998579186072678</v>
      </c>
      <c r="L17" s="105"/>
      <c r="M17" s="45" t="s">
        <v>259</v>
      </c>
      <c r="N17" s="86">
        <f>HLOOKUP(N16,'Output -Jobs vs Yr'!$H$175:$AH$184,9)</f>
        <v>96.442091803604853</v>
      </c>
      <c r="O17" s="86">
        <f>HLOOKUP(O16,'Output -Jobs vs Yr'!$H$175:$AH$184,9)</f>
        <v>414.42269269353346</v>
      </c>
      <c r="P17" s="86">
        <f>HLOOKUP(P16,'Output -Jobs vs Yr'!$H$175:$AH$184,9)</f>
        <v>1040.1903741024144</v>
      </c>
      <c r="Q17" s="86">
        <f>HLOOKUP(Q16,'Output -Jobs vs Yr'!$H$175:$AH$184,9)</f>
        <v>454.95981986206061</v>
      </c>
    </row>
    <row r="18" spans="2:17" ht="15" thickBot="1">
      <c r="B18" s="4" t="s">
        <v>354</v>
      </c>
      <c r="C18" s="195">
        <f>D18*$C$11/$D$11</f>
        <v>1.2214518377581721E-7</v>
      </c>
      <c r="D18" s="126">
        <f>'Output - Jobs vs Yr (BAU)'!N15/'Output -Jobs vs Yr'!$N$14</f>
        <v>9.8703843079315577E-8</v>
      </c>
      <c r="E18" s="105">
        <f t="shared" si="0"/>
        <v>2.4429036755163439E-6</v>
      </c>
      <c r="F18" s="172">
        <f t="shared" ref="F18:F23" si="2">C18*$C$12/$C$11</f>
        <v>2.4429036755163442E-7</v>
      </c>
      <c r="G18" s="105">
        <f>'Output - Jobs vs Yr (BAU)'!X15/'Output - Jobs vs Yr (BAU)'!X24</f>
        <v>8.5957380950692226E-8</v>
      </c>
      <c r="H18" s="105">
        <f t="shared" si="1"/>
        <v>1.3389416203777835E-6</v>
      </c>
      <c r="I18" s="172">
        <f t="shared" ref="I18:I24" si="3">F18*$C$13/$C$12</f>
        <v>3.6643555132745161E-7</v>
      </c>
      <c r="J18" s="105">
        <f>'Output - Jobs vs Yr (BAU)'!AH15/'Output - Jobs vs Yr (BAU)'!AH24</f>
        <v>7.8183814316904481E-8</v>
      </c>
      <c r="K18" s="105">
        <f t="shared" ref="K18:K24" si="4">J18/$J$24</f>
        <v>1.1423997237697882E-6</v>
      </c>
      <c r="L18" s="105"/>
      <c r="M18" s="46" t="s">
        <v>260</v>
      </c>
      <c r="N18" s="87">
        <f>HLOOKUP(N16,'Output -Jobs vs Yr'!$H$175:$AH$184,10)</f>
        <v>86.797548500493576</v>
      </c>
      <c r="O18" s="87">
        <f>HLOOKUP(O16,'Output -Jobs vs Yr'!$H$175:$AH$184,10)</f>
        <v>372.97965608775849</v>
      </c>
      <c r="P18" s="87">
        <f>HLOOKUP(P16,'Output -Jobs vs Yr'!$H$175:$AH$184,10)</f>
        <v>936.17007124455813</v>
      </c>
      <c r="Q18" s="87">
        <f>HLOOKUP(Q16,'Output -Jobs vs Yr'!$H$175:$AH$184,10)</f>
        <v>409.46303521787559</v>
      </c>
    </row>
    <row r="19" spans="2:17" ht="15" thickBot="1">
      <c r="B19" s="4" t="s">
        <v>355</v>
      </c>
      <c r="C19" s="195">
        <f>D19*$C$11/$D$11</f>
        <v>6.0026210742056321E-8</v>
      </c>
      <c r="D19" s="126">
        <f>'Output - Jobs vs Yr (BAU)'!N11/'Output -Jobs vs Yr'!$N$14</f>
        <v>4.8506355327150219E-8</v>
      </c>
      <c r="E19" s="105">
        <f t="shared" si="0"/>
        <v>1.2005242148411263E-6</v>
      </c>
      <c r="F19" s="172">
        <f t="shared" si="2"/>
        <v>1.2005242148411264E-7</v>
      </c>
      <c r="G19" s="105">
        <f>'Output - Jobs vs Yr (BAU)'!X11/'Output - Jobs vs Yr (BAU)'!X24</f>
        <v>5.0108064417301278E-8</v>
      </c>
      <c r="H19" s="105">
        <f t="shared" si="1"/>
        <v>7.8052369933632129E-7</v>
      </c>
      <c r="I19" s="172">
        <f t="shared" si="3"/>
        <v>1.8007863222616894E-7</v>
      </c>
      <c r="J19" s="105">
        <f>'Output - Jobs vs Yr (BAU)'!AH11/'Output - Jobs vs Yr (BAU)'!AH24</f>
        <v>4.7125943005173002E-8</v>
      </c>
      <c r="K19" s="105">
        <f t="shared" si="4"/>
        <v>6.8859091541994701E-7</v>
      </c>
      <c r="L19" s="105"/>
      <c r="M19" s="46" t="s">
        <v>261</v>
      </c>
      <c r="N19" s="87">
        <f>HLOOKUP(N16,'Output -Jobs vs Yr'!$H$175:$AH$184,8)</f>
        <v>183.23964030409843</v>
      </c>
      <c r="O19" s="87">
        <f>HLOOKUP(O16,'Output -Jobs vs Yr'!$H$175:$AH$184,8)</f>
        <v>787.40234878129195</v>
      </c>
      <c r="P19" s="87">
        <f>HLOOKUP(P16,'Output -Jobs vs Yr'!$H$175:$AH$184,8)</f>
        <v>1976.3604453469743</v>
      </c>
      <c r="Q19" s="87">
        <f>HLOOKUP(Q16,'Output -Jobs vs Yr'!$H$175:$AH$184,8)</f>
        <v>864.42285507993438</v>
      </c>
    </row>
    <row r="20" spans="2:17" ht="15" thickBot="1">
      <c r="B20" s="4" t="s">
        <v>51</v>
      </c>
      <c r="C20" s="195">
        <f>D20*$C$11/$D$11</f>
        <v>1.5877200501838508E-8</v>
      </c>
      <c r="D20" s="126">
        <f>'Output - Jobs vs Yr (BAU)'!N12/'Output -Jobs vs Yr'!$N$14</f>
        <v>1.283014735766084E-8</v>
      </c>
      <c r="E20" s="105">
        <f t="shared" si="0"/>
        <v>3.1754401003677013E-7</v>
      </c>
      <c r="F20" s="172">
        <f t="shared" si="2"/>
        <v>3.1754401003677016E-8</v>
      </c>
      <c r="G20" s="105">
        <f>'Output - Jobs vs Yr (BAU)'!X12/'Output - Jobs vs Yr (BAU)'!X24</f>
        <v>1.1146506183304824E-8</v>
      </c>
      <c r="H20" s="105">
        <f t="shared" si="1"/>
        <v>1.7362698683416498E-7</v>
      </c>
      <c r="I20" s="172">
        <f t="shared" si="3"/>
        <v>4.7631601505515524E-8</v>
      </c>
      <c r="J20" s="105">
        <f>'Output - Jobs vs Yr (BAU)'!AH12/'Output - Jobs vs Yr (BAU)'!AH24</f>
        <v>1.0612256581160732E-8</v>
      </c>
      <c r="K20" s="105">
        <f t="shared" si="4"/>
        <v>1.5506328378597501E-7</v>
      </c>
      <c r="L20" s="105"/>
      <c r="M20" s="47" t="s">
        <v>459</v>
      </c>
      <c r="N20" s="88">
        <f>HLOOKUP(N16,'Output -Jobs vs Yr'!$H$175:$AH$188,11)-HLOOKUP(N16,'Output -Jobs vs Yr'!$H$175:$AH$188,14)</f>
        <v>561.32067494185321</v>
      </c>
      <c r="O20" s="88">
        <f>HLOOKUP(O16,'Output -Jobs vs Yr'!$H$175:$AH$188,11)-HLOOKUP(O16,'Output -Jobs vs Yr'!$H$175:$AH$188,14)</f>
        <v>5068.059948946604</v>
      </c>
      <c r="P20" s="88">
        <f>HLOOKUP(P16,'Output -Jobs vs Yr'!$H$175:$AH$188,11)-HLOOKUP(P16,'Output -Jobs vs Yr'!$H$175:$AH$188,14)</f>
        <v>18743.469695939395</v>
      </c>
      <c r="Q20" s="88">
        <f>HLOOKUP(Q16,'Output -Jobs vs Yr'!$H$175:$AH$188,11)-HLOOKUP(Q16,'Output -Jobs vs Yr'!$H$175:$AH$188,14)</f>
        <v>5932.4828040265384</v>
      </c>
    </row>
    <row r="21" spans="2:17" ht="15" thickBot="1">
      <c r="B21" t="s">
        <v>356</v>
      </c>
      <c r="C21" s="195">
        <f t="shared" ref="C21:C23" si="5">D21*$C$11/$D$11</f>
        <v>2.4429036755163443E-6</v>
      </c>
      <c r="D21" s="126">
        <f>'Output - Jobs vs Yr (BAU)'!N13/'Output -Jobs vs Yr'!$N$14</f>
        <v>1.9740768615863117E-6</v>
      </c>
      <c r="E21" s="105">
        <f t="shared" si="0"/>
        <v>4.8858073510326887E-5</v>
      </c>
      <c r="F21" s="172">
        <f t="shared" si="2"/>
        <v>4.8858073510326878E-6</v>
      </c>
      <c r="G21" s="105">
        <f>'Output - Jobs vs Yr (BAU)'!X13/'Output - Jobs vs Yr (BAU)'!X24</f>
        <v>1.7191476190138446E-6</v>
      </c>
      <c r="H21" s="105">
        <f t="shared" si="1"/>
        <v>2.6778832407555672E-5</v>
      </c>
      <c r="I21" s="172">
        <f t="shared" si="3"/>
        <v>7.3287110265490305E-6</v>
      </c>
      <c r="J21" s="105">
        <f>'Output - Jobs vs Yr (BAU)'!AH13/'Output - Jobs vs Yr (BAU)'!AH24</f>
        <v>0</v>
      </c>
      <c r="K21" s="105">
        <f t="shared" si="4"/>
        <v>0</v>
      </c>
      <c r="L21" s="105"/>
      <c r="N21" s="160"/>
    </row>
    <row r="22" spans="2:17" ht="15" thickBot="1">
      <c r="B22" s="4" t="s">
        <v>357</v>
      </c>
      <c r="C22" s="195">
        <f t="shared" si="5"/>
        <v>1.2214518377581722E-6</v>
      </c>
      <c r="D22" s="126">
        <f>'Output - Jobs vs Yr (BAU)'!N14/'Output -Jobs vs Yr'!$N$14</f>
        <v>9.8703843079315583E-7</v>
      </c>
      <c r="E22" s="105">
        <f t="shared" si="0"/>
        <v>2.4429036755163443E-5</v>
      </c>
      <c r="F22" s="172">
        <f t="shared" si="2"/>
        <v>2.4429036755163439E-6</v>
      </c>
      <c r="G22" s="105">
        <f>'Output - Jobs vs Yr (BAU)'!X14/'Output - Jobs vs Yr (BAU)'!X24</f>
        <v>8.5957380950692229E-7</v>
      </c>
      <c r="H22" s="105">
        <f t="shared" si="1"/>
        <v>1.3389416203777836E-5</v>
      </c>
      <c r="I22" s="172">
        <f t="shared" si="3"/>
        <v>3.6643555132745152E-6</v>
      </c>
      <c r="J22" s="105">
        <f>'Output - Jobs vs Yr (BAU)'!AH14/'Output - Jobs vs Yr (BAU)'!AH24</f>
        <v>7.8183814316904486E-7</v>
      </c>
      <c r="K22" s="105">
        <f t="shared" si="4"/>
        <v>1.1423997237697882E-5</v>
      </c>
      <c r="L22" s="105"/>
      <c r="O22" t="s">
        <v>0</v>
      </c>
    </row>
    <row r="23" spans="2:17" ht="15" thickBot="1">
      <c r="B23" t="s">
        <v>358</v>
      </c>
      <c r="C23" s="195">
        <f t="shared" si="5"/>
        <v>8.2310573502410447E-8</v>
      </c>
      <c r="D23" s="126">
        <f>'Output - Jobs vs Yr (BAU)'!N16/'Output -Jobs vs Yr'!$N$14</f>
        <v>6.6514042384689479E-8</v>
      </c>
      <c r="E23" s="105">
        <f t="shared" si="0"/>
        <v>1.6462114700482088E-6</v>
      </c>
      <c r="F23" s="172">
        <f t="shared" si="2"/>
        <v>1.6462114700482089E-7</v>
      </c>
      <c r="G23" s="105">
        <f>'Output - Jobs vs Yr (BAU)'!X16/'Output - Jobs vs Yr (BAU)'!X24</f>
        <v>5.810191861606804E-8</v>
      </c>
      <c r="H23" s="105">
        <f t="shared" si="1"/>
        <v>9.0504243147521999E-7</v>
      </c>
      <c r="I23" s="172">
        <f t="shared" si="3"/>
        <v>2.4693172050723133E-7</v>
      </c>
      <c r="J23" s="105">
        <f>'Output - Jobs vs Yr (BAU)'!AH16/'Output - Jobs vs Yr (BAU)'!AH24</f>
        <v>5.4619737295183538E-8</v>
      </c>
      <c r="K23" s="105">
        <f t="shared" si="4"/>
        <v>7.9808811252772048E-7</v>
      </c>
      <c r="L23" s="105"/>
      <c r="M23" s="44"/>
      <c r="N23" s="197"/>
      <c r="O23" t="s">
        <v>0</v>
      </c>
    </row>
    <row r="24" spans="2:17">
      <c r="B24" s="108" t="s">
        <v>370</v>
      </c>
      <c r="C24" s="137">
        <f t="shared" ref="C24:H24" si="6">SUM(C17:C23)</f>
        <v>0.05</v>
      </c>
      <c r="D24" s="205">
        <f t="shared" si="6"/>
        <v>4.0404312322487729E-2</v>
      </c>
      <c r="E24" s="200">
        <f t="shared" si="6"/>
        <v>1.0000000000000002</v>
      </c>
      <c r="F24" s="200">
        <f t="shared" si="6"/>
        <v>0.1</v>
      </c>
      <c r="G24" s="200">
        <f t="shared" si="6"/>
        <v>6.4198005082879775E-2</v>
      </c>
      <c r="H24" s="105">
        <f t="shared" si="6"/>
        <v>1.0000000000000002</v>
      </c>
      <c r="I24" s="172">
        <f t="shared" si="3"/>
        <v>0.15</v>
      </c>
      <c r="J24" s="105">
        <f>SUM(J17:J23)</f>
        <v>6.8438229360653954E-2</v>
      </c>
      <c r="K24" s="105">
        <f t="shared" si="4"/>
        <v>1</v>
      </c>
      <c r="L24" s="105"/>
      <c r="M24" s="44"/>
      <c r="N24" s="44"/>
      <c r="O24" t="s">
        <v>0</v>
      </c>
    </row>
    <row r="25" spans="2:17">
      <c r="B25" s="108"/>
      <c r="C25" s="137" t="str">
        <f>IF(ROUND(C24,3)=ROUND(C11,3),"Great, "&amp;ROUND(C24,3)*100&amp;"% agrees with 2020 RPS % entered above","Please re-adust RPS portfolio to total "&amp;ROUND(C11,3)*100&amp;"% or change 2020 RPS % entered above")</f>
        <v>Great, 5% agrees with 2020 RPS % entered above</v>
      </c>
      <c r="D25" s="107"/>
      <c r="E25" s="107"/>
      <c r="F25" s="107" t="s">
        <v>0</v>
      </c>
      <c r="G25" s="96"/>
      <c r="H25"/>
      <c r="I25"/>
      <c r="J25"/>
      <c r="K25"/>
      <c r="L25"/>
      <c r="O25" t="s">
        <v>0</v>
      </c>
    </row>
    <row r="26" spans="2:17">
      <c r="B26" s="108"/>
      <c r="C26" s="107"/>
      <c r="D26" s="107"/>
      <c r="E26" s="107"/>
      <c r="F26" s="107"/>
      <c r="G26" s="96"/>
      <c r="H26"/>
      <c r="I26"/>
      <c r="J26"/>
      <c r="K26"/>
      <c r="L26"/>
    </row>
    <row r="27" spans="2:17" ht="15" thickBot="1">
      <c r="B27" s="108" t="s">
        <v>373</v>
      </c>
      <c r="C27" s="107"/>
      <c r="D27" s="200" t="s">
        <v>342</v>
      </c>
      <c r="E27" s="107"/>
      <c r="F27" s="98"/>
      <c r="G27" s="134" t="s">
        <v>0</v>
      </c>
      <c r="H27" s="135" t="s">
        <v>0</v>
      </c>
      <c r="I27" s="135"/>
      <c r="J27" s="135"/>
      <c r="K27" s="135"/>
      <c r="L27" s="135"/>
      <c r="M27"/>
    </row>
    <row r="28" spans="2:17" ht="15" thickBot="1">
      <c r="B28" t="s">
        <v>371</v>
      </c>
      <c r="C28" s="208">
        <f>D28</f>
        <v>0.20682334329323121</v>
      </c>
      <c r="D28" s="105">
        <f>('Output - Jobs vs Yr (BAU)'!N8+'Output - Jobs vs Yr (BAU)'!N7)/'Output -Jobs vs Yr'!N14</f>
        <v>0.20682334329323121</v>
      </c>
      <c r="E28" s="136" t="s">
        <v>0</v>
      </c>
      <c r="F28" s="98"/>
      <c r="G28" s="98" t="s">
        <v>0</v>
      </c>
      <c r="H28" s="135" t="s">
        <v>0</v>
      </c>
      <c r="I28" s="135"/>
      <c r="J28" s="135"/>
      <c r="K28" s="135"/>
      <c r="L28" s="135"/>
      <c r="M28"/>
    </row>
    <row r="29" spans="2:17" ht="15" thickBot="1">
      <c r="B29" t="s">
        <v>372</v>
      </c>
      <c r="C29" s="278">
        <f>D29</f>
        <v>0.18048142748916537</v>
      </c>
      <c r="D29" s="105">
        <f>('Output - Jobs vs Yr (BAU)'!X8+'Output - Jobs vs Yr (BAU)'!X7)/'Output -Jobs vs Yr'!X14</f>
        <v>0.18048142748916537</v>
      </c>
      <c r="E29" s="107"/>
      <c r="F29" s="98"/>
      <c r="G29" s="96"/>
      <c r="H29"/>
      <c r="I29"/>
      <c r="J29"/>
      <c r="K29"/>
      <c r="L29"/>
    </row>
    <row r="30" spans="2:17" ht="15" thickBot="1">
      <c r="B30" t="s">
        <v>580</v>
      </c>
      <c r="C30" s="210">
        <f>D30</f>
        <v>0.16431582161082398</v>
      </c>
      <c r="D30" s="105">
        <f>('Output - Jobs vs Yr (BAU)'!AH8+'Output - Jobs vs Yr (BAU)'!AH7)/'Output -Jobs vs Yr'!AH14</f>
        <v>0.16431582161082398</v>
      </c>
      <c r="E30" s="107"/>
      <c r="F30" s="98"/>
      <c r="G30" s="96"/>
      <c r="H30"/>
      <c r="I30"/>
      <c r="J30"/>
      <c r="K30"/>
      <c r="L30"/>
    </row>
    <row r="31" spans="2:17">
      <c r="B31" t="s">
        <v>581</v>
      </c>
      <c r="C31" s="246"/>
      <c r="D31" s="105"/>
      <c r="E31" s="107"/>
      <c r="F31" s="98"/>
      <c r="G31" s="96"/>
      <c r="H31"/>
      <c r="I31"/>
      <c r="J31"/>
      <c r="K31"/>
      <c r="L31"/>
    </row>
    <row r="32" spans="2:17">
      <c r="B32" s="108"/>
      <c r="C32" s="107" t="s">
        <v>0</v>
      </c>
      <c r="D32" s="107"/>
      <c r="E32" s="107"/>
      <c r="F32" s="98"/>
      <c r="G32" s="96"/>
      <c r="H32"/>
      <c r="I32"/>
      <c r="J32"/>
      <c r="K32"/>
      <c r="L32"/>
    </row>
    <row r="33" spans="1:18" ht="15" thickBot="1">
      <c r="B33" s="108" t="s">
        <v>374</v>
      </c>
      <c r="C33" s="107"/>
      <c r="D33" s="200" t="s">
        <v>342</v>
      </c>
      <c r="E33" s="200" t="s">
        <v>537</v>
      </c>
      <c r="F33" s="201" t="s">
        <v>359</v>
      </c>
      <c r="G33" s="202" t="s">
        <v>342</v>
      </c>
      <c r="H33" s="201" t="s">
        <v>707</v>
      </c>
      <c r="I33" s="202" t="s">
        <v>342</v>
      </c>
      <c r="J33" s="163"/>
      <c r="K33" s="163"/>
      <c r="L33" s="163"/>
      <c r="M33" s="7" t="s">
        <v>0</v>
      </c>
    </row>
    <row r="34" spans="1:18" ht="15" thickBot="1">
      <c r="B34" s="4" t="s">
        <v>367</v>
      </c>
      <c r="C34" s="209">
        <f>D34</f>
        <v>0</v>
      </c>
      <c r="D34" s="105">
        <v>0</v>
      </c>
      <c r="E34" s="203">
        <f>'Output -Jobs vs Yr'!N30/'Output -Jobs vs Yr'!N49</f>
        <v>0</v>
      </c>
      <c r="F34" s="200">
        <f>C34*$C$29/$C$28</f>
        <v>0</v>
      </c>
      <c r="G34" s="204">
        <v>0</v>
      </c>
      <c r="H34" s="200">
        <f>F34*$C$30/$C$29</f>
        <v>0</v>
      </c>
      <c r="I34" s="204">
        <v>0</v>
      </c>
      <c r="J34" s="138"/>
      <c r="K34" s="138"/>
      <c r="L34" s="138"/>
    </row>
    <row r="35" spans="1:18" ht="15" thickBot="1">
      <c r="B35" s="4" t="s">
        <v>49</v>
      </c>
      <c r="C35" s="209">
        <f>D35</f>
        <v>1.3685045280454765E-2</v>
      </c>
      <c r="D35" s="105">
        <f>'Output - Jobs vs Yr (BAU)'!N7/'Output -Jobs vs Yr'!N14</f>
        <v>1.3685045280454765E-2</v>
      </c>
      <c r="E35" s="203">
        <f>C35</f>
        <v>1.3685045280454765E-2</v>
      </c>
      <c r="F35" s="200">
        <f>C35*$C$29/$C$28</f>
        <v>1.1942058706441841E-2</v>
      </c>
      <c r="G35" s="204">
        <f>'Output - Jobs vs Yr (BAU)'!X7/'Output - Jobs vs Yr (BAU)'!X24</f>
        <v>1.22842489258604E-2</v>
      </c>
      <c r="H35" s="200">
        <f>F35*$C$30/$C$29</f>
        <v>1.0872416155903262E-2</v>
      </c>
      <c r="I35" s="204">
        <f>'Output - Jobs vs Yr (BAU)'!AH7/'Output - Jobs vs Yr (BAU)'!AH24</f>
        <v>1.1329871048455233E-2</v>
      </c>
      <c r="J35"/>
      <c r="K35"/>
      <c r="L35"/>
    </row>
    <row r="36" spans="1:18" ht="15" thickBot="1">
      <c r="B36" s="4" t="s">
        <v>365</v>
      </c>
      <c r="C36" s="209">
        <f>D36</f>
        <v>0.19313829801277643</v>
      </c>
      <c r="D36" s="105">
        <f>'Output - Jobs vs Yr (BAU)'!N8/'Output -Jobs vs Yr'!N14</f>
        <v>0.19313829801277643</v>
      </c>
      <c r="E36" s="203">
        <f>C36</f>
        <v>0.19313829801277643</v>
      </c>
      <c r="F36" s="200">
        <f>C36*$C$29/$C$28</f>
        <v>0.16853936878272355</v>
      </c>
      <c r="G36" s="204">
        <f>'Output - Jobs vs Yr (BAU)'!X8/'Output - Jobs vs Yr (BAU)'!X24</f>
        <v>0.16819671315198048</v>
      </c>
      <c r="H36" s="200">
        <f>F36*$C$30/$C$29</f>
        <v>0.15344340545492072</v>
      </c>
      <c r="I36" s="204">
        <f>'Output - Jobs vs Yr (BAU)'!AH8/'Output - Jobs vs Yr (BAU)'!AH24</f>
        <v>0.15298582209399189</v>
      </c>
      <c r="J36"/>
      <c r="K36"/>
      <c r="L36"/>
    </row>
    <row r="37" spans="1:18">
      <c r="B37" s="4" t="s">
        <v>369</v>
      </c>
      <c r="C37" s="138">
        <f>SUM(C35:C36)+'Output -Jobs vs Yr'!N30/'Output -Jobs vs Yr'!N49</f>
        <v>0.20682334329323121</v>
      </c>
      <c r="D37" s="105">
        <f>SUM(D34:D36)</f>
        <v>0.20682334329323121</v>
      </c>
      <c r="E37" s="203">
        <f>SUM(E34:E36)</f>
        <v>0.20682334329323121</v>
      </c>
      <c r="F37" s="203">
        <f>SUM(F34:F36)</f>
        <v>0.1804814274891654</v>
      </c>
      <c r="G37" s="203">
        <f>SUM(G34:G36)</f>
        <v>0.18048096207784087</v>
      </c>
      <c r="H37" s="200">
        <f>C37*$C$30/$C$28</f>
        <v>0.16431582161082398</v>
      </c>
      <c r="I37" s="203">
        <f>SUM(I34:I36)</f>
        <v>0.16431569314244712</v>
      </c>
      <c r="J37" s="138"/>
      <c r="K37" s="138"/>
      <c r="L37" s="138"/>
    </row>
    <row r="38" spans="1:18">
      <c r="B38" s="4"/>
      <c r="C38" s="137" t="str">
        <f>IF(ROUND(C37,3)=ROUND(C28,3), "Great, " &amp; ROUND(C37,3)*100 &amp; "% agrees with 2020 Low Carbon % entered above", "Please re-adust Low Carbon portfolio to " &amp; ROUND(C28,3)*100 &amp; "% or change 2020 Low Carbon % above" )</f>
        <v>Great, 20,7% agrees with 2020 Low Carbon % entered above</v>
      </c>
      <c r="D38" s="105"/>
      <c r="E38" s="105"/>
      <c r="F38" s="97"/>
      <c r="G38" s="97"/>
      <c r="H38"/>
      <c r="I38"/>
      <c r="J38"/>
      <c r="K38"/>
      <c r="L38"/>
    </row>
    <row r="39" spans="1:18">
      <c r="B39" s="4"/>
      <c r="C39" s="105"/>
      <c r="D39" s="105" t="s">
        <v>0</v>
      </c>
      <c r="E39" s="105"/>
      <c r="F39" s="105" t="s">
        <v>0</v>
      </c>
      <c r="G39" s="97"/>
      <c r="H39"/>
      <c r="I39"/>
      <c r="J39"/>
      <c r="K39"/>
      <c r="L39"/>
    </row>
    <row r="40" spans="1:18">
      <c r="B40" s="113" t="s">
        <v>376</v>
      </c>
      <c r="C40" s="105">
        <f>C24</f>
        <v>0.05</v>
      </c>
      <c r="D40" s="105" t="s">
        <v>0</v>
      </c>
      <c r="E40" s="105" t="s">
        <v>0</v>
      </c>
      <c r="F40" s="105" t="s">
        <v>0</v>
      </c>
      <c r="G40" s="103" t="s">
        <v>0</v>
      </c>
      <c r="H40"/>
      <c r="I40"/>
      <c r="J40"/>
      <c r="K40"/>
      <c r="L40"/>
    </row>
    <row r="41" spans="1:18">
      <c r="B41" s="4" t="s">
        <v>375</v>
      </c>
      <c r="C41" s="105">
        <f>C24+C37</f>
        <v>0.2568233432932312</v>
      </c>
      <c r="D41" s="105" t="s">
        <v>0</v>
      </c>
      <c r="E41" s="105"/>
      <c r="F41" s="105" t="s">
        <v>0</v>
      </c>
      <c r="G41" s="103" t="s">
        <v>0</v>
      </c>
      <c r="H41"/>
      <c r="I41"/>
      <c r="J41"/>
      <c r="K41"/>
      <c r="L41"/>
    </row>
    <row r="42" spans="1:18">
      <c r="C42" s="110"/>
      <c r="D42"/>
      <c r="E42" s="13"/>
      <c r="F42" s="13"/>
      <c r="G42" s="13"/>
      <c r="M42"/>
    </row>
    <row r="43" spans="1:18" ht="15" thickBot="1">
      <c r="B43" s="1" t="s">
        <v>2</v>
      </c>
      <c r="C43" s="13" t="s">
        <v>138</v>
      </c>
      <c r="D43" s="1"/>
      <c r="E43" s="7"/>
      <c r="F43" s="7"/>
      <c r="G43" s="1"/>
      <c r="H43" s="13" t="s">
        <v>194</v>
      </c>
      <c r="I43" s="13"/>
      <c r="J43" s="13"/>
      <c r="K43" s="13"/>
      <c r="L43" s="13"/>
      <c r="M43" s="13" t="s">
        <v>307</v>
      </c>
      <c r="N43" s="7"/>
    </row>
    <row r="44" spans="1:18" ht="15" thickBot="1">
      <c r="B44" s="4" t="s">
        <v>209</v>
      </c>
      <c r="C44" s="42">
        <v>3.7999999999999999E-2</v>
      </c>
      <c r="D44" s="4"/>
      <c r="E44" s="28" t="s">
        <v>523</v>
      </c>
      <c r="F44" s="28"/>
      <c r="G44" s="1"/>
      <c r="H44" s="49">
        <v>9</v>
      </c>
      <c r="I44" s="277"/>
      <c r="J44" s="277"/>
      <c r="K44" s="277"/>
      <c r="L44"/>
      <c r="M44" s="12">
        <f t="shared" ref="M44:M61" si="7">C44+H44*C44</f>
        <v>0.37999999999999995</v>
      </c>
      <c r="N44" s="28" t="s">
        <v>523</v>
      </c>
    </row>
    <row r="45" spans="1:18" ht="15.75" hidden="1" customHeight="1" thickBot="1">
      <c r="B45" s="4" t="s">
        <v>210</v>
      </c>
      <c r="C45" s="41" t="e">
        <f>0.1*#REF!</f>
        <v>#REF!</v>
      </c>
      <c r="D45" s="4"/>
      <c r="E45" s="28" t="s">
        <v>206</v>
      </c>
      <c r="F45" s="28"/>
      <c r="G45" s="110"/>
      <c r="H45" s="49">
        <v>9</v>
      </c>
      <c r="I45" s="277"/>
      <c r="J45" s="277"/>
      <c r="K45" s="277"/>
      <c r="L45"/>
      <c r="M45" s="12" t="e">
        <f t="shared" si="7"/>
        <v>#REF!</v>
      </c>
      <c r="N45" s="28" t="s">
        <v>523</v>
      </c>
    </row>
    <row r="46" spans="1:18" s="1" customFormat="1" ht="15" thickBot="1">
      <c r="A46"/>
      <c r="B46" s="4" t="s">
        <v>121</v>
      </c>
      <c r="C46" s="84">
        <v>0.21</v>
      </c>
      <c r="D46" s="4" t="s">
        <v>0</v>
      </c>
      <c r="E46" s="28" t="s">
        <v>524</v>
      </c>
      <c r="F46" s="28"/>
      <c r="H46" s="49">
        <v>0.9</v>
      </c>
      <c r="I46" s="277"/>
      <c r="J46" s="277"/>
      <c r="K46" s="277"/>
      <c r="L46"/>
      <c r="M46" s="12">
        <f t="shared" si="7"/>
        <v>0.39900000000000002</v>
      </c>
      <c r="N46" s="28" t="s">
        <v>524</v>
      </c>
      <c r="O46"/>
      <c r="P46"/>
      <c r="Q46"/>
      <c r="R46"/>
    </row>
    <row r="47" spans="1:18" s="1" customFormat="1" ht="15" thickBot="1">
      <c r="A47"/>
      <c r="B47" s="4" t="s">
        <v>118</v>
      </c>
      <c r="C47" s="42">
        <v>0.18</v>
      </c>
      <c r="D47" s="4"/>
      <c r="E47" s="28" t="s">
        <v>524</v>
      </c>
      <c r="F47" s="28"/>
      <c r="H47" s="49">
        <v>0.9</v>
      </c>
      <c r="I47" s="277"/>
      <c r="J47" s="277"/>
      <c r="K47" s="277"/>
      <c r="L47"/>
      <c r="M47" s="12">
        <f t="shared" si="7"/>
        <v>0.34199999999999997</v>
      </c>
      <c r="N47" s="28" t="s">
        <v>524</v>
      </c>
      <c r="O47"/>
      <c r="P47"/>
      <c r="Q47"/>
    </row>
    <row r="48" spans="1:18" ht="15" thickBot="1">
      <c r="B48" s="4" t="s">
        <v>49</v>
      </c>
      <c r="C48" s="42">
        <v>0.15</v>
      </c>
      <c r="D48" s="4"/>
      <c r="E48" s="28" t="s">
        <v>524</v>
      </c>
      <c r="F48" s="28"/>
      <c r="G48" s="1"/>
      <c r="H48" s="49">
        <v>0.9</v>
      </c>
      <c r="I48" s="277"/>
      <c r="J48" s="277"/>
      <c r="K48" s="277"/>
      <c r="L48"/>
      <c r="M48" s="12">
        <f t="shared" si="7"/>
        <v>0.28500000000000003</v>
      </c>
      <c r="N48" s="28" t="s">
        <v>524</v>
      </c>
    </row>
    <row r="49" spans="1:17" s="1" customFormat="1" ht="15" thickBot="1">
      <c r="A49"/>
      <c r="B49" s="4" t="s">
        <v>50</v>
      </c>
      <c r="C49" s="42">
        <v>0.25</v>
      </c>
      <c r="D49" s="4" t="s">
        <v>0</v>
      </c>
      <c r="E49" s="28" t="s">
        <v>524</v>
      </c>
      <c r="F49" s="28"/>
      <c r="H49" s="49">
        <v>0.9</v>
      </c>
      <c r="I49" s="277"/>
      <c r="J49" s="277"/>
      <c r="K49" s="277"/>
      <c r="L49"/>
      <c r="M49" s="12">
        <f t="shared" si="7"/>
        <v>0.47499999999999998</v>
      </c>
      <c r="N49" s="28" t="s">
        <v>524</v>
      </c>
      <c r="O49" t="s">
        <v>0</v>
      </c>
      <c r="P49"/>
      <c r="Q49"/>
    </row>
    <row r="50" spans="1:17" s="1" customFormat="1" ht="15.75" hidden="1" customHeight="1" thickBot="1">
      <c r="A50"/>
      <c r="B50" s="4" t="s">
        <v>119</v>
      </c>
      <c r="C50" s="42">
        <v>0.11</v>
      </c>
      <c r="D50" s="4"/>
      <c r="E50" s="28" t="s">
        <v>524</v>
      </c>
      <c r="F50" s="28"/>
      <c r="G50" s="110"/>
      <c r="H50" s="49">
        <v>0.8</v>
      </c>
      <c r="I50" s="277"/>
      <c r="J50" s="277"/>
      <c r="K50" s="277"/>
      <c r="L50"/>
      <c r="M50" s="12">
        <f t="shared" si="7"/>
        <v>0.19800000000000001</v>
      </c>
      <c r="N50" s="28" t="s">
        <v>524</v>
      </c>
      <c r="O50" t="s">
        <v>0</v>
      </c>
      <c r="P50"/>
      <c r="Q50"/>
    </row>
    <row r="51" spans="1:17" s="1" customFormat="1" ht="15" thickBot="1">
      <c r="A51"/>
      <c r="B51" s="4" t="s">
        <v>343</v>
      </c>
      <c r="C51" s="42">
        <v>0.27</v>
      </c>
      <c r="D51" s="4"/>
      <c r="E51" s="28" t="s">
        <v>524</v>
      </c>
      <c r="F51" s="28"/>
      <c r="G51" s="110"/>
      <c r="H51" s="49">
        <v>0.9</v>
      </c>
      <c r="I51" s="277"/>
      <c r="J51" s="277"/>
      <c r="K51" s="277"/>
      <c r="L51"/>
      <c r="M51" s="12">
        <f t="shared" si="7"/>
        <v>0.51300000000000001</v>
      </c>
      <c r="N51" s="28" t="s">
        <v>524</v>
      </c>
      <c r="O51" t="s">
        <v>0</v>
      </c>
      <c r="P51"/>
      <c r="Q51"/>
    </row>
    <row r="52" spans="1:17" s="1" customFormat="1" ht="15" thickBot="1">
      <c r="A52"/>
      <c r="B52" s="4" t="s">
        <v>51</v>
      </c>
      <c r="C52" s="42">
        <v>0.15</v>
      </c>
      <c r="D52" s="4"/>
      <c r="E52" s="28" t="s">
        <v>524</v>
      </c>
      <c r="F52" s="28"/>
      <c r="G52" s="110"/>
      <c r="H52" s="49">
        <v>0.9</v>
      </c>
      <c r="I52" s="277"/>
      <c r="J52" s="277"/>
      <c r="K52" s="277"/>
      <c r="L52"/>
      <c r="M52" s="12">
        <f t="shared" si="7"/>
        <v>0.28500000000000003</v>
      </c>
      <c r="N52" s="28" t="s">
        <v>524</v>
      </c>
      <c r="O52" t="s">
        <v>0</v>
      </c>
      <c r="P52"/>
      <c r="Q52"/>
    </row>
    <row r="53" spans="1:17" ht="15" thickBot="1">
      <c r="B53" s="4" t="s">
        <v>59</v>
      </c>
      <c r="C53" s="42">
        <v>0.14000000000000001</v>
      </c>
      <c r="D53" s="4"/>
      <c r="E53" s="28" t="s">
        <v>524</v>
      </c>
      <c r="F53" s="28"/>
      <c r="G53" s="110"/>
      <c r="H53" s="49">
        <v>0.9</v>
      </c>
      <c r="I53" s="277"/>
      <c r="J53" s="277"/>
      <c r="K53" s="277"/>
      <c r="L53"/>
      <c r="M53" s="161">
        <f t="shared" si="7"/>
        <v>0.26600000000000001</v>
      </c>
      <c r="N53" s="28" t="s">
        <v>524</v>
      </c>
    </row>
    <row r="54" spans="1:17" ht="15" thickBot="1">
      <c r="B54" s="4" t="s">
        <v>347</v>
      </c>
      <c r="C54" s="84">
        <v>0.79</v>
      </c>
      <c r="D54" s="4" t="s">
        <v>0</v>
      </c>
      <c r="E54" s="28" t="s">
        <v>524</v>
      </c>
      <c r="F54" s="28"/>
      <c r="G54" s="110"/>
      <c r="H54" s="49">
        <v>0.9</v>
      </c>
      <c r="I54" s="277"/>
      <c r="J54" s="277"/>
      <c r="K54" s="277"/>
      <c r="L54"/>
      <c r="M54" s="12">
        <f t="shared" si="7"/>
        <v>1.5010000000000001</v>
      </c>
      <c r="N54" s="28" t="s">
        <v>524</v>
      </c>
    </row>
    <row r="55" spans="1:17" ht="15" thickBot="1">
      <c r="B55" s="4" t="s">
        <v>348</v>
      </c>
      <c r="C55" s="84">
        <v>0.23</v>
      </c>
      <c r="D55" s="4"/>
      <c r="E55" s="28" t="s">
        <v>524</v>
      </c>
      <c r="F55" s="28"/>
      <c r="G55" s="110"/>
      <c r="H55" s="49">
        <v>0.9</v>
      </c>
      <c r="I55" s="277"/>
      <c r="J55" s="277"/>
      <c r="K55" s="277"/>
      <c r="L55"/>
      <c r="M55" s="12">
        <f t="shared" si="7"/>
        <v>0.43700000000000006</v>
      </c>
      <c r="N55" s="28" t="s">
        <v>524</v>
      </c>
    </row>
    <row r="56" spans="1:17" ht="15.75" hidden="1" customHeight="1" thickBot="1">
      <c r="B56" s="4" t="s">
        <v>120</v>
      </c>
      <c r="C56" s="42">
        <v>0.11</v>
      </c>
      <c r="D56" s="4"/>
      <c r="E56" s="28" t="s">
        <v>524</v>
      </c>
      <c r="F56" s="28"/>
      <c r="G56" s="110"/>
      <c r="H56" s="49">
        <v>0.8</v>
      </c>
      <c r="I56" s="277"/>
      <c r="J56" s="277"/>
      <c r="K56" s="277"/>
      <c r="L56"/>
      <c r="M56" s="12">
        <f t="shared" si="7"/>
        <v>0.19800000000000001</v>
      </c>
      <c r="N56" s="28"/>
    </row>
    <row r="57" spans="1:17" ht="15" thickBot="1">
      <c r="B57" s="4" t="s">
        <v>53</v>
      </c>
      <c r="C57" s="84">
        <v>0.17</v>
      </c>
      <c r="D57" s="4" t="s">
        <v>0</v>
      </c>
      <c r="E57" s="28" t="s">
        <v>524</v>
      </c>
      <c r="F57" s="28"/>
      <c r="G57" s="110"/>
      <c r="H57" s="49">
        <v>0.9</v>
      </c>
      <c r="I57" s="277"/>
      <c r="J57" s="277"/>
      <c r="K57" s="277"/>
      <c r="L57"/>
      <c r="M57" s="12">
        <f t="shared" si="7"/>
        <v>0.32300000000000006</v>
      </c>
      <c r="N57" s="28" t="s">
        <v>524</v>
      </c>
    </row>
    <row r="58" spans="1:17" ht="15.75" hidden="1" customHeight="1" thickBot="1">
      <c r="B58" s="4" t="s">
        <v>191</v>
      </c>
      <c r="C58" s="41" t="e">
        <f xml:space="preserve"> 0.693 *#REF!</f>
        <v>#REF!</v>
      </c>
      <c r="D58" s="4"/>
      <c r="E58" s="28" t="s">
        <v>206</v>
      </c>
      <c r="F58" s="28"/>
      <c r="G58" s="110"/>
      <c r="H58" s="49">
        <v>0.8</v>
      </c>
      <c r="I58" s="277"/>
      <c r="J58" s="277"/>
      <c r="K58" s="277"/>
      <c r="L58"/>
      <c r="M58" s="12" t="e">
        <f t="shared" si="7"/>
        <v>#REF!</v>
      </c>
      <c r="N58" s="28" t="s">
        <v>524</v>
      </c>
    </row>
    <row r="59" spans="1:17" ht="15.75" hidden="1" customHeight="1" thickBot="1">
      <c r="B59" s="4" t="s">
        <v>246</v>
      </c>
      <c r="C59" s="49" t="e">
        <f xml:space="preserve"> (1/6) *#REF!</f>
        <v>#REF!</v>
      </c>
      <c r="D59" s="4"/>
      <c r="E59" s="28" t="s">
        <v>247</v>
      </c>
      <c r="F59" s="28"/>
      <c r="G59" s="110"/>
      <c r="H59" s="49">
        <v>0.8</v>
      </c>
      <c r="I59" s="277"/>
      <c r="J59" s="277"/>
      <c r="K59" s="277"/>
      <c r="L59"/>
      <c r="M59" s="12" t="e">
        <f t="shared" si="7"/>
        <v>#REF!</v>
      </c>
      <c r="N59" s="28" t="s">
        <v>206</v>
      </c>
    </row>
    <row r="60" spans="1:17" ht="15" thickBot="1">
      <c r="B60" s="4" t="s">
        <v>68</v>
      </c>
      <c r="C60" s="42">
        <v>0.11</v>
      </c>
      <c r="D60" s="4"/>
      <c r="E60" s="28" t="s">
        <v>524</v>
      </c>
      <c r="F60" s="28"/>
      <c r="G60" s="110"/>
      <c r="H60" s="49">
        <v>0.9</v>
      </c>
      <c r="I60" s="277"/>
      <c r="J60" s="277"/>
      <c r="K60" s="277"/>
      <c r="L60"/>
      <c r="M60" s="161">
        <f t="shared" si="7"/>
        <v>0.20900000000000002</v>
      </c>
      <c r="N60" s="28" t="s">
        <v>524</v>
      </c>
    </row>
    <row r="61" spans="1:17" ht="15" thickBot="1">
      <c r="B61" s="4" t="s">
        <v>76</v>
      </c>
      <c r="C61" s="42">
        <v>0.11</v>
      </c>
      <c r="D61" s="4"/>
      <c r="E61" s="28" t="s">
        <v>524</v>
      </c>
      <c r="F61" s="28"/>
      <c r="G61" s="110"/>
      <c r="H61" s="49">
        <v>0.9</v>
      </c>
      <c r="I61" s="277"/>
      <c r="J61" s="277"/>
      <c r="K61" s="277"/>
      <c r="L61"/>
      <c r="M61" s="12">
        <f t="shared" si="7"/>
        <v>0.20900000000000002</v>
      </c>
      <c r="N61" s="28" t="s">
        <v>524</v>
      </c>
    </row>
    <row r="62" spans="1:17">
      <c r="C62" s="110"/>
      <c r="D62"/>
      <c r="E62" s="7"/>
      <c r="F62" s="7"/>
      <c r="G62" s="110"/>
      <c r="H62"/>
      <c r="I62"/>
      <c r="J62"/>
      <c r="K62"/>
      <c r="L62"/>
    </row>
    <row r="63" spans="1:17">
      <c r="C63" s="12" t="s">
        <v>0</v>
      </c>
      <c r="D63"/>
      <c r="E63" s="7"/>
      <c r="F63" s="7"/>
      <c r="G63"/>
      <c r="H63"/>
      <c r="I63"/>
      <c r="J63"/>
      <c r="K63"/>
      <c r="L63"/>
    </row>
    <row r="64" spans="1:17">
      <c r="E64" s="7"/>
      <c r="F64" s="7"/>
      <c r="G64"/>
      <c r="H64"/>
      <c r="I64"/>
      <c r="J64"/>
      <c r="K64"/>
      <c r="L64"/>
    </row>
    <row r="65" spans="5:14">
      <c r="E65" s="7"/>
      <c r="F65" s="7"/>
      <c r="G65"/>
      <c r="H65"/>
      <c r="I65"/>
      <c r="J65"/>
      <c r="K65"/>
      <c r="L65"/>
      <c r="M65"/>
      <c r="N65" s="28" t="s">
        <v>0</v>
      </c>
    </row>
    <row r="66" spans="5:14" ht="15" customHeight="1">
      <c r="E66" s="7"/>
      <c r="F66" s="7"/>
      <c r="G66"/>
      <c r="H66"/>
      <c r="I66"/>
      <c r="J66"/>
      <c r="K66"/>
      <c r="L66"/>
      <c r="M66"/>
    </row>
    <row r="67" spans="5:14" ht="15" customHeight="1">
      <c r="M67" t="s">
        <v>0</v>
      </c>
    </row>
    <row r="68" spans="5:14" ht="15" customHeight="1">
      <c r="M68"/>
    </row>
    <row r="69" spans="5:14" ht="15" customHeight="1">
      <c r="M69"/>
    </row>
    <row r="70" spans="5:14" ht="15.75" customHeight="1">
      <c r="M70"/>
    </row>
  </sheetData>
  <dataConsolidate/>
  <mergeCells count="2">
    <mergeCell ref="A1:T1"/>
    <mergeCell ref="A2:O2"/>
  </mergeCells>
  <pageMargins left="0.7" right="0.7" top="0.75" bottom="0.75" header="0.3" footer="0.3"/>
  <pageSetup orientation="portrait"/>
  <drawing r:id="rId1"/>
  <legacyDrawing r:id="rId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enableFormatConditionsCalculation="0"/>
  <dimension ref="A1:AL109"/>
  <sheetViews>
    <sheetView zoomScale="70" zoomScaleNormal="70" zoomScalePageLayoutView="70" workbookViewId="0">
      <selection activeCell="B70" sqref="B70"/>
    </sheetView>
  </sheetViews>
  <sheetFormatPr baseColWidth="10" defaultColWidth="12.5" defaultRowHeight="16" x14ac:dyDescent="0"/>
  <cols>
    <col min="1" max="1" width="47.33203125" style="5" customWidth="1"/>
    <col min="2" max="5" width="12.5" style="344"/>
    <col min="6" max="6" width="12.5" style="345"/>
    <col min="7" max="37" width="12.5" style="299"/>
    <col min="38" max="16384" width="12.5" style="5"/>
  </cols>
  <sheetData>
    <row r="1" spans="1:37">
      <c r="A1" s="272" t="s">
        <v>705</v>
      </c>
    </row>
    <row r="2" spans="1:37">
      <c r="A2" s="272" t="s">
        <v>657</v>
      </c>
    </row>
    <row r="3" spans="1:37">
      <c r="A3" s="272" t="s">
        <v>658</v>
      </c>
    </row>
    <row r="5" spans="1:37">
      <c r="A5" s="6" t="s">
        <v>185</v>
      </c>
    </row>
    <row r="6" spans="1:37">
      <c r="A6" s="6" t="s">
        <v>184</v>
      </c>
    </row>
    <row r="9" spans="1:37">
      <c r="AK9" s="300" t="s">
        <v>715</v>
      </c>
    </row>
    <row r="10" spans="1:37">
      <c r="B10" s="346" t="s">
        <v>7</v>
      </c>
      <c r="C10" s="346" t="s">
        <v>8</v>
      </c>
      <c r="D10" s="346" t="s">
        <v>9</v>
      </c>
      <c r="E10" s="346" t="s">
        <v>10</v>
      </c>
      <c r="F10" s="347" t="s">
        <v>11</v>
      </c>
      <c r="G10" s="300" t="s">
        <v>12</v>
      </c>
      <c r="H10" s="300" t="s">
        <v>13</v>
      </c>
      <c r="I10" s="300" t="s">
        <v>14</v>
      </c>
      <c r="J10" s="300" t="s">
        <v>15</v>
      </c>
      <c r="K10" s="300" t="s">
        <v>16</v>
      </c>
      <c r="L10" s="300" t="s">
        <v>17</v>
      </c>
      <c r="M10" s="300" t="s">
        <v>18</v>
      </c>
      <c r="N10" s="300" t="s">
        <v>19</v>
      </c>
      <c r="O10" s="300" t="s">
        <v>20</v>
      </c>
      <c r="P10" s="300" t="s">
        <v>21</v>
      </c>
      <c r="Q10" s="300" t="s">
        <v>22</v>
      </c>
      <c r="R10" s="300" t="s">
        <v>23</v>
      </c>
      <c r="S10" s="300" t="s">
        <v>24</v>
      </c>
      <c r="T10" s="300" t="s">
        <v>25</v>
      </c>
      <c r="U10" s="300" t="s">
        <v>26</v>
      </c>
      <c r="V10" s="300" t="s">
        <v>27</v>
      </c>
      <c r="W10" s="300" t="s">
        <v>28</v>
      </c>
      <c r="X10" s="300" t="s">
        <v>29</v>
      </c>
      <c r="Y10" s="300" t="s">
        <v>30</v>
      </c>
      <c r="Z10" s="300" t="s">
        <v>31</v>
      </c>
      <c r="AA10" s="300" t="s">
        <v>582</v>
      </c>
      <c r="AB10" s="300" t="s">
        <v>583</v>
      </c>
      <c r="AC10" s="300" t="s">
        <v>584</v>
      </c>
      <c r="AD10" s="300" t="s">
        <v>585</v>
      </c>
      <c r="AE10" s="300" t="s">
        <v>586</v>
      </c>
      <c r="AF10" s="300" t="s">
        <v>587</v>
      </c>
      <c r="AG10" s="300" t="s">
        <v>588</v>
      </c>
      <c r="AH10" s="300" t="s">
        <v>589</v>
      </c>
      <c r="AI10" s="300" t="s">
        <v>590</v>
      </c>
      <c r="AJ10" s="300" t="s">
        <v>591</v>
      </c>
      <c r="AK10" s="300">
        <v>2040</v>
      </c>
    </row>
    <row r="13" spans="1:37">
      <c r="A13" s="6" t="s">
        <v>183</v>
      </c>
    </row>
    <row r="14" spans="1:37">
      <c r="A14" s="6" t="s">
        <v>182</v>
      </c>
      <c r="B14" s="348">
        <v>5.1020002365112296</v>
      </c>
      <c r="C14" s="348">
        <v>5.0669999122619602</v>
      </c>
      <c r="D14" s="348">
        <v>4.9539995193481401</v>
      </c>
      <c r="E14" s="348">
        <v>5.3799490928649902</v>
      </c>
      <c r="F14" s="349">
        <v>5.6095256805419904</v>
      </c>
      <c r="G14" s="293">
        <v>5.6580000000000004</v>
      </c>
      <c r="H14" s="293">
        <v>6.4939989999999996</v>
      </c>
      <c r="I14" s="293">
        <v>7.7220000000000004</v>
      </c>
      <c r="J14" s="293">
        <v>8.5288000000000004</v>
      </c>
      <c r="K14" s="293">
        <v>9.0378019999999992</v>
      </c>
      <c r="L14" s="293">
        <v>9.5417810000000003</v>
      </c>
      <c r="M14" s="293">
        <v>9.5568039999999996</v>
      </c>
      <c r="N14" s="293">
        <v>9.5754859999999997</v>
      </c>
      <c r="O14" s="293">
        <v>9.6082459999999994</v>
      </c>
      <c r="P14" s="293">
        <v>9.5525409999999997</v>
      </c>
      <c r="Q14" s="293">
        <v>9.4165030000000005</v>
      </c>
      <c r="R14" s="293">
        <v>9.2888249999999992</v>
      </c>
      <c r="S14" s="293">
        <v>9.1907350000000001</v>
      </c>
      <c r="T14" s="293">
        <v>9.0728480000000005</v>
      </c>
      <c r="U14" s="293">
        <v>9.0041829999999994</v>
      </c>
      <c r="V14" s="293">
        <v>8.8329439999999995</v>
      </c>
      <c r="W14" s="293">
        <v>8.6696600000000004</v>
      </c>
      <c r="X14" s="293">
        <v>8.5159219999999998</v>
      </c>
      <c r="Y14" s="293">
        <v>8.3804160000000003</v>
      </c>
      <c r="Z14" s="293">
        <v>8.3047140000000006</v>
      </c>
      <c r="AA14" s="293">
        <v>8.1595440000000004</v>
      </c>
      <c r="AB14" s="293">
        <v>8.0727349999999998</v>
      </c>
      <c r="AC14" s="293">
        <v>8.0446790000000004</v>
      </c>
      <c r="AD14" s="293">
        <v>7.984591</v>
      </c>
      <c r="AE14" s="293">
        <v>7.8722690000000002</v>
      </c>
      <c r="AF14" s="293">
        <v>7.7546290000000004</v>
      </c>
      <c r="AG14" s="293">
        <v>7.6994870000000004</v>
      </c>
      <c r="AH14" s="293">
        <v>7.5588430000000004</v>
      </c>
      <c r="AI14" s="293">
        <v>7.5302829999999998</v>
      </c>
      <c r="AJ14" s="293">
        <v>7.4801669999999998</v>
      </c>
      <c r="AK14" s="294">
        <v>5.0000000000000001E-3</v>
      </c>
    </row>
    <row r="15" spans="1:37">
      <c r="A15" s="6" t="s">
        <v>181</v>
      </c>
      <c r="B15" s="348">
        <v>0.74099999666214</v>
      </c>
      <c r="C15" s="348">
        <v>0.71899998188018799</v>
      </c>
      <c r="D15" s="348">
        <v>0.68000000715255704</v>
      </c>
      <c r="E15" s="348">
        <v>0.73478877544403098</v>
      </c>
      <c r="F15" s="349">
        <v>0.68565064668655396</v>
      </c>
      <c r="G15" s="293">
        <v>0.57199999999999995</v>
      </c>
      <c r="H15" s="293">
        <v>0.53</v>
      </c>
      <c r="I15" s="293">
        <v>0.51</v>
      </c>
      <c r="J15" s="293">
        <v>0.4738</v>
      </c>
      <c r="K15" s="293">
        <v>0.462835</v>
      </c>
      <c r="L15" s="293">
        <v>0.46215800000000001</v>
      </c>
      <c r="M15" s="293">
        <v>0.46993800000000002</v>
      </c>
      <c r="N15" s="293">
        <v>0.47195500000000001</v>
      </c>
      <c r="O15" s="293">
        <v>0.45399899999999999</v>
      </c>
      <c r="P15" s="293">
        <v>0.43714199999999998</v>
      </c>
      <c r="Q15" s="293">
        <v>0.41283700000000001</v>
      </c>
      <c r="R15" s="293">
        <v>0.388714</v>
      </c>
      <c r="S15" s="293">
        <v>0.36631000000000002</v>
      </c>
      <c r="T15" s="293">
        <v>0.34568500000000002</v>
      </c>
      <c r="U15" s="293">
        <v>0.32666899999999999</v>
      </c>
      <c r="V15" s="293">
        <v>0.30766500000000002</v>
      </c>
      <c r="W15" s="293">
        <v>0.28877399999999998</v>
      </c>
      <c r="X15" s="293">
        <v>0.27134900000000001</v>
      </c>
      <c r="Y15" s="293">
        <v>0.25525500000000001</v>
      </c>
      <c r="Z15" s="293">
        <v>0.240371</v>
      </c>
      <c r="AA15" s="293">
        <v>0.22658700000000001</v>
      </c>
      <c r="AB15" s="293">
        <v>0.273065</v>
      </c>
      <c r="AC15" s="293">
        <v>0.34021099999999999</v>
      </c>
      <c r="AD15" s="293">
        <v>0.38843800000000001</v>
      </c>
      <c r="AE15" s="293">
        <v>0.378168</v>
      </c>
      <c r="AF15" s="293">
        <v>0.36859700000000001</v>
      </c>
      <c r="AG15" s="293">
        <v>0.35966500000000001</v>
      </c>
      <c r="AH15" s="293">
        <v>0.321691</v>
      </c>
      <c r="AI15" s="293">
        <v>0.28870200000000001</v>
      </c>
      <c r="AJ15" s="293">
        <v>0.25998700000000002</v>
      </c>
      <c r="AK15" s="294">
        <v>-2.5000000000000001E-2</v>
      </c>
    </row>
    <row r="16" spans="1:37">
      <c r="A16" s="6" t="s">
        <v>180</v>
      </c>
      <c r="B16" s="348">
        <v>4.3610000610351598</v>
      </c>
      <c r="C16" s="348">
        <v>4.34800004959106</v>
      </c>
      <c r="D16" s="348">
        <v>4.2739996910095197</v>
      </c>
      <c r="E16" s="348">
        <v>4.6451601982116699</v>
      </c>
      <c r="F16" s="349">
        <v>4.9238753318786603</v>
      </c>
      <c r="G16" s="293">
        <v>5.0860000000000003</v>
      </c>
      <c r="H16" s="293">
        <v>5.9640000000000004</v>
      </c>
      <c r="I16" s="293">
        <v>7.2119999999999997</v>
      </c>
      <c r="J16" s="293">
        <v>8.0549999999999997</v>
      </c>
      <c r="K16" s="293">
        <v>8.5749659999999999</v>
      </c>
      <c r="L16" s="293">
        <v>9.0796240000000008</v>
      </c>
      <c r="M16" s="293">
        <v>9.0868660000000006</v>
      </c>
      <c r="N16" s="293">
        <v>9.1035310000000003</v>
      </c>
      <c r="O16" s="293">
        <v>9.1542469999999998</v>
      </c>
      <c r="P16" s="293">
        <v>9.1153980000000008</v>
      </c>
      <c r="Q16" s="293">
        <v>9.0036670000000001</v>
      </c>
      <c r="R16" s="293">
        <v>8.9001110000000008</v>
      </c>
      <c r="S16" s="293">
        <v>8.8244249999999997</v>
      </c>
      <c r="T16" s="293">
        <v>8.7271629999999991</v>
      </c>
      <c r="U16" s="293">
        <v>8.6775140000000004</v>
      </c>
      <c r="V16" s="293">
        <v>8.5252789999999994</v>
      </c>
      <c r="W16" s="293">
        <v>8.3808860000000003</v>
      </c>
      <c r="X16" s="293">
        <v>8.2445730000000008</v>
      </c>
      <c r="Y16" s="293">
        <v>8.1251610000000003</v>
      </c>
      <c r="Z16" s="293">
        <v>8.0643429999999992</v>
      </c>
      <c r="AA16" s="293">
        <v>7.932957</v>
      </c>
      <c r="AB16" s="293">
        <v>7.7996699999999999</v>
      </c>
      <c r="AC16" s="293">
        <v>7.7044680000000003</v>
      </c>
      <c r="AD16" s="293">
        <v>7.5961540000000003</v>
      </c>
      <c r="AE16" s="293">
        <v>7.4941009999999997</v>
      </c>
      <c r="AF16" s="293">
        <v>7.3860330000000003</v>
      </c>
      <c r="AG16" s="293">
        <v>7.3398209999999997</v>
      </c>
      <c r="AH16" s="293">
        <v>7.2371509999999999</v>
      </c>
      <c r="AI16" s="293">
        <v>7.241581</v>
      </c>
      <c r="AJ16" s="293">
        <v>7.2201810000000002</v>
      </c>
      <c r="AK16" s="294">
        <v>7.0000000000000001E-3</v>
      </c>
    </row>
    <row r="17" spans="1:38">
      <c r="A17" s="6" t="s">
        <v>179</v>
      </c>
      <c r="B17" s="348">
        <v>10.093000411987299</v>
      </c>
      <c r="C17" s="348">
        <v>10.003999710083001</v>
      </c>
      <c r="D17" s="348">
        <v>9.7010002136230504</v>
      </c>
      <c r="E17" s="348">
        <v>8.9919996261596697</v>
      </c>
      <c r="F17" s="349">
        <v>8.3191394805908203</v>
      </c>
      <c r="G17" s="293">
        <v>8.8879999999999999</v>
      </c>
      <c r="H17" s="293">
        <v>8.4319989999999994</v>
      </c>
      <c r="I17" s="293">
        <v>7.3609999999999998</v>
      </c>
      <c r="J17" s="293">
        <v>6.452</v>
      </c>
      <c r="K17" s="293">
        <v>6.1656769999999996</v>
      </c>
      <c r="L17" s="293">
        <v>5.7677230000000002</v>
      </c>
      <c r="M17" s="293">
        <v>5.8143669999999998</v>
      </c>
      <c r="N17" s="293">
        <v>5.8087150000000003</v>
      </c>
      <c r="O17" s="293">
        <v>5.7589199999999998</v>
      </c>
      <c r="P17" s="293">
        <v>5.7870730000000004</v>
      </c>
      <c r="Q17" s="293">
        <v>5.8889449999999997</v>
      </c>
      <c r="R17" s="293">
        <v>5.9421790000000003</v>
      </c>
      <c r="S17" s="293">
        <v>5.9748789999999996</v>
      </c>
      <c r="T17" s="293">
        <v>6.0359290000000003</v>
      </c>
      <c r="U17" s="293">
        <v>6.0526869999999997</v>
      </c>
      <c r="V17" s="293">
        <v>6.1879960000000001</v>
      </c>
      <c r="W17" s="293">
        <v>6.3329610000000001</v>
      </c>
      <c r="X17" s="293">
        <v>6.455387</v>
      </c>
      <c r="Y17" s="293">
        <v>6.5668860000000002</v>
      </c>
      <c r="Z17" s="293">
        <v>6.635491</v>
      </c>
      <c r="AA17" s="293">
        <v>6.7795449999999997</v>
      </c>
      <c r="AB17" s="293">
        <v>6.8623289999999999</v>
      </c>
      <c r="AC17" s="293">
        <v>6.8977040000000001</v>
      </c>
      <c r="AD17" s="293">
        <v>6.9983430000000002</v>
      </c>
      <c r="AE17" s="293">
        <v>7.1493440000000001</v>
      </c>
      <c r="AF17" s="293">
        <v>7.303795</v>
      </c>
      <c r="AG17" s="293">
        <v>7.4063970000000001</v>
      </c>
      <c r="AH17" s="293">
        <v>7.6181229999999998</v>
      </c>
      <c r="AI17" s="293">
        <v>7.6624980000000003</v>
      </c>
      <c r="AJ17" s="293">
        <v>7.742801</v>
      </c>
      <c r="AK17" s="294">
        <v>-3.0000000000000001E-3</v>
      </c>
    </row>
    <row r="18" spans="1:38">
      <c r="A18" s="6" t="s">
        <v>178</v>
      </c>
      <c r="B18" s="348">
        <v>10.118000030517599</v>
      </c>
      <c r="C18" s="348">
        <v>10.0310001373291</v>
      </c>
      <c r="D18" s="348">
        <v>9.7280006408691406</v>
      </c>
      <c r="E18" s="348">
        <v>9.0190000534057599</v>
      </c>
      <c r="F18" s="349">
        <v>8.3490304946899396</v>
      </c>
      <c r="G18" s="293">
        <v>8.9350000000000005</v>
      </c>
      <c r="H18" s="293">
        <v>8.4920000000000009</v>
      </c>
      <c r="I18" s="293">
        <v>7.4809999999999999</v>
      </c>
      <c r="J18" s="293">
        <v>6.585</v>
      </c>
      <c r="K18" s="293">
        <v>6.3116139999999996</v>
      </c>
      <c r="L18" s="293">
        <v>5.9214209999999996</v>
      </c>
      <c r="M18" s="293">
        <v>5.9680070000000001</v>
      </c>
      <c r="N18" s="293">
        <v>5.9630130000000001</v>
      </c>
      <c r="O18" s="293">
        <v>5.9123679999999998</v>
      </c>
      <c r="P18" s="293">
        <v>5.9393659999999997</v>
      </c>
      <c r="Q18" s="293">
        <v>6.0361729999999998</v>
      </c>
      <c r="R18" s="293">
        <v>6.0801559999999997</v>
      </c>
      <c r="S18" s="293">
        <v>6.1090929999999997</v>
      </c>
      <c r="T18" s="293">
        <v>6.1684799999999997</v>
      </c>
      <c r="U18" s="293">
        <v>6.1836919999999997</v>
      </c>
      <c r="V18" s="293">
        <v>6.31792</v>
      </c>
      <c r="W18" s="293">
        <v>6.4623739999999996</v>
      </c>
      <c r="X18" s="293">
        <v>6.5838710000000003</v>
      </c>
      <c r="Y18" s="293">
        <v>6.6953279999999999</v>
      </c>
      <c r="Z18" s="293">
        <v>6.7654339999999999</v>
      </c>
      <c r="AA18" s="293">
        <v>6.9090009999999999</v>
      </c>
      <c r="AB18" s="293">
        <v>6.9898129999999998</v>
      </c>
      <c r="AC18" s="293">
        <v>7.0234620000000003</v>
      </c>
      <c r="AD18" s="293">
        <v>7.1230440000000002</v>
      </c>
      <c r="AE18" s="293">
        <v>7.2727890000000004</v>
      </c>
      <c r="AF18" s="293">
        <v>7.4277439999999997</v>
      </c>
      <c r="AG18" s="293">
        <v>7.5305350000000004</v>
      </c>
      <c r="AH18" s="293">
        <v>7.7422449999999996</v>
      </c>
      <c r="AI18" s="293">
        <v>7.7863189999999998</v>
      </c>
      <c r="AJ18" s="293">
        <v>7.866511</v>
      </c>
      <c r="AK18" s="294">
        <v>-3.0000000000000001E-3</v>
      </c>
    </row>
    <row r="19" spans="1:38">
      <c r="A19" s="6" t="s">
        <v>169</v>
      </c>
      <c r="B19" s="348">
        <v>2.5000000372528999E-2</v>
      </c>
      <c r="C19" s="348">
        <v>2.70000007003546E-2</v>
      </c>
      <c r="D19" s="348">
        <v>2.70000007003546E-2</v>
      </c>
      <c r="E19" s="348">
        <v>2.70000007003546E-2</v>
      </c>
      <c r="F19" s="349">
        <v>2.9890902340412102E-2</v>
      </c>
      <c r="G19" s="293">
        <v>4.7E-2</v>
      </c>
      <c r="H19" s="293">
        <v>0.06</v>
      </c>
      <c r="I19" s="293">
        <v>0.12</v>
      </c>
      <c r="J19" s="293">
        <v>0.13300000000000001</v>
      </c>
      <c r="K19" s="293">
        <v>0.14593700000000001</v>
      </c>
      <c r="L19" s="293">
        <v>0.153697</v>
      </c>
      <c r="M19" s="293">
        <v>0.15364</v>
      </c>
      <c r="N19" s="293">
        <v>0.15429799999999999</v>
      </c>
      <c r="O19" s="293">
        <v>0.153447</v>
      </c>
      <c r="P19" s="293">
        <v>0.15229300000000001</v>
      </c>
      <c r="Q19" s="293">
        <v>0.147228</v>
      </c>
      <c r="R19" s="293">
        <v>0.13797699999999999</v>
      </c>
      <c r="S19" s="293">
        <v>0.134215</v>
      </c>
      <c r="T19" s="293">
        <v>0.132551</v>
      </c>
      <c r="U19" s="293">
        <v>0.13100500000000001</v>
      </c>
      <c r="V19" s="293">
        <v>0.12992400000000001</v>
      </c>
      <c r="W19" s="293">
        <v>0.129414</v>
      </c>
      <c r="X19" s="293">
        <v>0.12848499999999999</v>
      </c>
      <c r="Y19" s="293">
        <v>0.128441</v>
      </c>
      <c r="Z19" s="293">
        <v>0.129943</v>
      </c>
      <c r="AA19" s="293">
        <v>0.12945599999999999</v>
      </c>
      <c r="AB19" s="293">
        <v>0.12748399999999999</v>
      </c>
      <c r="AC19" s="293">
        <v>0.12575900000000001</v>
      </c>
      <c r="AD19" s="293">
        <v>0.12470100000000001</v>
      </c>
      <c r="AE19" s="293">
        <v>0.123445</v>
      </c>
      <c r="AF19" s="293">
        <v>0.123949</v>
      </c>
      <c r="AG19" s="293">
        <v>0.124137</v>
      </c>
      <c r="AH19" s="293">
        <v>0.124122</v>
      </c>
      <c r="AI19" s="293">
        <v>0.123821</v>
      </c>
      <c r="AJ19" s="293">
        <v>0.12371</v>
      </c>
      <c r="AK19" s="294">
        <v>2.5999999999999999E-2</v>
      </c>
    </row>
    <row r="20" spans="1:38">
      <c r="A20" s="6" t="s">
        <v>177</v>
      </c>
      <c r="B20" s="348">
        <v>4.80000004172325E-2</v>
      </c>
      <c r="C20" s="348">
        <v>8.79999995231628E-2</v>
      </c>
      <c r="D20" s="348">
        <v>-2.9999997466802601E-2</v>
      </c>
      <c r="E20" s="348">
        <v>1.9999999552965199E-2</v>
      </c>
      <c r="F20" s="349">
        <v>0</v>
      </c>
      <c r="G20" s="293">
        <v>0.26600000000000001</v>
      </c>
      <c r="H20" s="293">
        <v>8.6999999999999994E-2</v>
      </c>
      <c r="I20" s="293">
        <v>0.23400000000000001</v>
      </c>
      <c r="J20" s="293">
        <v>0.161</v>
      </c>
      <c r="K20" s="293">
        <v>0</v>
      </c>
      <c r="L20" s="293">
        <v>0</v>
      </c>
      <c r="M20" s="293">
        <v>0</v>
      </c>
      <c r="N20" s="293">
        <v>0</v>
      </c>
      <c r="O20" s="293">
        <v>0</v>
      </c>
      <c r="P20" s="293">
        <v>0</v>
      </c>
      <c r="Q20" s="293">
        <v>0</v>
      </c>
      <c r="R20" s="293">
        <v>0</v>
      </c>
      <c r="S20" s="293">
        <v>0</v>
      </c>
      <c r="T20" s="293">
        <v>0</v>
      </c>
      <c r="U20" s="293">
        <v>0</v>
      </c>
      <c r="V20" s="293">
        <v>0</v>
      </c>
      <c r="W20" s="293">
        <v>0</v>
      </c>
      <c r="X20" s="293">
        <v>0</v>
      </c>
      <c r="Y20" s="293">
        <v>0</v>
      </c>
      <c r="Z20" s="293">
        <v>0</v>
      </c>
      <c r="AA20" s="293">
        <v>0</v>
      </c>
      <c r="AB20" s="293">
        <v>0</v>
      </c>
      <c r="AC20" s="293">
        <v>0</v>
      </c>
      <c r="AD20" s="293">
        <v>0</v>
      </c>
      <c r="AE20" s="293">
        <v>0</v>
      </c>
      <c r="AF20" s="293">
        <v>0</v>
      </c>
      <c r="AG20" s="293">
        <v>0</v>
      </c>
      <c r="AH20" s="293">
        <v>0</v>
      </c>
      <c r="AI20" s="293">
        <v>0</v>
      </c>
      <c r="AJ20" s="293">
        <v>0</v>
      </c>
      <c r="AK20" s="293" t="s">
        <v>41</v>
      </c>
    </row>
    <row r="21" spans="1:38">
      <c r="A21" s="6" t="s">
        <v>176</v>
      </c>
      <c r="B21" s="348">
        <v>15.2430009841919</v>
      </c>
      <c r="C21" s="348">
        <v>15.158999443054199</v>
      </c>
      <c r="D21" s="348">
        <v>14.625</v>
      </c>
      <c r="E21" s="348">
        <v>14.3919486999512</v>
      </c>
      <c r="F21" s="349">
        <v>13.9286651611328</v>
      </c>
      <c r="G21" s="248">
        <v>14.811999999999999</v>
      </c>
      <c r="H21" s="248">
        <v>15.012999000000001</v>
      </c>
      <c r="I21" s="248">
        <v>15.317</v>
      </c>
      <c r="J21" s="248">
        <v>15.141800999999999</v>
      </c>
      <c r="K21" s="248">
        <v>15.203478</v>
      </c>
      <c r="L21" s="248">
        <v>15.309505</v>
      </c>
      <c r="M21" s="248">
        <v>15.371171</v>
      </c>
      <c r="N21" s="248">
        <v>15.384200999999999</v>
      </c>
      <c r="O21" s="248">
        <v>15.367167</v>
      </c>
      <c r="P21" s="248">
        <v>15.339613999999999</v>
      </c>
      <c r="Q21" s="248">
        <v>15.305448999999999</v>
      </c>
      <c r="R21" s="248">
        <v>15.231005</v>
      </c>
      <c r="S21" s="248">
        <v>15.165613</v>
      </c>
      <c r="T21" s="248">
        <v>15.108777</v>
      </c>
      <c r="U21" s="248">
        <v>15.05687</v>
      </c>
      <c r="V21" s="248">
        <v>15.020941000000001</v>
      </c>
      <c r="W21" s="248">
        <v>15.002621</v>
      </c>
      <c r="X21" s="248">
        <v>14.971308000000001</v>
      </c>
      <c r="Y21" s="248">
        <v>14.947302000000001</v>
      </c>
      <c r="Z21" s="248">
        <v>14.940206</v>
      </c>
      <c r="AA21" s="248">
        <v>14.939088999999999</v>
      </c>
      <c r="AB21" s="248">
        <v>14.935063</v>
      </c>
      <c r="AC21" s="248">
        <v>14.942383</v>
      </c>
      <c r="AD21" s="248">
        <v>14.982934999999999</v>
      </c>
      <c r="AE21" s="248">
        <v>15.021611999999999</v>
      </c>
      <c r="AF21" s="248">
        <v>15.058424</v>
      </c>
      <c r="AG21" s="248">
        <v>15.105885000000001</v>
      </c>
      <c r="AH21" s="248">
        <v>15.176966</v>
      </c>
      <c r="AI21" s="248">
        <v>15.192781</v>
      </c>
      <c r="AJ21" s="248">
        <v>15.222968</v>
      </c>
      <c r="AK21" s="249">
        <v>0</v>
      </c>
    </row>
    <row r="23" spans="1:38">
      <c r="A23" s="6" t="s">
        <v>175</v>
      </c>
    </row>
    <row r="24" spans="1:38" s="251" customFormat="1">
      <c r="A24" s="250" t="s">
        <v>174</v>
      </c>
      <c r="B24" s="348">
        <v>1.7380001544952399</v>
      </c>
      <c r="C24" s="348">
        <v>1.7829999923706099</v>
      </c>
      <c r="D24" s="348">
        <v>1.82499992847443</v>
      </c>
      <c r="E24" s="348">
        <v>1.81299996376038</v>
      </c>
      <c r="F24" s="349">
        <v>1.86609554290771</v>
      </c>
      <c r="G24" s="295">
        <v>2.2160000000000002</v>
      </c>
      <c r="H24" s="295">
        <v>2.4</v>
      </c>
      <c r="I24" s="295">
        <v>2.4900000000000002</v>
      </c>
      <c r="J24" s="295">
        <v>2.5089999999999999</v>
      </c>
      <c r="K24" s="295">
        <v>2.5561180000000001</v>
      </c>
      <c r="L24" s="295">
        <v>2.6337290000000002</v>
      </c>
      <c r="M24" s="295">
        <v>2.6633930000000001</v>
      </c>
      <c r="N24" s="295">
        <v>2.6705079999999999</v>
      </c>
      <c r="O24" s="295">
        <v>2.669905</v>
      </c>
      <c r="P24" s="295">
        <v>2.6458759999999999</v>
      </c>
      <c r="Q24" s="295">
        <v>2.60798</v>
      </c>
      <c r="R24" s="295">
        <v>2.7045080000000001</v>
      </c>
      <c r="S24" s="295">
        <v>2.7930269999999999</v>
      </c>
      <c r="T24" s="295">
        <v>2.8390249999999999</v>
      </c>
      <c r="U24" s="295">
        <v>2.8728980000000002</v>
      </c>
      <c r="V24" s="295">
        <v>2.9033150000000001</v>
      </c>
      <c r="W24" s="295">
        <v>2.9228930000000002</v>
      </c>
      <c r="X24" s="295">
        <v>2.9406509999999999</v>
      </c>
      <c r="Y24" s="295">
        <v>2.9505080000000001</v>
      </c>
      <c r="Z24" s="295">
        <v>2.978853</v>
      </c>
      <c r="AA24" s="295">
        <v>3.0103460000000002</v>
      </c>
      <c r="AB24" s="295">
        <v>3.0288490000000001</v>
      </c>
      <c r="AC24" s="295">
        <v>3.0383969999999998</v>
      </c>
      <c r="AD24" s="295">
        <v>3.0546120000000001</v>
      </c>
      <c r="AE24" s="295">
        <v>3.0492400000000002</v>
      </c>
      <c r="AF24" s="295">
        <v>3.0289980000000001</v>
      </c>
      <c r="AG24" s="295">
        <v>3.058621</v>
      </c>
      <c r="AH24" s="295">
        <v>3.037477</v>
      </c>
      <c r="AI24" s="295">
        <v>3.013617</v>
      </c>
      <c r="AJ24" s="295">
        <v>2.983552</v>
      </c>
      <c r="AK24" s="296">
        <v>8.0000000000000002E-3</v>
      </c>
    </row>
    <row r="25" spans="1:38">
      <c r="A25" s="6" t="s">
        <v>173</v>
      </c>
      <c r="B25" s="348">
        <v>2.3140001296997101</v>
      </c>
      <c r="C25" s="348">
        <v>2.0869998931884801</v>
      </c>
      <c r="D25" s="348">
        <v>1.29999995231628</v>
      </c>
      <c r="E25" s="348">
        <v>1.3280000686645499</v>
      </c>
      <c r="F25" s="349">
        <v>1.6039888858795199</v>
      </c>
      <c r="G25" s="293">
        <v>-0.252</v>
      </c>
      <c r="H25" s="293">
        <v>-0.91600000000000004</v>
      </c>
      <c r="I25" s="293">
        <v>-0.98799999999999999</v>
      </c>
      <c r="J25" s="293">
        <v>-1.0289999999999999</v>
      </c>
      <c r="K25" s="293">
        <v>-0.96462499999999995</v>
      </c>
      <c r="L25" s="293">
        <v>-0.94448699999999997</v>
      </c>
      <c r="M25" s="293">
        <v>-0.93183700000000003</v>
      </c>
      <c r="N25" s="293">
        <v>-0.91123600000000005</v>
      </c>
      <c r="O25" s="293">
        <v>-0.88706300000000005</v>
      </c>
      <c r="P25" s="293">
        <v>-0.85573100000000002</v>
      </c>
      <c r="Q25" s="293">
        <v>-0.83163799999999999</v>
      </c>
      <c r="R25" s="293">
        <v>-0.89107099999999995</v>
      </c>
      <c r="S25" s="293">
        <v>-0.94251600000000002</v>
      </c>
      <c r="T25" s="293">
        <v>-0.97565599999999997</v>
      </c>
      <c r="U25" s="293">
        <v>-1.0068220000000001</v>
      </c>
      <c r="V25" s="293">
        <v>-1.068271</v>
      </c>
      <c r="W25" s="293">
        <v>-1.122708</v>
      </c>
      <c r="X25" s="293">
        <v>-1.1588719999999999</v>
      </c>
      <c r="Y25" s="293">
        <v>-1.2142729999999999</v>
      </c>
      <c r="Z25" s="293">
        <v>-1.293569</v>
      </c>
      <c r="AA25" s="293">
        <v>-1.3683129999999999</v>
      </c>
      <c r="AB25" s="293">
        <v>-1.4270320000000001</v>
      </c>
      <c r="AC25" s="293">
        <v>-1.482378</v>
      </c>
      <c r="AD25" s="293">
        <v>-1.563064</v>
      </c>
      <c r="AE25" s="293">
        <v>-1.613156</v>
      </c>
      <c r="AF25" s="293">
        <v>-1.650264</v>
      </c>
      <c r="AG25" s="293">
        <v>-1.716191</v>
      </c>
      <c r="AH25" s="293">
        <v>-1.7615620000000001</v>
      </c>
      <c r="AI25" s="293">
        <v>-1.7771790000000001</v>
      </c>
      <c r="AJ25" s="293">
        <v>-1.816797</v>
      </c>
      <c r="AK25" s="294">
        <v>2.5000000000000001E-2</v>
      </c>
    </row>
    <row r="26" spans="1:38">
      <c r="A26" s="6" t="s">
        <v>172</v>
      </c>
      <c r="B26" s="348">
        <v>2.1710000038146999</v>
      </c>
      <c r="C26" s="348">
        <v>1.93800008296967</v>
      </c>
      <c r="D26" s="348">
        <v>1.0240000486373899</v>
      </c>
      <c r="E26" s="348">
        <v>1.06200003623962</v>
      </c>
      <c r="F26" s="349">
        <v>1.54514491558075</v>
      </c>
      <c r="G26" s="293">
        <v>1.151</v>
      </c>
      <c r="H26" s="293">
        <v>0.84799999999999998</v>
      </c>
      <c r="I26" s="293">
        <v>0.70899999999999996</v>
      </c>
      <c r="J26" s="293">
        <v>0.72</v>
      </c>
      <c r="K26" s="293">
        <v>0.81863200000000003</v>
      </c>
      <c r="L26" s="293">
        <v>0.88173000000000001</v>
      </c>
      <c r="M26" s="293">
        <v>0.906914</v>
      </c>
      <c r="N26" s="293">
        <v>0.93180099999999999</v>
      </c>
      <c r="O26" s="293">
        <v>0.95816500000000004</v>
      </c>
      <c r="P26" s="293">
        <v>0.97589599999999999</v>
      </c>
      <c r="Q26" s="293">
        <v>0.98990599999999995</v>
      </c>
      <c r="R26" s="293">
        <v>1.006778</v>
      </c>
      <c r="S26" s="293">
        <v>1.0199199999999999</v>
      </c>
      <c r="T26" s="293">
        <v>1.03091</v>
      </c>
      <c r="U26" s="293">
        <v>1.05515</v>
      </c>
      <c r="V26" s="293">
        <v>1.0587679999999999</v>
      </c>
      <c r="W26" s="293">
        <v>1.0657570000000001</v>
      </c>
      <c r="X26" s="293">
        <v>1.0659179999999999</v>
      </c>
      <c r="Y26" s="293">
        <v>1.061431</v>
      </c>
      <c r="Z26" s="293">
        <v>1.0560160000000001</v>
      </c>
      <c r="AA26" s="293">
        <v>1.05697</v>
      </c>
      <c r="AB26" s="293">
        <v>1.0702149999999999</v>
      </c>
      <c r="AC26" s="293">
        <v>1.072165</v>
      </c>
      <c r="AD26" s="293">
        <v>1.0766100000000001</v>
      </c>
      <c r="AE26" s="293">
        <v>1.0822270000000001</v>
      </c>
      <c r="AF26" s="293">
        <v>1.093154</v>
      </c>
      <c r="AG26" s="293">
        <v>1.095712</v>
      </c>
      <c r="AH26" s="293">
        <v>1.0972550000000001</v>
      </c>
      <c r="AI26" s="293">
        <v>1.1087450000000001</v>
      </c>
      <c r="AJ26" s="293">
        <v>1.0974060000000001</v>
      </c>
      <c r="AK26" s="294">
        <v>8.9999999999999993E-3</v>
      </c>
    </row>
    <row r="27" spans="1:38">
      <c r="A27" s="6" t="s">
        <v>171</v>
      </c>
      <c r="B27" s="348">
        <v>0.68900001049041704</v>
      </c>
      <c r="C27" s="348">
        <v>0.71700000762939498</v>
      </c>
      <c r="D27" s="348">
        <v>0.60663330554962203</v>
      </c>
      <c r="E27" s="348">
        <v>0.60996818542480502</v>
      </c>
      <c r="F27" s="349">
        <v>0.60277581214904796</v>
      </c>
      <c r="G27" s="293">
        <v>0.68700000000000006</v>
      </c>
      <c r="H27" s="293">
        <v>0.60299999999999998</v>
      </c>
      <c r="I27" s="293">
        <v>0.58599999999999997</v>
      </c>
      <c r="J27" s="293">
        <v>0.54400000000000004</v>
      </c>
      <c r="K27" s="293">
        <v>0.540385</v>
      </c>
      <c r="L27" s="293">
        <v>0.53676900000000005</v>
      </c>
      <c r="M27" s="293">
        <v>0.53315299999999999</v>
      </c>
      <c r="N27" s="293">
        <v>0.52953899999999998</v>
      </c>
      <c r="O27" s="293">
        <v>0.52592300000000003</v>
      </c>
      <c r="P27" s="293">
        <v>0.52230699999999997</v>
      </c>
      <c r="Q27" s="293">
        <v>0.51869299999999996</v>
      </c>
      <c r="R27" s="293">
        <v>0.51507700000000001</v>
      </c>
      <c r="S27" s="293">
        <v>0.51146100000000005</v>
      </c>
      <c r="T27" s="293">
        <v>0.50784600000000002</v>
      </c>
      <c r="U27" s="293">
        <v>0.50423099999999998</v>
      </c>
      <c r="V27" s="293">
        <v>0.50061500000000003</v>
      </c>
      <c r="W27" s="293">
        <v>0.497</v>
      </c>
      <c r="X27" s="293">
        <v>0.49338500000000002</v>
      </c>
      <c r="Y27" s="293">
        <v>0.48976900000000001</v>
      </c>
      <c r="Z27" s="293">
        <v>0.48615399999999998</v>
      </c>
      <c r="AA27" s="293">
        <v>0.48253800000000002</v>
      </c>
      <c r="AB27" s="293">
        <v>0.47892299999999999</v>
      </c>
      <c r="AC27" s="293">
        <v>0.47530800000000001</v>
      </c>
      <c r="AD27" s="293">
        <v>0.471692</v>
      </c>
      <c r="AE27" s="293">
        <v>0.46807700000000002</v>
      </c>
      <c r="AF27" s="293">
        <v>0.46446199999999999</v>
      </c>
      <c r="AG27" s="293">
        <v>0.46084599999999998</v>
      </c>
      <c r="AH27" s="293">
        <v>0.45723000000000003</v>
      </c>
      <c r="AI27" s="293">
        <v>0.45361600000000002</v>
      </c>
      <c r="AJ27" s="293">
        <v>0.45</v>
      </c>
      <c r="AK27" s="294">
        <v>-0.01</v>
      </c>
    </row>
    <row r="28" spans="1:38">
      <c r="A28" s="6" t="s">
        <v>170</v>
      </c>
      <c r="B28" s="348">
        <v>0.67700004577636697</v>
      </c>
      <c r="C28" s="348">
        <v>0.75300002098083496</v>
      </c>
      <c r="D28" s="348">
        <v>0.73199999332428001</v>
      </c>
      <c r="E28" s="348">
        <v>0.71799999475479104</v>
      </c>
      <c r="F28" s="349">
        <v>0.62520116567611705</v>
      </c>
      <c r="G28" s="293">
        <v>0.71799999999999997</v>
      </c>
      <c r="H28" s="293">
        <v>0.61599999999999999</v>
      </c>
      <c r="I28" s="293">
        <v>0.61</v>
      </c>
      <c r="J28" s="293">
        <v>0.6</v>
      </c>
      <c r="K28" s="293">
        <v>0.67105999999999999</v>
      </c>
      <c r="L28" s="293">
        <v>0.66229499999999997</v>
      </c>
      <c r="M28" s="293">
        <v>0.65169100000000002</v>
      </c>
      <c r="N28" s="293">
        <v>0.64020900000000003</v>
      </c>
      <c r="O28" s="293">
        <v>0.62541100000000005</v>
      </c>
      <c r="P28" s="293">
        <v>0.61513700000000004</v>
      </c>
      <c r="Q28" s="293">
        <v>0.606742</v>
      </c>
      <c r="R28" s="293">
        <v>0.595522</v>
      </c>
      <c r="S28" s="293">
        <v>0.58620099999999997</v>
      </c>
      <c r="T28" s="293">
        <v>0.57591400000000004</v>
      </c>
      <c r="U28" s="293">
        <v>0.55055799999999999</v>
      </c>
      <c r="V28" s="293">
        <v>0.53803599999999996</v>
      </c>
      <c r="W28" s="293">
        <v>0.524864</v>
      </c>
      <c r="X28" s="293">
        <v>0.51505000000000001</v>
      </c>
      <c r="Y28" s="293">
        <v>0.50508799999999998</v>
      </c>
      <c r="Z28" s="293">
        <v>0.49612200000000001</v>
      </c>
      <c r="AA28" s="293">
        <v>0.48664200000000002</v>
      </c>
      <c r="AB28" s="293">
        <v>0.47747699999999998</v>
      </c>
      <c r="AC28" s="293">
        <v>0.46830300000000002</v>
      </c>
      <c r="AD28" s="293">
        <v>0.45679599999999998</v>
      </c>
      <c r="AE28" s="293">
        <v>0.44836500000000001</v>
      </c>
      <c r="AF28" s="293">
        <v>0.43787900000000002</v>
      </c>
      <c r="AG28" s="293">
        <v>0.42837799999999998</v>
      </c>
      <c r="AH28" s="293">
        <v>0.41841600000000001</v>
      </c>
      <c r="AI28" s="293">
        <v>0.40845399999999998</v>
      </c>
      <c r="AJ28" s="293">
        <v>0.39849099999999998</v>
      </c>
      <c r="AK28" s="294">
        <v>-1.4999999999999999E-2</v>
      </c>
    </row>
    <row r="29" spans="1:38">
      <c r="A29" s="6" t="s">
        <v>169</v>
      </c>
      <c r="B29" s="348">
        <v>1.2150000333786</v>
      </c>
      <c r="C29" s="348">
        <v>1.32100009918213</v>
      </c>
      <c r="D29" s="348">
        <v>1.2150000333786</v>
      </c>
      <c r="E29" s="348">
        <v>1.2150000333786</v>
      </c>
      <c r="F29" s="349">
        <v>1.16913342475891</v>
      </c>
      <c r="G29" s="293">
        <v>2.8079999999999998</v>
      </c>
      <c r="H29" s="293">
        <v>2.9830000000000001</v>
      </c>
      <c r="I29" s="293">
        <v>2.8929999999999998</v>
      </c>
      <c r="J29" s="293">
        <v>2.8929999999999998</v>
      </c>
      <c r="K29" s="293">
        <v>2.9947010000000001</v>
      </c>
      <c r="L29" s="293">
        <v>3.0252810000000001</v>
      </c>
      <c r="M29" s="293">
        <v>3.023596</v>
      </c>
      <c r="N29" s="293">
        <v>3.0127839999999999</v>
      </c>
      <c r="O29" s="293">
        <v>2.9965619999999999</v>
      </c>
      <c r="P29" s="293">
        <v>2.9690720000000002</v>
      </c>
      <c r="Q29" s="293">
        <v>2.9469789999999998</v>
      </c>
      <c r="R29" s="293">
        <v>3.0084490000000002</v>
      </c>
      <c r="S29" s="293">
        <v>3.0600990000000001</v>
      </c>
      <c r="T29" s="293">
        <v>3.090325</v>
      </c>
      <c r="U29" s="293">
        <v>3.1167609999999999</v>
      </c>
      <c r="V29" s="293">
        <v>3.1656900000000001</v>
      </c>
      <c r="W29" s="293">
        <v>3.2103290000000002</v>
      </c>
      <c r="X29" s="293">
        <v>3.2332260000000002</v>
      </c>
      <c r="Y29" s="293">
        <v>3.2705609999999998</v>
      </c>
      <c r="Z29" s="293">
        <v>3.331861</v>
      </c>
      <c r="AA29" s="293">
        <v>3.3944640000000001</v>
      </c>
      <c r="AB29" s="293">
        <v>3.4536470000000001</v>
      </c>
      <c r="AC29" s="293">
        <v>3.498154</v>
      </c>
      <c r="AD29" s="293">
        <v>3.5681620000000001</v>
      </c>
      <c r="AE29" s="293">
        <v>3.6118250000000001</v>
      </c>
      <c r="AF29" s="293">
        <v>3.6457579999999998</v>
      </c>
      <c r="AG29" s="293">
        <v>3.7011270000000001</v>
      </c>
      <c r="AH29" s="293">
        <v>3.7344629999999999</v>
      </c>
      <c r="AI29" s="293">
        <v>3.7479930000000001</v>
      </c>
      <c r="AJ29" s="293">
        <v>3.7626949999999999</v>
      </c>
      <c r="AK29" s="294">
        <v>8.0000000000000002E-3</v>
      </c>
    </row>
    <row r="30" spans="1:38">
      <c r="A30" s="6" t="s">
        <v>168</v>
      </c>
      <c r="B30" s="348">
        <v>0.99400001764297496</v>
      </c>
      <c r="C30" s="348">
        <v>0.99599999189376798</v>
      </c>
      <c r="D30" s="348">
        <v>0.99699997901916504</v>
      </c>
      <c r="E30" s="348">
        <v>0.97899997234344505</v>
      </c>
      <c r="F30" s="349">
        <v>0.97222220897674605</v>
      </c>
      <c r="G30" s="293">
        <v>1.0760000000000001</v>
      </c>
      <c r="H30" s="293">
        <v>1.077</v>
      </c>
      <c r="I30" s="293">
        <v>1.0620000000000001</v>
      </c>
      <c r="J30" s="293">
        <v>1.0549999999999999</v>
      </c>
      <c r="K30" s="293">
        <v>1.1173770000000001</v>
      </c>
      <c r="L30" s="293">
        <v>1.107977</v>
      </c>
      <c r="M30" s="293">
        <v>1.1068800000000001</v>
      </c>
      <c r="N30" s="293">
        <v>1.1013949999999999</v>
      </c>
      <c r="O30" s="293">
        <v>1.0899559999999999</v>
      </c>
      <c r="P30" s="293">
        <v>1.0810919999999999</v>
      </c>
      <c r="Q30" s="293">
        <v>1.070587</v>
      </c>
      <c r="R30" s="293">
        <v>1.0513539999999999</v>
      </c>
      <c r="S30" s="293">
        <v>1.032008</v>
      </c>
      <c r="T30" s="293">
        <v>1.0139609999999999</v>
      </c>
      <c r="U30" s="293">
        <v>0.99733000000000005</v>
      </c>
      <c r="V30" s="293">
        <v>0.98163100000000003</v>
      </c>
      <c r="W30" s="293">
        <v>0.97328499999999996</v>
      </c>
      <c r="X30" s="293">
        <v>0.96382100000000004</v>
      </c>
      <c r="Y30" s="293">
        <v>0.95674199999999998</v>
      </c>
      <c r="Z30" s="293">
        <v>0.95704199999999995</v>
      </c>
      <c r="AA30" s="293">
        <v>0.95328999999999997</v>
      </c>
      <c r="AB30" s="293">
        <v>0.95369499999999996</v>
      </c>
      <c r="AC30" s="293">
        <v>0.949291</v>
      </c>
      <c r="AD30" s="293">
        <v>0.94474999999999998</v>
      </c>
      <c r="AE30" s="293">
        <v>0.94433999999999996</v>
      </c>
      <c r="AF30" s="293">
        <v>0.94618999999999998</v>
      </c>
      <c r="AG30" s="293">
        <v>0.94669300000000001</v>
      </c>
      <c r="AH30" s="293">
        <v>0.95018899999999995</v>
      </c>
      <c r="AI30" s="293">
        <v>0.95436399999999999</v>
      </c>
      <c r="AJ30" s="293">
        <v>0.95464199999999999</v>
      </c>
      <c r="AK30" s="294">
        <v>-4.0000000000000001E-3</v>
      </c>
    </row>
    <row r="31" spans="1:38">
      <c r="A31" s="6" t="s">
        <v>691</v>
      </c>
      <c r="B31" s="348">
        <v>0.40835106372833302</v>
      </c>
      <c r="C31" s="348">
        <v>0.74303030967712402</v>
      </c>
      <c r="D31" s="348">
        <v>0.90019965171813998</v>
      </c>
      <c r="E31" s="348">
        <v>0.90936332941055298</v>
      </c>
      <c r="F31" s="349">
        <v>1.2169610261917101</v>
      </c>
      <c r="G31" s="293">
        <v>0.87458199999999997</v>
      </c>
      <c r="H31" s="293">
        <v>0.88629000000000002</v>
      </c>
      <c r="I31" s="293">
        <v>0.91131799999999996</v>
      </c>
      <c r="J31" s="293">
        <v>0.94543999999999995</v>
      </c>
      <c r="K31" s="293">
        <v>0.95931299999999997</v>
      </c>
      <c r="L31" s="293">
        <v>0.96406000000000003</v>
      </c>
      <c r="M31" s="293">
        <v>0.97751200000000005</v>
      </c>
      <c r="N31" s="293">
        <v>0.98974300000000004</v>
      </c>
      <c r="O31" s="293">
        <v>1.0016430000000001</v>
      </c>
      <c r="P31" s="293">
        <v>1.014486</v>
      </c>
      <c r="Q31" s="293">
        <v>1.026421</v>
      </c>
      <c r="R31" s="293">
        <v>1.04257</v>
      </c>
      <c r="S31" s="293">
        <v>1.0409060000000001</v>
      </c>
      <c r="T31" s="293">
        <v>1.042815</v>
      </c>
      <c r="U31" s="293">
        <v>1.0410189999999999</v>
      </c>
      <c r="V31" s="293">
        <v>1.0405869999999999</v>
      </c>
      <c r="W31" s="293">
        <v>1.0406690000000001</v>
      </c>
      <c r="X31" s="293">
        <v>1.0407820000000001</v>
      </c>
      <c r="Y31" s="293">
        <v>1.0402199999999999</v>
      </c>
      <c r="Z31" s="293">
        <v>1.0406690000000001</v>
      </c>
      <c r="AA31" s="293">
        <v>1.0418559999999999</v>
      </c>
      <c r="AB31" s="293">
        <v>1.0410980000000001</v>
      </c>
      <c r="AC31" s="293">
        <v>1.041115</v>
      </c>
      <c r="AD31" s="293">
        <v>1.0421020000000001</v>
      </c>
      <c r="AE31" s="293">
        <v>1.0415099999999999</v>
      </c>
      <c r="AF31" s="293">
        <v>1.039404</v>
      </c>
      <c r="AG31" s="293">
        <v>1.038624</v>
      </c>
      <c r="AH31" s="293">
        <v>1.041671</v>
      </c>
      <c r="AI31" s="293">
        <v>1.0532999999999999</v>
      </c>
      <c r="AJ31" s="293">
        <v>1.0676890000000001</v>
      </c>
      <c r="AK31" s="294">
        <v>7.0000000000000001E-3</v>
      </c>
    </row>
    <row r="32" spans="1:38" s="18" customFormat="1">
      <c r="A32" s="17" t="s">
        <v>167</v>
      </c>
      <c r="B32" s="350">
        <v>0.31900000572204601</v>
      </c>
      <c r="C32" s="350">
        <v>0.42500001192092901</v>
      </c>
      <c r="D32" s="350">
        <v>0.60299998521804798</v>
      </c>
      <c r="E32" s="350">
        <v>0.68500006198883101</v>
      </c>
      <c r="F32" s="351">
        <v>0.84147453308105502</v>
      </c>
      <c r="G32" s="293">
        <v>0.81834200000000001</v>
      </c>
      <c r="H32" s="293">
        <v>0.82725800000000005</v>
      </c>
      <c r="I32" s="293">
        <v>0.825187</v>
      </c>
      <c r="J32" s="293">
        <v>0.85004199999999996</v>
      </c>
      <c r="K32" s="293">
        <v>0.865282</v>
      </c>
      <c r="L32" s="293">
        <v>0.869251</v>
      </c>
      <c r="M32" s="293">
        <v>0.88145200000000001</v>
      </c>
      <c r="N32" s="293">
        <v>0.88586200000000004</v>
      </c>
      <c r="O32" s="293">
        <v>0.88890000000000002</v>
      </c>
      <c r="P32" s="293">
        <v>0.89585899999999996</v>
      </c>
      <c r="Q32" s="293">
        <v>0.89987200000000001</v>
      </c>
      <c r="R32" s="293">
        <v>0.91550900000000002</v>
      </c>
      <c r="S32" s="293">
        <v>0.91492399999999996</v>
      </c>
      <c r="T32" s="293">
        <v>0.91555299999999995</v>
      </c>
      <c r="U32" s="293">
        <v>0.91523600000000005</v>
      </c>
      <c r="V32" s="293">
        <v>0.91508800000000001</v>
      </c>
      <c r="W32" s="293">
        <v>0.91518600000000006</v>
      </c>
      <c r="X32" s="293">
        <v>0.91533399999999998</v>
      </c>
      <c r="Y32" s="293">
        <v>0.91476000000000002</v>
      </c>
      <c r="Z32" s="293">
        <v>0.91483099999999995</v>
      </c>
      <c r="AA32" s="293">
        <v>0.91463499999999998</v>
      </c>
      <c r="AB32" s="293">
        <v>0.91389500000000001</v>
      </c>
      <c r="AC32" s="293">
        <v>0.91388999999999998</v>
      </c>
      <c r="AD32" s="293">
        <v>0.91484699999999997</v>
      </c>
      <c r="AE32" s="293">
        <v>0.91425800000000002</v>
      </c>
      <c r="AF32" s="293">
        <v>0.91217999999999999</v>
      </c>
      <c r="AG32" s="293">
        <v>0.91165499999999999</v>
      </c>
      <c r="AH32" s="293">
        <v>0.91445399999999999</v>
      </c>
      <c r="AI32" s="293">
        <v>0.92887299999999995</v>
      </c>
      <c r="AJ32" s="293">
        <v>0.94600499999999998</v>
      </c>
      <c r="AK32" s="294">
        <v>5.0000000000000001E-3</v>
      </c>
      <c r="AL32" s="51">
        <f>C32*(1+AK32)^23</f>
        <v>0.4766596202229666</v>
      </c>
    </row>
    <row r="33" spans="1:38" s="18" customFormat="1">
      <c r="A33" s="17" t="s">
        <v>165</v>
      </c>
      <c r="B33" s="350">
        <v>0.273288995027542</v>
      </c>
      <c r="C33" s="350">
        <v>0.40336400270461997</v>
      </c>
      <c r="D33" s="350">
        <v>0.58252400159835804</v>
      </c>
      <c r="E33" s="350">
        <v>0.68972003459930398</v>
      </c>
      <c r="F33" s="351">
        <v>0.84179353713989302</v>
      </c>
      <c r="G33" s="293">
        <v>0.88597599999999999</v>
      </c>
      <c r="H33" s="293">
        <v>0.84365599999999996</v>
      </c>
      <c r="I33" s="293">
        <v>0.83595299999999995</v>
      </c>
      <c r="J33" s="293">
        <v>0.86998399999999998</v>
      </c>
      <c r="K33" s="293">
        <v>0.82013999999999998</v>
      </c>
      <c r="L33" s="293">
        <v>0.82233599999999996</v>
      </c>
      <c r="M33" s="293">
        <v>0.83316999999999997</v>
      </c>
      <c r="N33" s="293">
        <v>0.834866</v>
      </c>
      <c r="O33" s="293">
        <v>0.83494199999999996</v>
      </c>
      <c r="P33" s="293">
        <v>0.84040599999999999</v>
      </c>
      <c r="Q33" s="293">
        <v>0.83868500000000001</v>
      </c>
      <c r="R33" s="293">
        <v>0.84875</v>
      </c>
      <c r="S33" s="293">
        <v>0.85439200000000004</v>
      </c>
      <c r="T33" s="293">
        <v>0.85437700000000005</v>
      </c>
      <c r="U33" s="293">
        <v>0.85438800000000004</v>
      </c>
      <c r="V33" s="293">
        <v>0.85439200000000004</v>
      </c>
      <c r="W33" s="293">
        <v>0.85523000000000005</v>
      </c>
      <c r="X33" s="293">
        <v>0.85584700000000002</v>
      </c>
      <c r="Y33" s="293">
        <v>0.85583500000000001</v>
      </c>
      <c r="Z33" s="293">
        <v>0.85584700000000002</v>
      </c>
      <c r="AA33" s="293">
        <v>0.85584700000000002</v>
      </c>
      <c r="AB33" s="293">
        <v>0.85583500000000001</v>
      </c>
      <c r="AC33" s="293">
        <v>0.85583500000000001</v>
      </c>
      <c r="AD33" s="293">
        <v>0.85583500000000001</v>
      </c>
      <c r="AE33" s="293">
        <v>0.85358400000000001</v>
      </c>
      <c r="AF33" s="293">
        <v>0.84983299999999995</v>
      </c>
      <c r="AG33" s="293">
        <v>0.84757499999999997</v>
      </c>
      <c r="AH33" s="293">
        <v>0.84855400000000003</v>
      </c>
      <c r="AI33" s="293">
        <v>0.85902400000000001</v>
      </c>
      <c r="AJ33" s="293">
        <v>0.86278500000000002</v>
      </c>
      <c r="AK33" s="294">
        <v>1E-3</v>
      </c>
      <c r="AL33" s="51" t="s">
        <v>0</v>
      </c>
    </row>
    <row r="34" spans="1:38">
      <c r="A34" s="6" t="s">
        <v>164</v>
      </c>
      <c r="B34" s="348">
        <v>4.5710995793342597E-2</v>
      </c>
      <c r="C34" s="348">
        <v>2.1635998040437698E-2</v>
      </c>
      <c r="D34" s="348">
        <v>2.0475998520851101E-2</v>
      </c>
      <c r="E34" s="348">
        <v>-4.7199996188283001E-3</v>
      </c>
      <c r="F34" s="349">
        <v>-3.1897879671305402E-4</v>
      </c>
      <c r="G34" s="293">
        <v>-6.6753999999999994E-2</v>
      </c>
      <c r="H34" s="293">
        <v>-1.6397999999999999E-2</v>
      </c>
      <c r="I34" s="293">
        <v>-1.0766E-2</v>
      </c>
      <c r="J34" s="293">
        <v>-1.9942000000000001E-2</v>
      </c>
      <c r="K34" s="293">
        <v>4.5142000000000002E-2</v>
      </c>
      <c r="L34" s="293">
        <v>4.6915999999999999E-2</v>
      </c>
      <c r="M34" s="293">
        <v>4.8281999999999999E-2</v>
      </c>
      <c r="N34" s="293">
        <v>5.0996E-2</v>
      </c>
      <c r="O34" s="293">
        <v>5.3957999999999999E-2</v>
      </c>
      <c r="P34" s="293">
        <v>5.5452000000000001E-2</v>
      </c>
      <c r="Q34" s="293">
        <v>6.1186999999999998E-2</v>
      </c>
      <c r="R34" s="293">
        <v>6.6758999999999999E-2</v>
      </c>
      <c r="S34" s="293">
        <v>6.0532000000000002E-2</v>
      </c>
      <c r="T34" s="293">
        <v>6.1176000000000001E-2</v>
      </c>
      <c r="U34" s="293">
        <v>6.0847999999999999E-2</v>
      </c>
      <c r="V34" s="293">
        <v>6.0696E-2</v>
      </c>
      <c r="W34" s="293">
        <v>5.9957000000000003E-2</v>
      </c>
      <c r="X34" s="293">
        <v>5.9486999999999998E-2</v>
      </c>
      <c r="Y34" s="293">
        <v>5.8924999999999998E-2</v>
      </c>
      <c r="Z34" s="293">
        <v>5.8984000000000002E-2</v>
      </c>
      <c r="AA34" s="293">
        <v>5.8788E-2</v>
      </c>
      <c r="AB34" s="293">
        <v>5.806E-2</v>
      </c>
      <c r="AC34" s="293">
        <v>5.8056000000000003E-2</v>
      </c>
      <c r="AD34" s="293">
        <v>5.9012000000000002E-2</v>
      </c>
      <c r="AE34" s="293">
        <v>6.0673999999999999E-2</v>
      </c>
      <c r="AF34" s="293">
        <v>6.2348000000000001E-2</v>
      </c>
      <c r="AG34" s="293">
        <v>6.4079999999999998E-2</v>
      </c>
      <c r="AH34" s="293">
        <v>6.59E-2</v>
      </c>
      <c r="AI34" s="293">
        <v>6.9848999999999994E-2</v>
      </c>
      <c r="AJ34" s="293">
        <v>8.3220000000000002E-2</v>
      </c>
      <c r="AK34" s="293" t="s">
        <v>41</v>
      </c>
    </row>
    <row r="35" spans="1:38" s="18" customFormat="1">
      <c r="A35" s="17" t="s">
        <v>166</v>
      </c>
      <c r="B35" s="350">
        <v>1.6338998451829002E-2</v>
      </c>
      <c r="C35" s="350">
        <v>3.2029997557401699E-2</v>
      </c>
      <c r="D35" s="350">
        <v>5.1199223846197101E-2</v>
      </c>
      <c r="E35" s="350">
        <v>6.0358572751283597E-2</v>
      </c>
      <c r="F35" s="351">
        <v>6.3932694494724301E-2</v>
      </c>
      <c r="G35" s="293">
        <v>5.6239999999999998E-2</v>
      </c>
      <c r="H35" s="293">
        <v>5.9032000000000001E-2</v>
      </c>
      <c r="I35" s="293">
        <v>8.6099999999999996E-2</v>
      </c>
      <c r="J35" s="293">
        <v>9.0199000000000001E-2</v>
      </c>
      <c r="K35" s="293">
        <v>9.0070999999999998E-2</v>
      </c>
      <c r="L35" s="293">
        <v>8.6830000000000004E-2</v>
      </c>
      <c r="M35" s="293">
        <v>8.6858000000000005E-2</v>
      </c>
      <c r="N35" s="293">
        <v>8.5750999999999994E-2</v>
      </c>
      <c r="O35" s="293">
        <v>8.7317000000000006E-2</v>
      </c>
      <c r="P35" s="293">
        <v>8.8449E-2</v>
      </c>
      <c r="Q35" s="293">
        <v>8.8486999999999996E-2</v>
      </c>
      <c r="R35" s="293">
        <v>8.8999999999999996E-2</v>
      </c>
      <c r="S35" s="293">
        <v>8.8025000000000006E-2</v>
      </c>
      <c r="T35" s="293">
        <v>8.9304999999999995E-2</v>
      </c>
      <c r="U35" s="293">
        <v>8.7721999999999994E-2</v>
      </c>
      <c r="V35" s="293">
        <v>8.7541999999999995E-2</v>
      </c>
      <c r="W35" s="293">
        <v>8.7525000000000006E-2</v>
      </c>
      <c r="X35" s="293">
        <v>8.7489999999999998E-2</v>
      </c>
      <c r="Y35" s="293">
        <v>8.7501999999999996E-2</v>
      </c>
      <c r="Z35" s="293">
        <v>8.788E-2</v>
      </c>
      <c r="AA35" s="293">
        <v>8.9262999999999995E-2</v>
      </c>
      <c r="AB35" s="293">
        <v>8.9245000000000005E-2</v>
      </c>
      <c r="AC35" s="293">
        <v>8.9370000000000005E-2</v>
      </c>
      <c r="AD35" s="293">
        <v>8.9401999999999995E-2</v>
      </c>
      <c r="AE35" s="293">
        <v>8.9397000000000004E-2</v>
      </c>
      <c r="AF35" s="293">
        <v>8.9370000000000005E-2</v>
      </c>
      <c r="AG35" s="293">
        <v>8.9115E-2</v>
      </c>
      <c r="AH35" s="293">
        <v>8.9362999999999998E-2</v>
      </c>
      <c r="AI35" s="293">
        <v>8.9108000000000007E-2</v>
      </c>
      <c r="AJ35" s="293">
        <v>8.9448E-2</v>
      </c>
      <c r="AK35" s="293" t="s">
        <v>41</v>
      </c>
    </row>
    <row r="36" spans="1:38" s="18" customFormat="1">
      <c r="A36" s="17" t="s">
        <v>165</v>
      </c>
      <c r="B36" s="350">
        <v>1.6338998451829002E-2</v>
      </c>
      <c r="C36" s="350">
        <v>3.2029997557401699E-2</v>
      </c>
      <c r="D36" s="350">
        <v>5.1199223846197101E-2</v>
      </c>
      <c r="E36" s="350">
        <v>6.0358572751283597E-2</v>
      </c>
      <c r="F36" s="351">
        <v>6.3932694494724301E-2</v>
      </c>
      <c r="G36" s="293">
        <v>6.3100000000000003E-2</v>
      </c>
      <c r="H36" s="293">
        <v>6.3100000000000003E-2</v>
      </c>
      <c r="I36" s="293">
        <v>8.1100000000000005E-2</v>
      </c>
      <c r="J36" s="293">
        <v>8.7099999999999997E-2</v>
      </c>
      <c r="K36" s="293">
        <v>7.9580999999999999E-2</v>
      </c>
      <c r="L36" s="293">
        <v>7.6044E-2</v>
      </c>
      <c r="M36" s="293">
        <v>7.5939000000000006E-2</v>
      </c>
      <c r="N36" s="293">
        <v>7.4647000000000005E-2</v>
      </c>
      <c r="O36" s="293">
        <v>7.6071E-2</v>
      </c>
      <c r="P36" s="293">
        <v>7.6998999999999998E-2</v>
      </c>
      <c r="Q36" s="293">
        <v>7.6729000000000006E-2</v>
      </c>
      <c r="R36" s="293">
        <v>7.7030000000000001E-2</v>
      </c>
      <c r="S36" s="293">
        <v>7.5851000000000002E-2</v>
      </c>
      <c r="T36" s="293">
        <v>7.7146000000000006E-2</v>
      </c>
      <c r="U36" s="293">
        <v>7.5544E-2</v>
      </c>
      <c r="V36" s="293">
        <v>7.5385999999999995E-2</v>
      </c>
      <c r="W36" s="293">
        <v>7.5385999999999995E-2</v>
      </c>
      <c r="X36" s="293">
        <v>7.5385999999999995E-2</v>
      </c>
      <c r="Y36" s="293">
        <v>7.5385999999999995E-2</v>
      </c>
      <c r="Z36" s="293">
        <v>7.5749999999999998E-2</v>
      </c>
      <c r="AA36" s="293">
        <v>7.7146000000000006E-2</v>
      </c>
      <c r="AB36" s="293">
        <v>7.7146000000000006E-2</v>
      </c>
      <c r="AC36" s="293">
        <v>7.7260999999999996E-2</v>
      </c>
      <c r="AD36" s="293">
        <v>7.7260999999999996E-2</v>
      </c>
      <c r="AE36" s="293">
        <v>7.7260999999999996E-2</v>
      </c>
      <c r="AF36" s="293">
        <v>7.7260999999999996E-2</v>
      </c>
      <c r="AG36" s="293">
        <v>7.7010999999999996E-2</v>
      </c>
      <c r="AH36" s="293">
        <v>7.7260999999999996E-2</v>
      </c>
      <c r="AI36" s="293">
        <v>7.7010999999999996E-2</v>
      </c>
      <c r="AJ36" s="293">
        <v>7.7376E-2</v>
      </c>
      <c r="AK36" s="294">
        <v>7.0000000000000001E-3</v>
      </c>
    </row>
    <row r="37" spans="1:38">
      <c r="A37" s="6" t="s">
        <v>164</v>
      </c>
      <c r="B37" s="348">
        <v>0</v>
      </c>
      <c r="C37" s="348">
        <v>0</v>
      </c>
      <c r="D37" s="348">
        <v>0</v>
      </c>
      <c r="E37" s="348">
        <v>0</v>
      </c>
      <c r="F37" s="349">
        <v>0</v>
      </c>
      <c r="G37" s="293">
        <v>-3.4629999999999999E-3</v>
      </c>
      <c r="H37" s="293">
        <v>-4.0679999999999996E-3</v>
      </c>
      <c r="I37" s="293">
        <v>5.0000000000000001E-3</v>
      </c>
      <c r="J37" s="293">
        <v>3.0990000000000002E-3</v>
      </c>
      <c r="K37" s="293">
        <v>1.0489999999999999E-2</v>
      </c>
      <c r="L37" s="293">
        <v>1.0786E-2</v>
      </c>
      <c r="M37" s="293">
        <v>1.0919E-2</v>
      </c>
      <c r="N37" s="293">
        <v>1.1103999999999999E-2</v>
      </c>
      <c r="O37" s="293">
        <v>1.1247E-2</v>
      </c>
      <c r="P37" s="293">
        <v>1.145E-2</v>
      </c>
      <c r="Q37" s="293">
        <v>1.1757999999999999E-2</v>
      </c>
      <c r="R37" s="293">
        <v>1.197E-2</v>
      </c>
      <c r="S37" s="293">
        <v>1.2174000000000001E-2</v>
      </c>
      <c r="T37" s="293">
        <v>1.2159E-2</v>
      </c>
      <c r="U37" s="293">
        <v>1.2178E-2</v>
      </c>
      <c r="V37" s="293">
        <v>1.2154999999999999E-2</v>
      </c>
      <c r="W37" s="293">
        <v>1.2139E-2</v>
      </c>
      <c r="X37" s="293">
        <v>1.2104E-2</v>
      </c>
      <c r="Y37" s="293">
        <v>1.2116E-2</v>
      </c>
      <c r="Z37" s="293">
        <v>1.2130999999999999E-2</v>
      </c>
      <c r="AA37" s="293">
        <v>1.2118E-2</v>
      </c>
      <c r="AB37" s="293">
        <v>1.21E-2</v>
      </c>
      <c r="AC37" s="293">
        <v>1.2109999999999999E-2</v>
      </c>
      <c r="AD37" s="293">
        <v>1.2141000000000001E-2</v>
      </c>
      <c r="AE37" s="293">
        <v>1.2137E-2</v>
      </c>
      <c r="AF37" s="293">
        <v>1.2109E-2</v>
      </c>
      <c r="AG37" s="293">
        <v>1.2102999999999999E-2</v>
      </c>
      <c r="AH37" s="293">
        <v>1.2102E-2</v>
      </c>
      <c r="AI37" s="293">
        <v>1.2096000000000001E-2</v>
      </c>
      <c r="AJ37" s="293">
        <v>1.2071999999999999E-2</v>
      </c>
      <c r="AK37" s="293" t="s">
        <v>41</v>
      </c>
    </row>
    <row r="38" spans="1:38">
      <c r="A38" s="6" t="s">
        <v>163</v>
      </c>
      <c r="B38" s="348">
        <v>0</v>
      </c>
      <c r="C38" s="348">
        <v>0</v>
      </c>
      <c r="D38" s="348">
        <v>0</v>
      </c>
      <c r="E38" s="348">
        <v>0</v>
      </c>
      <c r="F38" s="349">
        <v>0</v>
      </c>
      <c r="G38" s="293">
        <v>2.2160000000000002</v>
      </c>
      <c r="H38" s="293">
        <v>2.4</v>
      </c>
      <c r="I38" s="293">
        <v>2.4900000000000002</v>
      </c>
      <c r="J38" s="293">
        <v>2.5089999999999999</v>
      </c>
      <c r="K38" s="293">
        <v>2.5561180000000001</v>
      </c>
      <c r="L38" s="293">
        <v>2.6337290000000002</v>
      </c>
      <c r="M38" s="293">
        <v>2.6633930000000001</v>
      </c>
      <c r="N38" s="293">
        <v>2.6705079999999999</v>
      </c>
      <c r="O38" s="293">
        <v>2.669905</v>
      </c>
      <c r="P38" s="293">
        <v>2.6458759999999999</v>
      </c>
      <c r="Q38" s="293">
        <v>2.60798</v>
      </c>
      <c r="R38" s="293">
        <v>2.7045080000000001</v>
      </c>
      <c r="S38" s="293">
        <v>2.7930269999999999</v>
      </c>
      <c r="T38" s="293">
        <v>2.8390249999999999</v>
      </c>
      <c r="U38" s="293">
        <v>2.8728980000000002</v>
      </c>
      <c r="V38" s="293">
        <v>2.9033150000000001</v>
      </c>
      <c r="W38" s="293">
        <v>2.9228930000000002</v>
      </c>
      <c r="X38" s="293">
        <v>2.9406509999999999</v>
      </c>
      <c r="Y38" s="293">
        <v>2.9505080000000001</v>
      </c>
      <c r="Z38" s="293">
        <v>2.978853</v>
      </c>
      <c r="AA38" s="293">
        <v>3.0103460000000002</v>
      </c>
      <c r="AB38" s="293">
        <v>3.0288490000000001</v>
      </c>
      <c r="AC38" s="293">
        <v>3.0383969999999998</v>
      </c>
      <c r="AD38" s="293">
        <v>3.0546120000000001</v>
      </c>
      <c r="AE38" s="293">
        <v>3.0492400000000002</v>
      </c>
      <c r="AF38" s="293">
        <v>3.0289980000000001</v>
      </c>
      <c r="AG38" s="293">
        <v>3.058621</v>
      </c>
      <c r="AH38" s="293">
        <v>3.037477</v>
      </c>
      <c r="AI38" s="293">
        <v>3.013617</v>
      </c>
      <c r="AJ38" s="293">
        <v>2.983552</v>
      </c>
      <c r="AK38" s="294">
        <v>8.0000000000000002E-3</v>
      </c>
    </row>
    <row r="39" spans="1:38">
      <c r="A39" s="6" t="s">
        <v>162</v>
      </c>
      <c r="B39" s="348">
        <v>0</v>
      </c>
      <c r="C39" s="348">
        <v>0</v>
      </c>
      <c r="D39" s="348">
        <v>0</v>
      </c>
      <c r="E39" s="348">
        <v>0</v>
      </c>
      <c r="F39" s="349">
        <v>0</v>
      </c>
      <c r="G39" s="293">
        <v>0</v>
      </c>
      <c r="H39" s="293">
        <v>0</v>
      </c>
      <c r="I39" s="293">
        <v>0</v>
      </c>
      <c r="J39" s="293">
        <v>0</v>
      </c>
      <c r="K39" s="293">
        <v>0</v>
      </c>
      <c r="L39" s="293">
        <v>0</v>
      </c>
      <c r="M39" s="293">
        <v>0</v>
      </c>
      <c r="N39" s="293">
        <v>0</v>
      </c>
      <c r="O39" s="293">
        <v>0</v>
      </c>
      <c r="P39" s="293">
        <v>0</v>
      </c>
      <c r="Q39" s="293">
        <v>0</v>
      </c>
      <c r="R39" s="293">
        <v>0</v>
      </c>
      <c r="S39" s="293">
        <v>0</v>
      </c>
      <c r="T39" s="293">
        <v>0</v>
      </c>
      <c r="U39" s="293">
        <v>0</v>
      </c>
      <c r="V39" s="293">
        <v>0</v>
      </c>
      <c r="W39" s="293">
        <v>0</v>
      </c>
      <c r="X39" s="293">
        <v>0</v>
      </c>
      <c r="Y39" s="293">
        <v>0</v>
      </c>
      <c r="Z39" s="293">
        <v>0</v>
      </c>
      <c r="AA39" s="293">
        <v>0</v>
      </c>
      <c r="AB39" s="293">
        <v>0</v>
      </c>
      <c r="AC39" s="293">
        <v>0</v>
      </c>
      <c r="AD39" s="293">
        <v>0</v>
      </c>
      <c r="AE39" s="293">
        <v>0</v>
      </c>
      <c r="AF39" s="293">
        <v>0</v>
      </c>
      <c r="AG39" s="293">
        <v>0</v>
      </c>
      <c r="AH39" s="293">
        <v>0</v>
      </c>
      <c r="AI39" s="293">
        <v>0</v>
      </c>
      <c r="AJ39" s="293">
        <v>0</v>
      </c>
      <c r="AK39" s="293" t="s">
        <v>41</v>
      </c>
    </row>
    <row r="40" spans="1:38" s="270" customFormat="1">
      <c r="A40" s="269" t="s">
        <v>161</v>
      </c>
      <c r="B40" s="350">
        <v>0</v>
      </c>
      <c r="C40" s="350">
        <v>0</v>
      </c>
      <c r="D40" s="350">
        <v>0</v>
      </c>
      <c r="E40" s="350">
        <v>0</v>
      </c>
      <c r="F40" s="351">
        <v>0</v>
      </c>
      <c r="G40" s="301">
        <v>0</v>
      </c>
      <c r="H40" s="301">
        <v>3.4809526987373799E-3</v>
      </c>
      <c r="I40" s="301">
        <v>5.2319555543363103E-3</v>
      </c>
      <c r="J40" s="301">
        <v>7.8436248004436493E-3</v>
      </c>
      <c r="K40" s="301">
        <v>1.17142805829644E-2</v>
      </c>
      <c r="L40" s="301">
        <v>1.7396988347172699E-2</v>
      </c>
      <c r="M40" s="301">
        <v>2.5625614449381801E-2</v>
      </c>
      <c r="N40" s="301">
        <v>3.7305567413568497E-2</v>
      </c>
      <c r="O40" s="301">
        <v>5.34236840903759E-2</v>
      </c>
      <c r="P40" s="301">
        <v>7.4822284281253801E-2</v>
      </c>
      <c r="Q40" s="301">
        <v>0.10181753337383299</v>
      </c>
      <c r="R40" s="301">
        <v>0.133762747049332</v>
      </c>
      <c r="S40" s="301">
        <v>0.16882437467575101</v>
      </c>
      <c r="T40" s="301">
        <v>0.204265296459198</v>
      </c>
      <c r="U40" s="301">
        <v>0.237230360507965</v>
      </c>
      <c r="V40" s="301">
        <v>0.26560345292091397</v>
      </c>
      <c r="W40" s="301">
        <v>0.28843852877616899</v>
      </c>
      <c r="X40" s="301">
        <v>0.30584391951561002</v>
      </c>
      <c r="Y40" s="301">
        <v>0.31856861710548401</v>
      </c>
      <c r="Z40" s="301">
        <v>0.32759037613868702</v>
      </c>
      <c r="AA40" s="301"/>
      <c r="AB40" s="301"/>
      <c r="AC40" s="301"/>
      <c r="AD40" s="301"/>
      <c r="AE40" s="301"/>
      <c r="AF40" s="301"/>
      <c r="AG40" s="301"/>
      <c r="AH40" s="301"/>
      <c r="AI40" s="301"/>
      <c r="AJ40" s="301"/>
      <c r="AK40" s="302" t="s">
        <v>41</v>
      </c>
    </row>
    <row r="41" spans="1:38">
      <c r="A41" s="6" t="s">
        <v>692</v>
      </c>
      <c r="B41" s="348">
        <v>7.3012053966522203E-2</v>
      </c>
      <c r="C41" s="348">
        <v>0.28600034117698703</v>
      </c>
      <c r="D41" s="348">
        <v>0.24600045382976499</v>
      </c>
      <c r="E41" s="348">
        <v>0.16400466859340701</v>
      </c>
      <c r="F41" s="349">
        <v>0.31155380606651301</v>
      </c>
      <c r="G41" s="293">
        <v>0.182</v>
      </c>
      <c r="H41" s="293">
        <v>0.191</v>
      </c>
      <c r="I41" s="293">
        <v>0.193</v>
      </c>
      <c r="J41" s="293">
        <v>0.193</v>
      </c>
      <c r="K41" s="293">
        <v>0.28578500000000001</v>
      </c>
      <c r="L41" s="293">
        <v>0.28816599999999998</v>
      </c>
      <c r="M41" s="293">
        <v>0.290412</v>
      </c>
      <c r="N41" s="293">
        <v>0.29299799999999998</v>
      </c>
      <c r="O41" s="293">
        <v>0.293852</v>
      </c>
      <c r="P41" s="293">
        <v>0.29503000000000001</v>
      </c>
      <c r="Q41" s="293">
        <v>0.298292</v>
      </c>
      <c r="R41" s="293">
        <v>0.29944399999999999</v>
      </c>
      <c r="S41" s="293">
        <v>0.29972700000000002</v>
      </c>
      <c r="T41" s="293">
        <v>0.301095</v>
      </c>
      <c r="U41" s="293">
        <v>0.30102299999999999</v>
      </c>
      <c r="V41" s="293">
        <v>0.30064000000000002</v>
      </c>
      <c r="W41" s="293">
        <v>0.30251600000000001</v>
      </c>
      <c r="X41" s="293">
        <v>0.30219699999999999</v>
      </c>
      <c r="Y41" s="293">
        <v>0.30013899999999999</v>
      </c>
      <c r="Z41" s="293">
        <v>0.30297200000000002</v>
      </c>
      <c r="AA41" s="293">
        <v>0.30451</v>
      </c>
      <c r="AB41" s="293">
        <v>0.306419</v>
      </c>
      <c r="AC41" s="293">
        <v>0.30664000000000002</v>
      </c>
      <c r="AD41" s="293">
        <v>0.30698399999999998</v>
      </c>
      <c r="AE41" s="293">
        <v>0.308342</v>
      </c>
      <c r="AF41" s="293">
        <v>0.30915900000000002</v>
      </c>
      <c r="AG41" s="293">
        <v>0.30972699999999997</v>
      </c>
      <c r="AH41" s="293">
        <v>0.31073899999999999</v>
      </c>
      <c r="AI41" s="293">
        <v>0.31163999999999997</v>
      </c>
      <c r="AJ41" s="293">
        <v>0.31290899999999999</v>
      </c>
      <c r="AK41" s="294">
        <v>1.7999999999999999E-2</v>
      </c>
    </row>
    <row r="42" spans="1:38">
      <c r="G42" s="297"/>
      <c r="H42" s="297"/>
      <c r="I42" s="297"/>
      <c r="J42" s="297"/>
      <c r="K42" s="297"/>
      <c r="L42" s="297"/>
      <c r="M42" s="297"/>
      <c r="N42" s="297"/>
      <c r="O42" s="297"/>
      <c r="P42" s="297"/>
      <c r="Q42" s="297"/>
      <c r="R42" s="297"/>
      <c r="S42" s="297"/>
      <c r="T42" s="297"/>
      <c r="U42" s="297"/>
      <c r="V42" s="297"/>
      <c r="W42" s="297"/>
      <c r="X42" s="297"/>
      <c r="Y42" s="297"/>
      <c r="Z42" s="297"/>
      <c r="AA42" s="297"/>
      <c r="AB42" s="297"/>
      <c r="AC42" s="297"/>
      <c r="AD42" s="297"/>
      <c r="AE42" s="297"/>
      <c r="AF42" s="297"/>
      <c r="AG42" s="297"/>
      <c r="AH42" s="297"/>
      <c r="AI42" s="297"/>
      <c r="AJ42" s="297"/>
      <c r="AK42" s="297"/>
    </row>
    <row r="43" spans="1:38" s="18" customFormat="1">
      <c r="A43" s="17" t="s">
        <v>693</v>
      </c>
      <c r="B43" s="350">
        <v>20.697353363037099</v>
      </c>
      <c r="C43" s="350">
        <v>20.768030166626001</v>
      </c>
      <c r="D43" s="350">
        <v>19.647199630737301</v>
      </c>
      <c r="E43" s="350">
        <v>19.421310424804702</v>
      </c>
      <c r="F43" s="351">
        <v>19.587932586669901</v>
      </c>
      <c r="G43" s="248">
        <v>18.938583000000001</v>
      </c>
      <c r="H43" s="248">
        <v>18.592289000000001</v>
      </c>
      <c r="I43" s="248">
        <v>18.985319</v>
      </c>
      <c r="J43" s="248">
        <v>18.815241</v>
      </c>
      <c r="K43" s="248">
        <v>19.157446</v>
      </c>
      <c r="L43" s="248">
        <v>19.35895</v>
      </c>
      <c r="M43" s="248">
        <v>19.477530000000002</v>
      </c>
      <c r="N43" s="248">
        <v>19.527609000000002</v>
      </c>
      <c r="O43" s="248">
        <v>19.535461000000002</v>
      </c>
      <c r="P43" s="248">
        <v>19.520367</v>
      </c>
      <c r="Q43" s="248">
        <v>19.477088999999999</v>
      </c>
      <c r="R43" s="248">
        <v>19.437809000000001</v>
      </c>
      <c r="S43" s="248">
        <v>19.388767000000001</v>
      </c>
      <c r="T43" s="248">
        <v>19.330017000000002</v>
      </c>
      <c r="U43" s="248">
        <v>19.262318</v>
      </c>
      <c r="V43" s="248">
        <v>19.178843000000001</v>
      </c>
      <c r="W43" s="248">
        <v>19.119274000000001</v>
      </c>
      <c r="X43" s="248">
        <v>19.059887</v>
      </c>
      <c r="Y43" s="248">
        <v>18.980637000000002</v>
      </c>
      <c r="Z43" s="248">
        <v>18.926172000000001</v>
      </c>
      <c r="AA43" s="248">
        <v>18.880776999999998</v>
      </c>
      <c r="AB43" s="248">
        <v>18.838093000000001</v>
      </c>
      <c r="AC43" s="248">
        <v>18.795445999999998</v>
      </c>
      <c r="AD43" s="248">
        <v>18.768318000000001</v>
      </c>
      <c r="AE43" s="248">
        <v>18.751888000000001</v>
      </c>
      <c r="AF43" s="248">
        <v>18.731911</v>
      </c>
      <c r="AG43" s="248">
        <v>18.743359000000002</v>
      </c>
      <c r="AH43" s="248">
        <v>18.755479999999999</v>
      </c>
      <c r="AI43" s="248">
        <v>18.748524</v>
      </c>
      <c r="AJ43" s="248">
        <v>18.724962000000001</v>
      </c>
      <c r="AK43" s="249">
        <v>0</v>
      </c>
    </row>
    <row r="44" spans="1:38" s="259" customFormat="1">
      <c r="A44" s="258" t="s">
        <v>196</v>
      </c>
      <c r="B44" s="352">
        <f t="shared" ref="B44:H44" si="0">B43*365</f>
        <v>7554.5339775085413</v>
      </c>
      <c r="C44" s="352">
        <f t="shared" si="0"/>
        <v>7580.3310108184905</v>
      </c>
      <c r="D44" s="352">
        <f t="shared" si="0"/>
        <v>7171.2278652191153</v>
      </c>
      <c r="E44" s="352">
        <f t="shared" si="0"/>
        <v>7088.7783050537164</v>
      </c>
      <c r="F44" s="353">
        <f t="shared" si="0"/>
        <v>7149.5953941345133</v>
      </c>
      <c r="G44" s="303">
        <f t="shared" si="0"/>
        <v>6912.5827950000003</v>
      </c>
      <c r="H44" s="303">
        <f t="shared" si="0"/>
        <v>6786.185485</v>
      </c>
      <c r="I44" s="303">
        <f t="shared" ref="I44:AJ44" si="1">I43*365</f>
        <v>6929.6414350000005</v>
      </c>
      <c r="J44" s="303">
        <f t="shared" si="1"/>
        <v>6867.5629650000001</v>
      </c>
      <c r="K44" s="303">
        <f t="shared" si="1"/>
        <v>6992.4677899999997</v>
      </c>
      <c r="L44" s="303">
        <f t="shared" si="1"/>
        <v>7066.0167499999998</v>
      </c>
      <c r="M44" s="303">
        <f t="shared" si="1"/>
        <v>7109.2984500000002</v>
      </c>
      <c r="N44" s="303">
        <f t="shared" si="1"/>
        <v>7127.5772850000003</v>
      </c>
      <c r="O44" s="303">
        <f t="shared" si="1"/>
        <v>7130.4432650000008</v>
      </c>
      <c r="P44" s="303">
        <f t="shared" si="1"/>
        <v>7124.9339550000004</v>
      </c>
      <c r="Q44" s="303">
        <f t="shared" si="1"/>
        <v>7109.1374850000002</v>
      </c>
      <c r="R44" s="303">
        <f t="shared" si="1"/>
        <v>7094.8002850000003</v>
      </c>
      <c r="S44" s="303">
        <f t="shared" si="1"/>
        <v>7076.8999550000008</v>
      </c>
      <c r="T44" s="303">
        <f t="shared" si="1"/>
        <v>7055.4562050000004</v>
      </c>
      <c r="U44" s="303">
        <f t="shared" si="1"/>
        <v>7030.7460700000001</v>
      </c>
      <c r="V44" s="303">
        <f t="shared" si="1"/>
        <v>7000.2776949999998</v>
      </c>
      <c r="W44" s="303">
        <f t="shared" si="1"/>
        <v>6978.5350100000005</v>
      </c>
      <c r="X44" s="303">
        <f t="shared" si="1"/>
        <v>6956.8587550000002</v>
      </c>
      <c r="Y44" s="303">
        <f t="shared" si="1"/>
        <v>6927.9325050000007</v>
      </c>
      <c r="Z44" s="303">
        <f t="shared" si="1"/>
        <v>6908.05278</v>
      </c>
      <c r="AA44" s="303">
        <f t="shared" si="1"/>
        <v>6891.4836049999994</v>
      </c>
      <c r="AB44" s="303">
        <f t="shared" si="1"/>
        <v>6875.903945</v>
      </c>
      <c r="AC44" s="303">
        <f t="shared" si="1"/>
        <v>6860.3377899999996</v>
      </c>
      <c r="AD44" s="303">
        <f t="shared" si="1"/>
        <v>6850.4360700000007</v>
      </c>
      <c r="AE44" s="303">
        <f t="shared" si="1"/>
        <v>6844.43912</v>
      </c>
      <c r="AF44" s="303">
        <f t="shared" si="1"/>
        <v>6837.1475149999997</v>
      </c>
      <c r="AG44" s="303">
        <f t="shared" si="1"/>
        <v>6841.326035000001</v>
      </c>
      <c r="AH44" s="303">
        <f t="shared" si="1"/>
        <v>6845.7501999999995</v>
      </c>
      <c r="AI44" s="303">
        <f t="shared" si="1"/>
        <v>6843.21126</v>
      </c>
      <c r="AJ44" s="303">
        <f t="shared" si="1"/>
        <v>6834.6111300000002</v>
      </c>
      <c r="AK44" s="304"/>
    </row>
    <row r="45" spans="1:38" s="263" customFormat="1">
      <c r="A45" s="262" t="s">
        <v>187</v>
      </c>
      <c r="B45" s="354">
        <f>SUM(B33,B36,B40)</f>
        <v>0.28962799347937102</v>
      </c>
      <c r="C45" s="354">
        <f t="shared" ref="C45:AJ45" si="2">SUM(C33,C36,C40)</f>
        <v>0.43539400026202169</v>
      </c>
      <c r="D45" s="354">
        <f t="shared" si="2"/>
        <v>0.63372322544455517</v>
      </c>
      <c r="E45" s="354">
        <f t="shared" si="2"/>
        <v>0.75007860735058762</v>
      </c>
      <c r="F45" s="355">
        <f t="shared" si="2"/>
        <v>0.9057262316346173</v>
      </c>
      <c r="G45" s="305">
        <f t="shared" si="2"/>
        <v>0.94907600000000003</v>
      </c>
      <c r="H45" s="305">
        <f t="shared" si="2"/>
        <v>0.91023695269873739</v>
      </c>
      <c r="I45" s="305">
        <f t="shared" si="2"/>
        <v>0.92228495555433621</v>
      </c>
      <c r="J45" s="305">
        <f t="shared" si="2"/>
        <v>0.96492762480044358</v>
      </c>
      <c r="K45" s="305">
        <f t="shared" si="2"/>
        <v>0.91143528058296441</v>
      </c>
      <c r="L45" s="305">
        <f t="shared" si="2"/>
        <v>0.91577698834717269</v>
      </c>
      <c r="M45" s="305">
        <f t="shared" si="2"/>
        <v>0.93473461444938177</v>
      </c>
      <c r="N45" s="305">
        <f t="shared" si="2"/>
        <v>0.94681856741356851</v>
      </c>
      <c r="O45" s="305">
        <f t="shared" si="2"/>
        <v>0.96443668409037586</v>
      </c>
      <c r="P45" s="305">
        <f t="shared" si="2"/>
        <v>0.99222728428125384</v>
      </c>
      <c r="Q45" s="305">
        <f t="shared" si="2"/>
        <v>1.0172315333738331</v>
      </c>
      <c r="R45" s="305">
        <f t="shared" si="2"/>
        <v>1.0595427470493322</v>
      </c>
      <c r="S45" s="305">
        <f t="shared" si="2"/>
        <v>1.0990673746757511</v>
      </c>
      <c r="T45" s="305">
        <f t="shared" si="2"/>
        <v>1.1357882964591981</v>
      </c>
      <c r="U45" s="305">
        <f t="shared" si="2"/>
        <v>1.1671623605079651</v>
      </c>
      <c r="V45" s="305">
        <f t="shared" si="2"/>
        <v>1.1953814529209139</v>
      </c>
      <c r="W45" s="305">
        <f t="shared" si="2"/>
        <v>1.2190545287761689</v>
      </c>
      <c r="X45" s="305">
        <f t="shared" si="2"/>
        <v>1.2370769195156099</v>
      </c>
      <c r="Y45" s="305">
        <f t="shared" si="2"/>
        <v>1.2497896171054839</v>
      </c>
      <c r="Z45" s="305">
        <f t="shared" si="2"/>
        <v>1.2591873761386871</v>
      </c>
      <c r="AA45" s="305">
        <f t="shared" si="2"/>
        <v>0.93299300000000007</v>
      </c>
      <c r="AB45" s="305">
        <f t="shared" si="2"/>
        <v>0.93298100000000006</v>
      </c>
      <c r="AC45" s="305">
        <f t="shared" si="2"/>
        <v>0.93309600000000004</v>
      </c>
      <c r="AD45" s="305">
        <f t="shared" si="2"/>
        <v>0.93309600000000004</v>
      </c>
      <c r="AE45" s="305">
        <f t="shared" si="2"/>
        <v>0.93084500000000003</v>
      </c>
      <c r="AF45" s="305">
        <f t="shared" si="2"/>
        <v>0.92709399999999997</v>
      </c>
      <c r="AG45" s="305">
        <f t="shared" si="2"/>
        <v>0.92458599999999991</v>
      </c>
      <c r="AH45" s="305">
        <f t="shared" si="2"/>
        <v>0.92581500000000005</v>
      </c>
      <c r="AI45" s="305">
        <f t="shared" si="2"/>
        <v>0.93603499999999995</v>
      </c>
      <c r="AJ45" s="305">
        <f t="shared" si="2"/>
        <v>0.94016100000000002</v>
      </c>
      <c r="AK45" s="306"/>
    </row>
    <row r="46" spans="1:38" s="259" customFormat="1">
      <c r="A46" s="264" t="s">
        <v>193</v>
      </c>
      <c r="B46" s="350">
        <f>B45*365</f>
        <v>105.71421761997043</v>
      </c>
      <c r="C46" s="350">
        <f t="shared" ref="C46:AJ46" si="3">C45*365</f>
        <v>158.91881009563792</v>
      </c>
      <c r="D46" s="350">
        <f t="shared" si="3"/>
        <v>231.30897728726265</v>
      </c>
      <c r="E46" s="350">
        <f t="shared" si="3"/>
        <v>273.77869168296451</v>
      </c>
      <c r="F46" s="351">
        <f t="shared" si="3"/>
        <v>330.59007454663532</v>
      </c>
      <c r="G46" s="307">
        <f t="shared" si="3"/>
        <v>346.41273999999999</v>
      </c>
      <c r="H46" s="307">
        <f t="shared" si="3"/>
        <v>332.23648773503913</v>
      </c>
      <c r="I46" s="307">
        <f t="shared" si="3"/>
        <v>336.63400877733272</v>
      </c>
      <c r="J46" s="307">
        <f t="shared" si="3"/>
        <v>352.19858305216189</v>
      </c>
      <c r="K46" s="307">
        <f t="shared" si="3"/>
        <v>332.67387741278202</v>
      </c>
      <c r="L46" s="307">
        <f t="shared" si="3"/>
        <v>334.25860074671806</v>
      </c>
      <c r="M46" s="307">
        <f t="shared" si="3"/>
        <v>341.17813427402433</v>
      </c>
      <c r="N46" s="307">
        <f t="shared" si="3"/>
        <v>345.58877710595249</v>
      </c>
      <c r="O46" s="307">
        <f t="shared" si="3"/>
        <v>352.0193896929872</v>
      </c>
      <c r="P46" s="307">
        <f t="shared" si="3"/>
        <v>362.16295876265764</v>
      </c>
      <c r="Q46" s="307">
        <f t="shared" si="3"/>
        <v>371.28950968144909</v>
      </c>
      <c r="R46" s="307">
        <f t="shared" si="3"/>
        <v>386.73310267300621</v>
      </c>
      <c r="S46" s="307">
        <f t="shared" si="3"/>
        <v>401.15959175664915</v>
      </c>
      <c r="T46" s="307">
        <f t="shared" si="3"/>
        <v>414.56272820760728</v>
      </c>
      <c r="U46" s="307">
        <f t="shared" si="3"/>
        <v>426.01426158540727</v>
      </c>
      <c r="V46" s="307">
        <f t="shared" si="3"/>
        <v>436.3142303161336</v>
      </c>
      <c r="W46" s="307">
        <f t="shared" si="3"/>
        <v>444.95490300330164</v>
      </c>
      <c r="X46" s="307">
        <f t="shared" si="3"/>
        <v>451.53307562319765</v>
      </c>
      <c r="Y46" s="307">
        <f t="shared" si="3"/>
        <v>456.17321024350161</v>
      </c>
      <c r="Z46" s="307">
        <f t="shared" si="3"/>
        <v>459.60339229062083</v>
      </c>
      <c r="AA46" s="307">
        <f t="shared" si="3"/>
        <v>340.54244500000004</v>
      </c>
      <c r="AB46" s="307">
        <f t="shared" si="3"/>
        <v>340.53806500000002</v>
      </c>
      <c r="AC46" s="307">
        <f t="shared" si="3"/>
        <v>340.58004</v>
      </c>
      <c r="AD46" s="307">
        <f t="shared" si="3"/>
        <v>340.58004</v>
      </c>
      <c r="AE46" s="307">
        <f t="shared" si="3"/>
        <v>339.75842499999999</v>
      </c>
      <c r="AF46" s="307">
        <f t="shared" si="3"/>
        <v>338.38930999999997</v>
      </c>
      <c r="AG46" s="307">
        <f t="shared" si="3"/>
        <v>337.47388999999998</v>
      </c>
      <c r="AH46" s="307">
        <f t="shared" si="3"/>
        <v>337.92247500000002</v>
      </c>
      <c r="AI46" s="307">
        <f t="shared" si="3"/>
        <v>341.65277499999996</v>
      </c>
      <c r="AJ46" s="307">
        <f t="shared" si="3"/>
        <v>343.15876500000002</v>
      </c>
      <c r="AK46" s="304"/>
    </row>
    <row r="47" spans="1:38" s="259" customFormat="1">
      <c r="A47" s="264" t="s">
        <v>192</v>
      </c>
      <c r="B47" s="350"/>
      <c r="C47" s="356">
        <f>C46/B46-1</f>
        <v>0.50328700976562524</v>
      </c>
      <c r="D47" s="356">
        <f t="shared" ref="D47:Z47" si="4">D46/C46-1</f>
        <v>0.45551667010381003</v>
      </c>
      <c r="E47" s="356">
        <f t="shared" si="4"/>
        <v>0.1836059927019551</v>
      </c>
      <c r="F47" s="357">
        <f t="shared" si="4"/>
        <v>0.20750841679621423</v>
      </c>
      <c r="G47" s="308"/>
      <c r="H47" s="308">
        <f t="shared" si="4"/>
        <v>-4.0923010698050155E-2</v>
      </c>
      <c r="I47" s="308">
        <f t="shared" si="4"/>
        <v>1.32361170570785E-2</v>
      </c>
      <c r="J47" s="308">
        <f t="shared" si="4"/>
        <v>4.6235893786727766E-2</v>
      </c>
      <c r="K47" s="308">
        <f t="shared" si="4"/>
        <v>-5.5436638813757488E-2</v>
      </c>
      <c r="L47" s="308">
        <f t="shared" si="4"/>
        <v>4.7635941428900708E-3</v>
      </c>
      <c r="M47" s="308">
        <f t="shared" si="4"/>
        <v>2.0701138315807999E-2</v>
      </c>
      <c r="N47" s="308">
        <f t="shared" si="4"/>
        <v>1.2927683191988004E-2</v>
      </c>
      <c r="O47" s="308">
        <f t="shared" si="4"/>
        <v>1.8607700866001275E-2</v>
      </c>
      <c r="P47" s="308">
        <f t="shared" si="4"/>
        <v>2.8815370308201249E-2</v>
      </c>
      <c r="Q47" s="308">
        <f t="shared" si="4"/>
        <v>2.5200122480699472E-2</v>
      </c>
      <c r="R47" s="308">
        <f t="shared" si="4"/>
        <v>4.1594477055942436E-2</v>
      </c>
      <c r="S47" s="308">
        <f t="shared" si="4"/>
        <v>3.730347618016272E-2</v>
      </c>
      <c r="T47" s="308">
        <f t="shared" si="4"/>
        <v>3.3410983375137038E-2</v>
      </c>
      <c r="U47" s="308">
        <f t="shared" si="4"/>
        <v>2.762316194538661E-2</v>
      </c>
      <c r="V47" s="308">
        <f t="shared" si="4"/>
        <v>2.4177520941188968E-2</v>
      </c>
      <c r="W47" s="308">
        <f t="shared" si="4"/>
        <v>1.9803783802575969E-2</v>
      </c>
      <c r="X47" s="308">
        <f t="shared" si="4"/>
        <v>1.4783908606232909E-2</v>
      </c>
      <c r="Y47" s="308">
        <f t="shared" si="4"/>
        <v>1.0276400270123665E-2</v>
      </c>
      <c r="Z47" s="308">
        <f t="shared" si="4"/>
        <v>7.5194728013252554E-3</v>
      </c>
      <c r="AA47" s="308">
        <f t="shared" ref="AA47:AJ47" si="5">AA46/Z46-1</f>
        <v>-0.25905149806930716</v>
      </c>
      <c r="AB47" s="308">
        <f t="shared" si="5"/>
        <v>-1.2861832832666842E-5</v>
      </c>
      <c r="AC47" s="308">
        <f t="shared" si="5"/>
        <v>1.2326081667257682E-4</v>
      </c>
      <c r="AD47" s="308">
        <f t="shared" si="5"/>
        <v>0</v>
      </c>
      <c r="AE47" s="308">
        <f t="shared" si="5"/>
        <v>-2.412399152927458E-3</v>
      </c>
      <c r="AF47" s="308">
        <f t="shared" si="5"/>
        <v>-4.0296719647202606E-3</v>
      </c>
      <c r="AG47" s="308">
        <f t="shared" si="5"/>
        <v>-2.7052273016543449E-3</v>
      </c>
      <c r="AH47" s="308">
        <f t="shared" si="5"/>
        <v>1.3292435749623355E-3</v>
      </c>
      <c r="AI47" s="308">
        <f t="shared" si="5"/>
        <v>1.1038922462910827E-2</v>
      </c>
      <c r="AJ47" s="308">
        <f t="shared" si="5"/>
        <v>4.4079548307489613E-3</v>
      </c>
      <c r="AK47" s="304"/>
    </row>
    <row r="48" spans="1:38" s="265" customFormat="1">
      <c r="A48" s="262" t="s">
        <v>195</v>
      </c>
      <c r="B48" s="358">
        <f>SUM(B33,B36,B40)/B43</f>
        <v>1.3993479668594277E-2</v>
      </c>
      <c r="C48" s="358">
        <f t="shared" ref="C48:AJ48" si="6">SUM(C33,C36,C40)/C43</f>
        <v>2.0964626725248844E-2</v>
      </c>
      <c r="D48" s="358">
        <f t="shared" si="6"/>
        <v>3.2255142582921545E-2</v>
      </c>
      <c r="E48" s="358">
        <f t="shared" si="6"/>
        <v>3.8621421054708789E-2</v>
      </c>
      <c r="F48" s="359">
        <f t="shared" si="6"/>
        <v>4.6238990645239793E-2</v>
      </c>
      <c r="G48" s="309">
        <f t="shared" si="6"/>
        <v>5.0113358533740354E-2</v>
      </c>
      <c r="H48" s="309">
        <f t="shared" si="6"/>
        <v>4.8957766991398283E-2</v>
      </c>
      <c r="I48" s="309">
        <f t="shared" si="6"/>
        <v>4.8578849560248959E-2</v>
      </c>
      <c r="J48" s="309">
        <f t="shared" si="6"/>
        <v>5.1284361693822764E-2</v>
      </c>
      <c r="K48" s="309">
        <f t="shared" si="6"/>
        <v>4.7576032869045506E-2</v>
      </c>
      <c r="L48" s="309">
        <f t="shared" si="6"/>
        <v>4.7305096007127075E-2</v>
      </c>
      <c r="M48" s="309">
        <f t="shared" si="6"/>
        <v>4.7990408149769591E-2</v>
      </c>
      <c r="N48" s="309">
        <f t="shared" si="6"/>
        <v>4.8486149400757073E-2</v>
      </c>
      <c r="O48" s="309">
        <f t="shared" si="6"/>
        <v>4.9368514215783074E-2</v>
      </c>
      <c r="P48" s="309">
        <f t="shared" si="6"/>
        <v>5.0830360119830421E-2</v>
      </c>
      <c r="Q48" s="309">
        <f t="shared" si="6"/>
        <v>5.2227082464624625E-2</v>
      </c>
      <c r="R48" s="310">
        <f t="shared" si="6"/>
        <v>5.4509371249060634E-2</v>
      </c>
      <c r="S48" s="309">
        <f t="shared" si="6"/>
        <v>5.6685779692733994E-2</v>
      </c>
      <c r="T48" s="309">
        <f t="shared" si="6"/>
        <v>5.8757749486676503E-2</v>
      </c>
      <c r="U48" s="309">
        <f t="shared" si="6"/>
        <v>6.059303768673973E-2</v>
      </c>
      <c r="V48" s="309">
        <f t="shared" si="6"/>
        <v>6.2328131729370427E-2</v>
      </c>
      <c r="W48" s="309">
        <f t="shared" si="6"/>
        <v>6.3760503080617439E-2</v>
      </c>
      <c r="X48" s="309">
        <f t="shared" si="6"/>
        <v>6.4904735244002754E-2</v>
      </c>
      <c r="Y48" s="309">
        <f t="shared" si="6"/>
        <v>6.5845504400378327E-2</v>
      </c>
      <c r="Z48" s="310">
        <f t="shared" si="6"/>
        <v>6.6531540352623181E-2</v>
      </c>
      <c r="AA48" s="310">
        <f t="shared" si="6"/>
        <v>4.9414968462367842E-2</v>
      </c>
      <c r="AB48" s="310">
        <f t="shared" si="6"/>
        <v>4.9526297592861444E-2</v>
      </c>
      <c r="AC48" s="310">
        <f t="shared" si="6"/>
        <v>4.9644791616011673E-2</v>
      </c>
      <c r="AD48" s="310">
        <f t="shared" si="6"/>
        <v>4.9716548920366761E-2</v>
      </c>
      <c r="AE48" s="310">
        <f t="shared" si="6"/>
        <v>4.9640068242728409E-2</v>
      </c>
      <c r="AF48" s="310">
        <f t="shared" si="6"/>
        <v>4.9492761309831122E-2</v>
      </c>
      <c r="AG48" s="310">
        <f t="shared" si="6"/>
        <v>4.932872490998011E-2</v>
      </c>
      <c r="AH48" s="310">
        <f t="shared" si="6"/>
        <v>4.9362373023777592E-2</v>
      </c>
      <c r="AI48" s="310">
        <f t="shared" si="6"/>
        <v>4.9925796825392763E-2</v>
      </c>
      <c r="AJ48" s="310">
        <f t="shared" si="6"/>
        <v>5.0208967046234856E-2</v>
      </c>
      <c r="AK48" s="311"/>
    </row>
    <row r="49" spans="1:37" s="265" customFormat="1">
      <c r="A49" s="265" t="s">
        <v>186</v>
      </c>
      <c r="B49" s="360">
        <f>B33*365 * 42/1000</f>
        <v>4.1895202937722189</v>
      </c>
      <c r="C49" s="360">
        <f t="shared" ref="C49:AJ49" si="7">C33*365 * 42/1000</f>
        <v>6.1835701614618239</v>
      </c>
      <c r="D49" s="360">
        <f t="shared" si="7"/>
        <v>8.9300929445028281</v>
      </c>
      <c r="E49" s="360">
        <f t="shared" si="7"/>
        <v>10.57340813040733</v>
      </c>
      <c r="F49" s="361">
        <f t="shared" si="7"/>
        <v>12.90469492435456</v>
      </c>
      <c r="G49" s="312">
        <f t="shared" si="7"/>
        <v>13.58201208</v>
      </c>
      <c r="H49" s="312">
        <f t="shared" si="7"/>
        <v>12.933246479999999</v>
      </c>
      <c r="I49" s="312">
        <f t="shared" si="7"/>
        <v>12.815159489999999</v>
      </c>
      <c r="J49" s="312">
        <f t="shared" si="7"/>
        <v>13.33685472</v>
      </c>
      <c r="K49" s="312">
        <f t="shared" si="7"/>
        <v>12.572746199999999</v>
      </c>
      <c r="L49" s="312">
        <f t="shared" si="7"/>
        <v>12.606410879999997</v>
      </c>
      <c r="M49" s="312">
        <f t="shared" si="7"/>
        <v>12.7724961</v>
      </c>
      <c r="N49" s="312">
        <f t="shared" si="7"/>
        <v>12.79849578</v>
      </c>
      <c r="O49" s="312">
        <f t="shared" si="7"/>
        <v>12.799660859999999</v>
      </c>
      <c r="P49" s="312">
        <f t="shared" si="7"/>
        <v>12.883423980000002</v>
      </c>
      <c r="Q49" s="312">
        <f t="shared" si="7"/>
        <v>12.857041049999999</v>
      </c>
      <c r="R49" s="312">
        <f t="shared" si="7"/>
        <v>13.0113375</v>
      </c>
      <c r="S49" s="312">
        <f t="shared" si="7"/>
        <v>13.097829360000002</v>
      </c>
      <c r="T49" s="312">
        <f t="shared" si="7"/>
        <v>13.097599410000003</v>
      </c>
      <c r="U49" s="312">
        <f t="shared" si="7"/>
        <v>13.09776804</v>
      </c>
      <c r="V49" s="312">
        <f t="shared" si="7"/>
        <v>13.097829360000002</v>
      </c>
      <c r="W49" s="312">
        <f t="shared" si="7"/>
        <v>13.1106759</v>
      </c>
      <c r="X49" s="312">
        <f t="shared" si="7"/>
        <v>13.120134510000002</v>
      </c>
      <c r="Y49" s="312">
        <f t="shared" si="7"/>
        <v>13.11995055</v>
      </c>
      <c r="Z49" s="312">
        <f t="shared" si="7"/>
        <v>13.120134510000002</v>
      </c>
      <c r="AA49" s="312">
        <f t="shared" si="7"/>
        <v>13.120134510000002</v>
      </c>
      <c r="AB49" s="312">
        <f t="shared" si="7"/>
        <v>13.11995055</v>
      </c>
      <c r="AC49" s="312">
        <f t="shared" si="7"/>
        <v>13.11995055</v>
      </c>
      <c r="AD49" s="312">
        <f t="shared" si="7"/>
        <v>13.11995055</v>
      </c>
      <c r="AE49" s="312">
        <f t="shared" si="7"/>
        <v>13.08544272</v>
      </c>
      <c r="AF49" s="312">
        <f t="shared" si="7"/>
        <v>13.027939889999997</v>
      </c>
      <c r="AG49" s="312">
        <f t="shared" si="7"/>
        <v>12.993324749999999</v>
      </c>
      <c r="AH49" s="312">
        <f t="shared" si="7"/>
        <v>13.008332820000001</v>
      </c>
      <c r="AI49" s="312">
        <f t="shared" si="7"/>
        <v>13.168837920000001</v>
      </c>
      <c r="AJ49" s="312">
        <f t="shared" si="7"/>
        <v>13.226494050000001</v>
      </c>
      <c r="AK49" s="313"/>
    </row>
    <row r="50" spans="1:37">
      <c r="A50" s="6" t="s">
        <v>160</v>
      </c>
      <c r="R50" s="299" t="s">
        <v>0</v>
      </c>
    </row>
    <row r="51" spans="1:37">
      <c r="A51" s="6" t="s">
        <v>159</v>
      </c>
    </row>
    <row r="52" spans="1:37">
      <c r="A52" s="6" t="s">
        <v>695</v>
      </c>
      <c r="B52" s="348">
        <v>2.0520000457763699</v>
      </c>
      <c r="C52" s="348">
        <v>2.08500003814697</v>
      </c>
      <c r="D52" s="348">
        <v>2.02300000190735</v>
      </c>
      <c r="E52" s="348">
        <v>1.9900000095367401</v>
      </c>
      <c r="F52" s="349">
        <v>1.9984494447708101</v>
      </c>
      <c r="G52" s="293">
        <v>2.3039999999999998</v>
      </c>
      <c r="H52" s="293">
        <v>2.3239999999999998</v>
      </c>
      <c r="I52" s="293">
        <v>2.407</v>
      </c>
      <c r="J52" s="293">
        <v>2.4159999999999999</v>
      </c>
      <c r="K52" s="293">
        <v>2.4498690000000001</v>
      </c>
      <c r="L52" s="293">
        <v>2.5403880000000001</v>
      </c>
      <c r="M52" s="293">
        <v>2.599494</v>
      </c>
      <c r="N52" s="293">
        <v>2.6464240000000001</v>
      </c>
      <c r="O52" s="293">
        <v>2.693587</v>
      </c>
      <c r="P52" s="293">
        <v>2.7283230000000001</v>
      </c>
      <c r="Q52" s="293">
        <v>2.742324</v>
      </c>
      <c r="R52" s="293">
        <v>2.7799209999999999</v>
      </c>
      <c r="S52" s="293">
        <v>2.8150529999999998</v>
      </c>
      <c r="T52" s="293">
        <v>2.8347359999999999</v>
      </c>
      <c r="U52" s="293">
        <v>2.8433090000000001</v>
      </c>
      <c r="V52" s="293">
        <v>2.840814</v>
      </c>
      <c r="W52" s="293">
        <v>2.844868</v>
      </c>
      <c r="X52" s="293">
        <v>2.8578079999999999</v>
      </c>
      <c r="Y52" s="293">
        <v>2.8486820000000002</v>
      </c>
      <c r="Z52" s="293">
        <v>2.8402569999999998</v>
      </c>
      <c r="AA52" s="293">
        <v>2.8361179999999999</v>
      </c>
      <c r="AB52" s="293">
        <v>2.8308490000000002</v>
      </c>
      <c r="AC52" s="293">
        <v>2.8180170000000002</v>
      </c>
      <c r="AD52" s="293">
        <v>2.7924669999999998</v>
      </c>
      <c r="AE52" s="293">
        <v>2.7826710000000001</v>
      </c>
      <c r="AF52" s="293">
        <v>2.76675</v>
      </c>
      <c r="AG52" s="293">
        <v>2.7715809999999999</v>
      </c>
      <c r="AH52" s="293">
        <v>2.7629000000000001</v>
      </c>
      <c r="AI52" s="293">
        <v>2.7495129999999999</v>
      </c>
      <c r="AJ52" s="293">
        <v>2.7286790000000001</v>
      </c>
      <c r="AK52" s="294">
        <v>6.0000000000000001E-3</v>
      </c>
    </row>
    <row r="53" spans="1:37">
      <c r="A53" s="6" t="s">
        <v>694</v>
      </c>
      <c r="B53" s="348">
        <v>8.6600880604237296E-4</v>
      </c>
      <c r="C53" s="348">
        <v>1.0510511929169299E-3</v>
      </c>
      <c r="D53" s="348">
        <v>8.0768426414579196E-4</v>
      </c>
      <c r="E53" s="348">
        <v>4.3171385186724403E-4</v>
      </c>
      <c r="F53" s="349">
        <v>1.8219171324744801E-3</v>
      </c>
      <c r="G53" s="293">
        <v>1.882E-3</v>
      </c>
      <c r="H53" s="293">
        <v>9.8740000000000008E-3</v>
      </c>
      <c r="I53" s="293">
        <v>1.3136999999999999E-2</v>
      </c>
      <c r="J53" s="293">
        <v>1.4973999999999999E-2</v>
      </c>
      <c r="K53" s="293">
        <v>1.2047E-2</v>
      </c>
      <c r="L53" s="293">
        <v>2.5141E-2</v>
      </c>
      <c r="M53" s="293">
        <v>5.3563E-2</v>
      </c>
      <c r="N53" s="293">
        <v>8.0305000000000001E-2</v>
      </c>
      <c r="O53" s="293">
        <v>0.10901</v>
      </c>
      <c r="P53" s="293">
        <v>0.13106100000000001</v>
      </c>
      <c r="Q53" s="293">
        <v>0.162138</v>
      </c>
      <c r="R53" s="293">
        <v>0.20447299999999999</v>
      </c>
      <c r="S53" s="293">
        <v>0.22256600000000001</v>
      </c>
      <c r="T53" s="293">
        <v>0.242672</v>
      </c>
      <c r="U53" s="293">
        <v>0.26248500000000002</v>
      </c>
      <c r="V53" s="293">
        <v>0.279335</v>
      </c>
      <c r="W53" s="293">
        <v>0.29406700000000002</v>
      </c>
      <c r="X53" s="293">
        <v>0.30546400000000001</v>
      </c>
      <c r="Y53" s="293">
        <v>0.31323699999999999</v>
      </c>
      <c r="Z53" s="293">
        <v>0.31872699999999998</v>
      </c>
      <c r="AA53" s="293">
        <v>0.321052</v>
      </c>
      <c r="AB53" s="293">
        <v>0.31902700000000001</v>
      </c>
      <c r="AC53" s="293">
        <v>0.31467200000000001</v>
      </c>
      <c r="AD53" s="293">
        <v>0.30996699999999999</v>
      </c>
      <c r="AE53" s="293">
        <v>0.29748400000000003</v>
      </c>
      <c r="AF53" s="293">
        <v>0.28148600000000001</v>
      </c>
      <c r="AG53" s="293">
        <v>0.26450099999999999</v>
      </c>
      <c r="AH53" s="293">
        <v>0.245667</v>
      </c>
      <c r="AI53" s="293">
        <v>0.23741399999999999</v>
      </c>
      <c r="AJ53" s="293">
        <v>0.22813</v>
      </c>
      <c r="AK53" s="294">
        <v>0.11899999999999999</v>
      </c>
    </row>
    <row r="54" spans="1:37">
      <c r="A54" s="6" t="s">
        <v>696</v>
      </c>
      <c r="B54" s="348">
        <v>9.2527751922607404</v>
      </c>
      <c r="C54" s="348">
        <v>9.2857265472412092</v>
      </c>
      <c r="D54" s="348">
        <v>9.0097904205322301</v>
      </c>
      <c r="E54" s="348">
        <v>8.9638872146606392</v>
      </c>
      <c r="F54" s="349">
        <v>9.3608798980712908</v>
      </c>
      <c r="G54" s="293">
        <v>8.7543939999999996</v>
      </c>
      <c r="H54" s="293">
        <v>8.7103070000000002</v>
      </c>
      <c r="I54" s="293">
        <v>8.7047209999999993</v>
      </c>
      <c r="J54" s="293">
        <v>8.6720810000000004</v>
      </c>
      <c r="K54" s="293">
        <v>8.7711889999999997</v>
      </c>
      <c r="L54" s="293">
        <v>8.7249210000000001</v>
      </c>
      <c r="M54" s="293">
        <v>8.665521</v>
      </c>
      <c r="N54" s="293">
        <v>8.5782380000000007</v>
      </c>
      <c r="O54" s="293">
        <v>8.4654989999999994</v>
      </c>
      <c r="P54" s="293">
        <v>8.3493230000000001</v>
      </c>
      <c r="Q54" s="293">
        <v>8.2274130000000003</v>
      </c>
      <c r="R54" s="293">
        <v>8.1002519999999993</v>
      </c>
      <c r="S54" s="293">
        <v>7.9630890000000001</v>
      </c>
      <c r="T54" s="293">
        <v>7.8215009999999996</v>
      </c>
      <c r="U54" s="293">
        <v>7.6724129999999997</v>
      </c>
      <c r="V54" s="293">
        <v>7.5382249999999997</v>
      </c>
      <c r="W54" s="293">
        <v>7.4181600000000003</v>
      </c>
      <c r="X54" s="293">
        <v>7.3157300000000003</v>
      </c>
      <c r="Y54" s="293">
        <v>7.224996</v>
      </c>
      <c r="Z54" s="293">
        <v>7.1462729999999999</v>
      </c>
      <c r="AA54" s="293">
        <v>7.080946</v>
      </c>
      <c r="AB54" s="293">
        <v>7.0268600000000001</v>
      </c>
      <c r="AC54" s="293">
        <v>6.9825390000000001</v>
      </c>
      <c r="AD54" s="293">
        <v>6.943378</v>
      </c>
      <c r="AE54" s="293">
        <v>6.9093359999999997</v>
      </c>
      <c r="AF54" s="293">
        <v>6.8818789999999996</v>
      </c>
      <c r="AG54" s="293">
        <v>6.8622290000000001</v>
      </c>
      <c r="AH54" s="293">
        <v>6.8497510000000004</v>
      </c>
      <c r="AI54" s="293">
        <v>6.8444979999999997</v>
      </c>
      <c r="AJ54" s="293">
        <v>6.8408179999999996</v>
      </c>
      <c r="AK54" s="294">
        <v>-8.9999999999999993E-3</v>
      </c>
    </row>
    <row r="55" spans="1:37">
      <c r="A55" s="6" t="s">
        <v>697</v>
      </c>
      <c r="B55" s="348">
        <v>1.63300001621246</v>
      </c>
      <c r="C55" s="348">
        <v>1.6219999790191699</v>
      </c>
      <c r="D55" s="348">
        <v>1.5329999923706099</v>
      </c>
      <c r="E55" s="348">
        <v>1.47300004959106</v>
      </c>
      <c r="F55" s="349">
        <v>1.45558297634125</v>
      </c>
      <c r="G55" s="293">
        <v>1.425</v>
      </c>
      <c r="H55" s="293">
        <v>1.399</v>
      </c>
      <c r="I55" s="293">
        <v>1.4039999999999999</v>
      </c>
      <c r="J55" s="293">
        <v>1.4059999999999999</v>
      </c>
      <c r="K55" s="293">
        <v>1.459821</v>
      </c>
      <c r="L55" s="293">
        <v>1.466666</v>
      </c>
      <c r="M55" s="293">
        <v>1.4738910000000001</v>
      </c>
      <c r="N55" s="293">
        <v>1.4802960000000001</v>
      </c>
      <c r="O55" s="293">
        <v>1.4860789999999999</v>
      </c>
      <c r="P55" s="293">
        <v>1.491026</v>
      </c>
      <c r="Q55" s="293">
        <v>1.496483</v>
      </c>
      <c r="R55" s="293">
        <v>1.5023390000000001</v>
      </c>
      <c r="S55" s="293">
        <v>1.5080819999999999</v>
      </c>
      <c r="T55" s="293">
        <v>1.514818</v>
      </c>
      <c r="U55" s="293">
        <v>1.5222910000000001</v>
      </c>
      <c r="V55" s="293">
        <v>1.529134</v>
      </c>
      <c r="W55" s="293">
        <v>1.5350699999999999</v>
      </c>
      <c r="X55" s="293">
        <v>1.540705</v>
      </c>
      <c r="Y55" s="293">
        <v>1.5457909999999999</v>
      </c>
      <c r="Z55" s="293">
        <v>1.550583</v>
      </c>
      <c r="AA55" s="293">
        <v>1.555024</v>
      </c>
      <c r="AB55" s="293">
        <v>1.559142</v>
      </c>
      <c r="AC55" s="293">
        <v>1.562889</v>
      </c>
      <c r="AD55" s="293">
        <v>1.5661639999999999</v>
      </c>
      <c r="AE55" s="293">
        <v>1.5691090000000001</v>
      </c>
      <c r="AF55" s="293">
        <v>1.5733360000000001</v>
      </c>
      <c r="AG55" s="293">
        <v>1.577515</v>
      </c>
      <c r="AH55" s="293">
        <v>1.5816300000000001</v>
      </c>
      <c r="AI55" s="293">
        <v>1.585529</v>
      </c>
      <c r="AJ55" s="293">
        <v>1.5896079999999999</v>
      </c>
      <c r="AK55" s="294">
        <v>5.0000000000000001E-3</v>
      </c>
    </row>
    <row r="56" spans="1:37">
      <c r="A56" s="6" t="s">
        <v>698</v>
      </c>
      <c r="B56" s="348">
        <v>4.1690001487731898</v>
      </c>
      <c r="C56" s="348">
        <v>4.1960000991821298</v>
      </c>
      <c r="D56" s="348">
        <v>3.9430000782012899</v>
      </c>
      <c r="E56" s="348">
        <v>3.90199995040894</v>
      </c>
      <c r="F56" s="349">
        <v>4.0923304557800302</v>
      </c>
      <c r="G56" s="293">
        <v>3.899</v>
      </c>
      <c r="H56" s="293">
        <v>3.7429999999999999</v>
      </c>
      <c r="I56" s="293">
        <v>3.859</v>
      </c>
      <c r="J56" s="293">
        <v>3.9089999999999998</v>
      </c>
      <c r="K56" s="293">
        <v>4.0858679999999996</v>
      </c>
      <c r="L56" s="293">
        <v>4.177359</v>
      </c>
      <c r="M56" s="293">
        <v>4.228364</v>
      </c>
      <c r="N56" s="293">
        <v>4.2508220000000003</v>
      </c>
      <c r="O56" s="293">
        <v>4.2730649999999999</v>
      </c>
      <c r="P56" s="293">
        <v>4.295331</v>
      </c>
      <c r="Q56" s="293">
        <v>4.319947</v>
      </c>
      <c r="R56" s="293">
        <v>4.3484850000000002</v>
      </c>
      <c r="S56" s="293">
        <v>4.3784619999999999</v>
      </c>
      <c r="T56" s="293">
        <v>4.4044730000000003</v>
      </c>
      <c r="U56" s="293">
        <v>4.436998</v>
      </c>
      <c r="V56" s="293">
        <v>4.460839</v>
      </c>
      <c r="W56" s="293">
        <v>4.4796500000000004</v>
      </c>
      <c r="X56" s="293">
        <v>4.4870289999999997</v>
      </c>
      <c r="Y56" s="293">
        <v>4.4989540000000003</v>
      </c>
      <c r="Z56" s="293">
        <v>4.5163840000000004</v>
      </c>
      <c r="AA56" s="293">
        <v>4.5280180000000003</v>
      </c>
      <c r="AB56" s="293">
        <v>4.5344899999999999</v>
      </c>
      <c r="AC56" s="293">
        <v>4.5444589999999998</v>
      </c>
      <c r="AD56" s="293">
        <v>4.5662190000000002</v>
      </c>
      <c r="AE56" s="293">
        <v>4.5865479999999996</v>
      </c>
      <c r="AF56" s="293">
        <v>4.5978500000000002</v>
      </c>
      <c r="AG56" s="293">
        <v>4.6070399999999996</v>
      </c>
      <c r="AH56" s="293">
        <v>4.6156879999999996</v>
      </c>
      <c r="AI56" s="293">
        <v>4.6224400000000001</v>
      </c>
      <c r="AJ56" s="293">
        <v>4.6207630000000002</v>
      </c>
      <c r="AK56" s="294">
        <v>8.0000000000000002E-3</v>
      </c>
    </row>
    <row r="57" spans="1:37">
      <c r="A57" s="6" t="s">
        <v>158</v>
      </c>
      <c r="B57" s="348">
        <v>3.21000003814697</v>
      </c>
      <c r="C57" s="348">
        <v>3.4670000076293901</v>
      </c>
      <c r="D57" s="348">
        <v>3.46799993515015</v>
      </c>
      <c r="E57" s="348">
        <v>3.4189999103546098</v>
      </c>
      <c r="F57" s="349">
        <v>3.47832202911377</v>
      </c>
      <c r="G57" s="293">
        <v>3.5059999999999998</v>
      </c>
      <c r="H57" s="293">
        <v>3.448</v>
      </c>
      <c r="I57" s="293">
        <v>3.5550000000000002</v>
      </c>
      <c r="J57" s="293">
        <v>3.601</v>
      </c>
      <c r="K57" s="293">
        <v>3.6780590000000002</v>
      </c>
      <c r="L57" s="293">
        <v>3.788999</v>
      </c>
      <c r="M57" s="293">
        <v>3.841418</v>
      </c>
      <c r="N57" s="293">
        <v>3.888255</v>
      </c>
      <c r="O57" s="293">
        <v>3.9148960000000002</v>
      </c>
      <c r="P57" s="293">
        <v>3.942434</v>
      </c>
      <c r="Q57" s="293">
        <v>3.9721639999999998</v>
      </c>
      <c r="R57" s="293">
        <v>4.005528</v>
      </c>
      <c r="S57" s="293">
        <v>4.0400039999999997</v>
      </c>
      <c r="T57" s="293">
        <v>4.0698509999999999</v>
      </c>
      <c r="U57" s="293">
        <v>4.1063919999999996</v>
      </c>
      <c r="V57" s="293">
        <v>4.1354759999999997</v>
      </c>
      <c r="W57" s="293">
        <v>4.1591009999999997</v>
      </c>
      <c r="X57" s="293">
        <v>4.1709329999999998</v>
      </c>
      <c r="Y57" s="293">
        <v>4.1869290000000001</v>
      </c>
      <c r="Z57" s="293">
        <v>4.2079300000000002</v>
      </c>
      <c r="AA57" s="293">
        <v>4.2245819999999998</v>
      </c>
      <c r="AB57" s="293">
        <v>4.2349610000000002</v>
      </c>
      <c r="AC57" s="293">
        <v>4.2486269999999999</v>
      </c>
      <c r="AD57" s="293">
        <v>4.2736000000000001</v>
      </c>
      <c r="AE57" s="293">
        <v>4.2970110000000004</v>
      </c>
      <c r="AF57" s="293">
        <v>4.3111389999999998</v>
      </c>
      <c r="AG57" s="293">
        <v>4.3229870000000004</v>
      </c>
      <c r="AH57" s="293">
        <v>4.3342970000000003</v>
      </c>
      <c r="AI57" s="293">
        <v>4.3436260000000004</v>
      </c>
      <c r="AJ57" s="293">
        <v>4.344544</v>
      </c>
      <c r="AK57" s="294">
        <v>8.0000000000000002E-3</v>
      </c>
    </row>
    <row r="58" spans="1:37">
      <c r="A58" s="6" t="s">
        <v>157</v>
      </c>
      <c r="B58" s="348">
        <v>0.68900001049041704</v>
      </c>
      <c r="C58" s="348">
        <v>0.72299998998642001</v>
      </c>
      <c r="D58" s="348">
        <v>0.60799998044967696</v>
      </c>
      <c r="E58" s="348">
        <v>0.58099997043609597</v>
      </c>
      <c r="F58" s="349">
        <v>0.63298153877258301</v>
      </c>
      <c r="G58" s="293">
        <v>0.46100000000000002</v>
      </c>
      <c r="H58" s="293">
        <v>0.34499999999999997</v>
      </c>
      <c r="I58" s="293">
        <v>0.32200000000000001</v>
      </c>
      <c r="J58" s="293">
        <v>0.35</v>
      </c>
      <c r="K58" s="293">
        <v>0.38553500000000002</v>
      </c>
      <c r="L58" s="293">
        <v>0.39021600000000001</v>
      </c>
      <c r="M58" s="293">
        <v>0.38447300000000001</v>
      </c>
      <c r="N58" s="293">
        <v>0.390044</v>
      </c>
      <c r="O58" s="293">
        <v>0.38984200000000002</v>
      </c>
      <c r="P58" s="293">
        <v>0.38874799999999998</v>
      </c>
      <c r="Q58" s="293">
        <v>0.38986300000000002</v>
      </c>
      <c r="R58" s="293">
        <v>0.38962000000000002</v>
      </c>
      <c r="S58" s="293">
        <v>0.390509</v>
      </c>
      <c r="T58" s="293">
        <v>0.392071</v>
      </c>
      <c r="U58" s="293">
        <v>0.392706</v>
      </c>
      <c r="V58" s="293">
        <v>0.39272899999999999</v>
      </c>
      <c r="W58" s="293">
        <v>0.39312000000000002</v>
      </c>
      <c r="X58" s="293">
        <v>0.39413599999999999</v>
      </c>
      <c r="Y58" s="293">
        <v>0.39485900000000002</v>
      </c>
      <c r="Z58" s="293">
        <v>0.396202</v>
      </c>
      <c r="AA58" s="293">
        <v>0.39659499999999998</v>
      </c>
      <c r="AB58" s="293">
        <v>0.39696300000000001</v>
      </c>
      <c r="AC58" s="293">
        <v>0.398011</v>
      </c>
      <c r="AD58" s="293">
        <v>0.39871400000000001</v>
      </c>
      <c r="AE58" s="293">
        <v>0.39992499999999997</v>
      </c>
      <c r="AF58" s="293">
        <v>0.40121899999999999</v>
      </c>
      <c r="AG58" s="293">
        <v>0.40172999999999998</v>
      </c>
      <c r="AH58" s="293">
        <v>0.402443</v>
      </c>
      <c r="AI58" s="293">
        <v>0.40342099999999997</v>
      </c>
      <c r="AJ58" s="293">
        <v>0.40445900000000001</v>
      </c>
      <c r="AK58" s="294">
        <v>6.0000000000000001E-3</v>
      </c>
    </row>
    <row r="59" spans="1:37">
      <c r="A59" s="6" t="s">
        <v>699</v>
      </c>
      <c r="B59" s="348">
        <v>2.8580451011657702</v>
      </c>
      <c r="C59" s="348">
        <v>2.73703241348267</v>
      </c>
      <c r="D59" s="348">
        <v>2.4269983768463099</v>
      </c>
      <c r="E59" s="348">
        <v>2.3350048065185498</v>
      </c>
      <c r="F59" s="349">
        <v>2.2457344532012899</v>
      </c>
      <c r="G59" s="293">
        <v>2.0800260000000002</v>
      </c>
      <c r="H59" s="293">
        <v>1.965076</v>
      </c>
      <c r="I59" s="293">
        <v>1.942002</v>
      </c>
      <c r="J59" s="293">
        <v>1.9470000000000001</v>
      </c>
      <c r="K59" s="293">
        <v>2.0148790000000001</v>
      </c>
      <c r="L59" s="293">
        <v>2.0685479999999998</v>
      </c>
      <c r="M59" s="293">
        <v>2.1349170000000002</v>
      </c>
      <c r="N59" s="293">
        <v>2.1911809999999998</v>
      </c>
      <c r="O59" s="293">
        <v>2.2368299999999999</v>
      </c>
      <c r="P59" s="293">
        <v>2.276913</v>
      </c>
      <c r="Q59" s="293">
        <v>2.3108819999999999</v>
      </c>
      <c r="R59" s="293">
        <v>2.3269329999999999</v>
      </c>
      <c r="S59" s="293">
        <v>2.343264</v>
      </c>
      <c r="T59" s="293">
        <v>2.3722750000000001</v>
      </c>
      <c r="U59" s="293">
        <v>2.404312</v>
      </c>
      <c r="V59" s="293">
        <v>2.4265159999999999</v>
      </c>
      <c r="W59" s="293">
        <v>2.458132</v>
      </c>
      <c r="X59" s="293">
        <v>2.474024</v>
      </c>
      <c r="Y59" s="293">
        <v>2.4762659999999999</v>
      </c>
      <c r="Z59" s="293">
        <v>2.4857459999999998</v>
      </c>
      <c r="AA59" s="293">
        <v>2.4935139999999998</v>
      </c>
      <c r="AB59" s="293">
        <v>2.4994040000000002</v>
      </c>
      <c r="AC59" s="293">
        <v>2.4986790000000001</v>
      </c>
      <c r="AD59" s="293">
        <v>2.5103719999999998</v>
      </c>
      <c r="AE59" s="293">
        <v>2.5131139999999998</v>
      </c>
      <c r="AF59" s="293">
        <v>2.519142</v>
      </c>
      <c r="AG59" s="293">
        <v>2.531539</v>
      </c>
      <c r="AH59" s="293">
        <v>2.5507759999999999</v>
      </c>
      <c r="AI59" s="293">
        <v>2.550128</v>
      </c>
      <c r="AJ59" s="293">
        <v>2.5471759999999999</v>
      </c>
      <c r="AK59" s="294">
        <v>8.9999999999999993E-3</v>
      </c>
    </row>
    <row r="60" spans="1:37">
      <c r="A60" s="6" t="s">
        <v>156</v>
      </c>
      <c r="G60" s="297"/>
      <c r="H60" s="297"/>
      <c r="I60" s="297"/>
      <c r="J60" s="297"/>
      <c r="K60" s="297"/>
      <c r="L60" s="297"/>
      <c r="M60" s="297"/>
      <c r="N60" s="297"/>
      <c r="O60" s="297"/>
      <c r="P60" s="297"/>
      <c r="Q60" s="297"/>
      <c r="R60" s="297"/>
      <c r="S60" s="297"/>
      <c r="T60" s="297"/>
      <c r="U60" s="297"/>
      <c r="V60" s="297"/>
      <c r="W60" s="297"/>
      <c r="X60" s="297"/>
      <c r="Y60" s="297"/>
      <c r="Z60" s="297"/>
      <c r="AA60" s="297"/>
      <c r="AB60" s="297"/>
      <c r="AC60" s="297"/>
      <c r="AD60" s="297"/>
      <c r="AE60" s="297"/>
      <c r="AF60" s="297"/>
      <c r="AG60" s="297"/>
      <c r="AH60" s="297"/>
      <c r="AI60" s="297"/>
      <c r="AJ60" s="297"/>
      <c r="AK60" s="297"/>
    </row>
    <row r="61" spans="1:37">
      <c r="A61" s="6" t="s">
        <v>155</v>
      </c>
      <c r="B61" s="348">
        <v>1.0618205070495601</v>
      </c>
      <c r="C61" s="348">
        <v>1.1093590259552</v>
      </c>
      <c r="D61" s="348">
        <v>1.0993635654449501</v>
      </c>
      <c r="E61" s="348">
        <v>1.10606873035431</v>
      </c>
      <c r="F61" s="349">
        <v>1.0538341999053999</v>
      </c>
      <c r="G61" s="293">
        <v>0.96948900000000005</v>
      </c>
      <c r="H61" s="293">
        <v>0.94076099999999996</v>
      </c>
      <c r="I61" s="293">
        <v>0.95062599999999997</v>
      </c>
      <c r="J61" s="293">
        <v>0.94062699999999999</v>
      </c>
      <c r="K61" s="293">
        <v>0.91689699999999996</v>
      </c>
      <c r="L61" s="293">
        <v>0.91578099999999996</v>
      </c>
      <c r="M61" s="293">
        <v>0.90966899999999995</v>
      </c>
      <c r="N61" s="293">
        <v>0.90114399999999995</v>
      </c>
      <c r="O61" s="293">
        <v>0.89199799999999996</v>
      </c>
      <c r="P61" s="293">
        <v>0.88283199999999995</v>
      </c>
      <c r="Q61" s="293">
        <v>0.87347300000000005</v>
      </c>
      <c r="R61" s="293">
        <v>0.86438899999999996</v>
      </c>
      <c r="S61" s="293">
        <v>0.85625499999999999</v>
      </c>
      <c r="T61" s="293">
        <v>0.84867599999999999</v>
      </c>
      <c r="U61" s="293">
        <v>0.84107299999999996</v>
      </c>
      <c r="V61" s="293">
        <v>0.83371399999999996</v>
      </c>
      <c r="W61" s="293">
        <v>0.82639200000000002</v>
      </c>
      <c r="X61" s="293">
        <v>0.81992799999999999</v>
      </c>
      <c r="Y61" s="293">
        <v>0.81319300000000005</v>
      </c>
      <c r="Z61" s="293">
        <v>0.80710899999999997</v>
      </c>
      <c r="AA61" s="293">
        <v>0.80122000000000004</v>
      </c>
      <c r="AB61" s="293">
        <v>0.795458</v>
      </c>
      <c r="AC61" s="293">
        <v>0.79006900000000002</v>
      </c>
      <c r="AD61" s="293">
        <v>0.78411900000000001</v>
      </c>
      <c r="AE61" s="293">
        <v>0.77970600000000001</v>
      </c>
      <c r="AF61" s="293">
        <v>0.77555200000000002</v>
      </c>
      <c r="AG61" s="293">
        <v>0.771922</v>
      </c>
      <c r="AH61" s="293">
        <v>0.76868800000000004</v>
      </c>
      <c r="AI61" s="293">
        <v>0.76499200000000001</v>
      </c>
      <c r="AJ61" s="293">
        <v>0.76103399999999999</v>
      </c>
      <c r="AK61" s="294">
        <v>-8.0000000000000002E-3</v>
      </c>
    </row>
    <row r="62" spans="1:37">
      <c r="A62" s="6" t="s">
        <v>700</v>
      </c>
      <c r="B62" s="348">
        <v>5.3221449851989702</v>
      </c>
      <c r="C62" s="348">
        <v>5.2595095634460396</v>
      </c>
      <c r="D62" s="348">
        <v>4.9765362739562997</v>
      </c>
      <c r="E62" s="348">
        <v>4.70910596847534</v>
      </c>
      <c r="F62" s="349">
        <v>4.5219602584838903</v>
      </c>
      <c r="G62" s="293">
        <v>4.4511919999999998</v>
      </c>
      <c r="H62" s="293">
        <v>4.421297</v>
      </c>
      <c r="I62" s="293">
        <v>4.5209929999999998</v>
      </c>
      <c r="J62" s="293">
        <v>4.6163509999999999</v>
      </c>
      <c r="K62" s="293">
        <v>4.7672689999999998</v>
      </c>
      <c r="L62" s="293">
        <v>4.940448</v>
      </c>
      <c r="M62" s="293">
        <v>5.0828059999999997</v>
      </c>
      <c r="N62" s="293">
        <v>5.1973799999999999</v>
      </c>
      <c r="O62" s="293">
        <v>5.2962569999999998</v>
      </c>
      <c r="P62" s="293">
        <v>5.3737599999999999</v>
      </c>
      <c r="Q62" s="293">
        <v>5.42516</v>
      </c>
      <c r="R62" s="293">
        <v>5.4817600000000004</v>
      </c>
      <c r="S62" s="293">
        <v>5.536664</v>
      </c>
      <c r="T62" s="293">
        <v>5.5895760000000001</v>
      </c>
      <c r="U62" s="293">
        <v>5.635637</v>
      </c>
      <c r="V62" s="293">
        <v>5.6575449999999998</v>
      </c>
      <c r="W62" s="293">
        <v>5.6945290000000002</v>
      </c>
      <c r="X62" s="293">
        <v>5.724005</v>
      </c>
      <c r="Y62" s="293">
        <v>5.7184200000000001</v>
      </c>
      <c r="Z62" s="293">
        <v>5.7229380000000001</v>
      </c>
      <c r="AA62" s="293">
        <v>5.7270849999999998</v>
      </c>
      <c r="AB62" s="293">
        <v>5.7279549999999997</v>
      </c>
      <c r="AC62" s="293">
        <v>5.7151949999999996</v>
      </c>
      <c r="AD62" s="293">
        <v>5.7039289999999996</v>
      </c>
      <c r="AE62" s="293">
        <v>5.6985010000000003</v>
      </c>
      <c r="AF62" s="293">
        <v>5.6904269999999997</v>
      </c>
      <c r="AG62" s="293">
        <v>5.7088890000000001</v>
      </c>
      <c r="AH62" s="293">
        <v>5.7191020000000004</v>
      </c>
      <c r="AI62" s="293">
        <v>5.7061400000000004</v>
      </c>
      <c r="AJ62" s="293">
        <v>5.6839209999999998</v>
      </c>
      <c r="AK62" s="294">
        <v>8.9999999999999993E-3</v>
      </c>
    </row>
    <row r="63" spans="1:37">
      <c r="A63" s="6" t="s">
        <v>154</v>
      </c>
      <c r="B63" s="348">
        <v>14.205528259277299</v>
      </c>
      <c r="C63" s="348">
        <v>14.253752708435099</v>
      </c>
      <c r="D63" s="348">
        <v>13.661909103393601</v>
      </c>
      <c r="E63" s="348">
        <v>13.477608680725099</v>
      </c>
      <c r="F63" s="349">
        <v>13.9932947158813</v>
      </c>
      <c r="G63" s="293">
        <v>13.653123000000001</v>
      </c>
      <c r="H63" s="293">
        <v>13.443807</v>
      </c>
      <c r="I63" s="293">
        <v>13.46326</v>
      </c>
      <c r="J63" s="293">
        <v>13.410075000000001</v>
      </c>
      <c r="K63" s="293">
        <v>13.391593</v>
      </c>
      <c r="L63" s="293">
        <v>13.423278</v>
      </c>
      <c r="M63" s="293">
        <v>13.416093</v>
      </c>
      <c r="N63" s="293">
        <v>13.359128999999999</v>
      </c>
      <c r="O63" s="293">
        <v>13.277658000000001</v>
      </c>
      <c r="P63" s="293">
        <v>13.193913999999999</v>
      </c>
      <c r="Q63" s="293">
        <v>13.108468</v>
      </c>
      <c r="R63" s="293">
        <v>13.021044</v>
      </c>
      <c r="S63" s="293">
        <v>12.924597</v>
      </c>
      <c r="T63" s="293">
        <v>12.819832</v>
      </c>
      <c r="U63" s="293">
        <v>12.713536</v>
      </c>
      <c r="V63" s="293">
        <v>12.616394</v>
      </c>
      <c r="W63" s="293">
        <v>12.527696000000001</v>
      </c>
      <c r="X63" s="293">
        <v>12.445028000000001</v>
      </c>
      <c r="Y63" s="293">
        <v>12.377145000000001</v>
      </c>
      <c r="Z63" s="293">
        <v>12.324268</v>
      </c>
      <c r="AA63" s="293">
        <v>12.281888</v>
      </c>
      <c r="AB63" s="293">
        <v>12.244210000000001</v>
      </c>
      <c r="AC63" s="293">
        <v>12.219082999999999</v>
      </c>
      <c r="AD63" s="293">
        <v>12.208591999999999</v>
      </c>
      <c r="AE63" s="293">
        <v>12.201549</v>
      </c>
      <c r="AF63" s="293">
        <v>12.192887000000001</v>
      </c>
      <c r="AG63" s="293">
        <v>12.189211999999999</v>
      </c>
      <c r="AH63" s="293">
        <v>12.193395000000001</v>
      </c>
      <c r="AI63" s="293">
        <v>12.201965</v>
      </c>
      <c r="AJ63" s="293">
        <v>12.203708000000001</v>
      </c>
      <c r="AK63" s="294">
        <v>-3.0000000000000001E-3</v>
      </c>
    </row>
    <row r="64" spans="1:37">
      <c r="A64" s="6" t="s">
        <v>701</v>
      </c>
      <c r="B64" s="348">
        <v>0.28576692938804599</v>
      </c>
      <c r="C64" s="348">
        <v>0.295045405626297</v>
      </c>
      <c r="D64" s="348">
        <v>0.215673848986626</v>
      </c>
      <c r="E64" s="348">
        <v>0.21838557720184301</v>
      </c>
      <c r="F64" s="349">
        <v>0.21773074567317999</v>
      </c>
      <c r="G64" s="293">
        <v>0.13995199999999999</v>
      </c>
      <c r="H64" s="293">
        <v>0.10258100000000001</v>
      </c>
      <c r="I64" s="293">
        <v>9.1968999999999995E-2</v>
      </c>
      <c r="J64" s="293">
        <v>9.2428999999999997E-2</v>
      </c>
      <c r="K64" s="293">
        <v>9.2261999999999997E-2</v>
      </c>
      <c r="L64" s="293">
        <v>8.9524000000000006E-2</v>
      </c>
      <c r="M64" s="293">
        <v>7.9076999999999995E-2</v>
      </c>
      <c r="N64" s="293">
        <v>8.0381999999999995E-2</v>
      </c>
      <c r="O64" s="293">
        <v>8.0076999999999995E-2</v>
      </c>
      <c r="P64" s="293">
        <v>8.0298999999999995E-2</v>
      </c>
      <c r="Q64" s="293">
        <v>8.0979999999999996E-2</v>
      </c>
      <c r="R64" s="293">
        <v>8.1548999999999996E-2</v>
      </c>
      <c r="S64" s="293">
        <v>8.2155000000000006E-2</v>
      </c>
      <c r="T64" s="293">
        <v>8.3019999999999997E-2</v>
      </c>
      <c r="U64" s="293">
        <v>8.3024000000000001E-2</v>
      </c>
      <c r="V64" s="293">
        <v>8.1849000000000005E-2</v>
      </c>
      <c r="W64" s="293">
        <v>8.1641000000000005E-2</v>
      </c>
      <c r="X64" s="293">
        <v>8.1735000000000002E-2</v>
      </c>
      <c r="Y64" s="293">
        <v>8.2040000000000002E-2</v>
      </c>
      <c r="Z64" s="293">
        <v>8.2365999999999995E-2</v>
      </c>
      <c r="AA64" s="293">
        <v>8.1250000000000003E-2</v>
      </c>
      <c r="AB64" s="293">
        <v>8.1303E-2</v>
      </c>
      <c r="AC64" s="293">
        <v>8.1448999999999994E-2</v>
      </c>
      <c r="AD64" s="293">
        <v>8.1864999999999993E-2</v>
      </c>
      <c r="AE64" s="293">
        <v>8.2123000000000002E-2</v>
      </c>
      <c r="AF64" s="293">
        <v>8.2472000000000004E-2</v>
      </c>
      <c r="AG64" s="293">
        <v>8.2769999999999996E-2</v>
      </c>
      <c r="AH64" s="293">
        <v>8.3155000000000007E-2</v>
      </c>
      <c r="AI64" s="293">
        <v>8.3571999999999994E-2</v>
      </c>
      <c r="AJ64" s="293">
        <v>8.3961999999999995E-2</v>
      </c>
      <c r="AK64" s="294">
        <v>-7.0000000000000001E-3</v>
      </c>
    </row>
    <row r="65" spans="1:37">
      <c r="A65" s="6" t="s">
        <v>153</v>
      </c>
      <c r="B65" s="348">
        <v>20.654685974121101</v>
      </c>
      <c r="C65" s="348">
        <v>20.6498107910156</v>
      </c>
      <c r="D65" s="348">
        <v>19.5445957183838</v>
      </c>
      <c r="E65" s="348">
        <v>19.245325088501001</v>
      </c>
      <c r="F65" s="349">
        <v>19.787778854370099</v>
      </c>
      <c r="G65" s="248">
        <v>18.92342</v>
      </c>
      <c r="H65" s="248">
        <v>18.486381999999999</v>
      </c>
      <c r="I65" s="248">
        <v>18.638722999999999</v>
      </c>
      <c r="J65" s="248">
        <v>18.700082999999999</v>
      </c>
      <c r="K65" s="248">
        <v>19.167159999999999</v>
      </c>
      <c r="L65" s="248">
        <v>19.368099000000001</v>
      </c>
      <c r="M65" s="248">
        <v>19.486657999999998</v>
      </c>
      <c r="N65" s="248">
        <v>19.537004</v>
      </c>
      <c r="O65" s="248">
        <v>19.544903000000001</v>
      </c>
      <c r="P65" s="248">
        <v>19.529665000000001</v>
      </c>
      <c r="Q65" s="248">
        <v>19.486916000000001</v>
      </c>
      <c r="R65" s="248">
        <v>19.44755</v>
      </c>
      <c r="S65" s="248">
        <v>19.398457000000001</v>
      </c>
      <c r="T65" s="248">
        <v>19.339873999999998</v>
      </c>
      <c r="U65" s="248">
        <v>19.272027999999999</v>
      </c>
      <c r="V65" s="248">
        <v>19.188255000000002</v>
      </c>
      <c r="W65" s="248">
        <v>19.129000000000001</v>
      </c>
      <c r="X65" s="248">
        <v>19.069431000000002</v>
      </c>
      <c r="Y65" s="248">
        <v>18.989547999999999</v>
      </c>
      <c r="Z65" s="248">
        <v>18.935445999999999</v>
      </c>
      <c r="AA65" s="248">
        <v>18.890217</v>
      </c>
      <c r="AB65" s="248">
        <v>18.847709999999999</v>
      </c>
      <c r="AC65" s="248">
        <v>18.804594000000002</v>
      </c>
      <c r="AD65" s="248">
        <v>18.777315000000002</v>
      </c>
      <c r="AE65" s="248">
        <v>18.760704</v>
      </c>
      <c r="AF65" s="248">
        <v>18.740176999999999</v>
      </c>
      <c r="AG65" s="248">
        <v>18.751633000000002</v>
      </c>
      <c r="AH65" s="248">
        <v>18.763190999999999</v>
      </c>
      <c r="AI65" s="248">
        <v>18.755531000000001</v>
      </c>
      <c r="AJ65" s="248">
        <v>18.731504000000001</v>
      </c>
      <c r="AK65" s="249">
        <v>0</v>
      </c>
    </row>
    <row r="66" spans="1:37">
      <c r="G66" s="297"/>
      <c r="H66" s="297"/>
      <c r="I66" s="297"/>
      <c r="J66" s="297"/>
      <c r="K66" s="297"/>
      <c r="L66" s="297"/>
      <c r="M66" s="297"/>
      <c r="N66" s="297"/>
      <c r="O66" s="297"/>
      <c r="P66" s="297"/>
      <c r="Q66" s="297"/>
      <c r="R66" s="297"/>
      <c r="S66" s="297"/>
      <c r="T66" s="297"/>
      <c r="U66" s="297"/>
      <c r="V66" s="297"/>
      <c r="W66" s="297"/>
      <c r="X66" s="297"/>
      <c r="Y66" s="297"/>
      <c r="Z66" s="297"/>
      <c r="AA66" s="297"/>
      <c r="AB66" s="297"/>
      <c r="AC66" s="297"/>
      <c r="AD66" s="297"/>
      <c r="AE66" s="297"/>
      <c r="AF66" s="297"/>
      <c r="AG66" s="297"/>
      <c r="AH66" s="297"/>
      <c r="AI66" s="297"/>
      <c r="AJ66" s="297"/>
      <c r="AK66" s="297"/>
    </row>
    <row r="67" spans="1:37">
      <c r="A67" s="6" t="s">
        <v>702</v>
      </c>
      <c r="B67" s="348">
        <v>4.2667388916015597E-2</v>
      </c>
      <c r="C67" s="348">
        <v>0.11821937561035201</v>
      </c>
      <c r="D67" s="348">
        <v>0.102603912353516</v>
      </c>
      <c r="E67" s="348">
        <v>0.17598533630371099</v>
      </c>
      <c r="F67" s="349">
        <v>-0.19984626770019501</v>
      </c>
      <c r="G67" s="293">
        <v>1.5162999999999999E-2</v>
      </c>
      <c r="H67" s="293">
        <v>0.105907</v>
      </c>
      <c r="I67" s="293">
        <v>0.34659600000000002</v>
      </c>
      <c r="J67" s="293">
        <v>0.115158</v>
      </c>
      <c r="K67" s="293">
        <v>-9.7140000000000004E-3</v>
      </c>
      <c r="L67" s="293">
        <v>-9.1500000000000001E-3</v>
      </c>
      <c r="M67" s="293">
        <v>-9.129E-3</v>
      </c>
      <c r="N67" s="293">
        <v>-9.3959999999999998E-3</v>
      </c>
      <c r="O67" s="293">
        <v>-9.4409999999999997E-3</v>
      </c>
      <c r="P67" s="293">
        <v>-9.2980000000000007E-3</v>
      </c>
      <c r="Q67" s="293">
        <v>-9.8270000000000007E-3</v>
      </c>
      <c r="R67" s="293">
        <v>-9.7409999999999997E-3</v>
      </c>
      <c r="S67" s="293">
        <v>-9.6889999999999997E-3</v>
      </c>
      <c r="T67" s="293">
        <v>-9.8569999999999994E-3</v>
      </c>
      <c r="U67" s="293">
        <v>-9.7099999999999999E-3</v>
      </c>
      <c r="V67" s="293">
        <v>-9.4129999999999995E-3</v>
      </c>
      <c r="W67" s="293">
        <v>-9.7260000000000003E-3</v>
      </c>
      <c r="X67" s="293">
        <v>-9.5440000000000004E-3</v>
      </c>
      <c r="Y67" s="293">
        <v>-8.9110000000000005E-3</v>
      </c>
      <c r="Z67" s="293">
        <v>-9.2739999999999993E-3</v>
      </c>
      <c r="AA67" s="293">
        <v>-9.4389999999999995E-3</v>
      </c>
      <c r="AB67" s="293">
        <v>-9.6170000000000005E-3</v>
      </c>
      <c r="AC67" s="293">
        <v>-9.1479999999999999E-3</v>
      </c>
      <c r="AD67" s="293">
        <v>-8.9969999999999998E-3</v>
      </c>
      <c r="AE67" s="293">
        <v>-8.8159999999999992E-3</v>
      </c>
      <c r="AF67" s="293">
        <v>-8.2660000000000008E-3</v>
      </c>
      <c r="AG67" s="293">
        <v>-8.2740000000000001E-3</v>
      </c>
      <c r="AH67" s="293">
        <v>-7.711E-3</v>
      </c>
      <c r="AI67" s="293">
        <v>-7.0080000000000003E-3</v>
      </c>
      <c r="AJ67" s="293">
        <v>-6.5420000000000001E-3</v>
      </c>
      <c r="AK67" s="293" t="s">
        <v>41</v>
      </c>
    </row>
    <row r="68" spans="1:37">
      <c r="G68" s="297"/>
      <c r="H68" s="297"/>
      <c r="I68" s="297"/>
      <c r="J68" s="297"/>
      <c r="K68" s="297"/>
      <c r="L68" s="297"/>
      <c r="M68" s="297"/>
      <c r="N68" s="297"/>
      <c r="O68" s="297"/>
      <c r="P68" s="297"/>
      <c r="Q68" s="297"/>
      <c r="R68" s="297"/>
      <c r="S68" s="297"/>
      <c r="T68" s="297"/>
      <c r="U68" s="297"/>
      <c r="V68" s="297"/>
      <c r="W68" s="297"/>
      <c r="X68" s="297"/>
      <c r="Y68" s="297"/>
      <c r="Z68" s="297"/>
      <c r="AA68" s="297"/>
      <c r="AB68" s="297"/>
      <c r="AC68" s="297"/>
      <c r="AD68" s="297"/>
      <c r="AE68" s="297"/>
      <c r="AF68" s="297"/>
      <c r="AG68" s="297"/>
      <c r="AH68" s="297"/>
      <c r="AI68" s="297"/>
      <c r="AJ68" s="297"/>
      <c r="AK68" s="297"/>
    </row>
    <row r="69" spans="1:37">
      <c r="A69" s="6" t="s">
        <v>703</v>
      </c>
      <c r="B69" s="362">
        <v>17.3390007019043</v>
      </c>
      <c r="C69" s="362">
        <v>17.4409999847412</v>
      </c>
      <c r="D69" s="362">
        <v>17.5890007019043</v>
      </c>
      <c r="E69" s="362">
        <v>17.5890007019043</v>
      </c>
      <c r="F69" s="363">
        <v>17.994850158691399</v>
      </c>
      <c r="G69" s="293">
        <v>17.704999999999998</v>
      </c>
      <c r="H69" s="293">
        <v>17.315000999999999</v>
      </c>
      <c r="I69" s="293">
        <v>17.818999999999999</v>
      </c>
      <c r="J69" s="293">
        <v>17.818999999999999</v>
      </c>
      <c r="K69" s="293">
        <v>18.114657999999999</v>
      </c>
      <c r="L69" s="293">
        <v>18.129657999999999</v>
      </c>
      <c r="M69" s="293">
        <v>18.129657999999999</v>
      </c>
      <c r="N69" s="293">
        <v>18.129657999999999</v>
      </c>
      <c r="O69" s="293">
        <v>18.129657999999999</v>
      </c>
      <c r="P69" s="293">
        <v>18.129657999999999</v>
      </c>
      <c r="Q69" s="293">
        <v>18.129657999999999</v>
      </c>
      <c r="R69" s="293">
        <v>18.129657999999999</v>
      </c>
      <c r="S69" s="293">
        <v>18.129657999999999</v>
      </c>
      <c r="T69" s="293">
        <v>18.129657999999999</v>
      </c>
      <c r="U69" s="293">
        <v>18.129657999999999</v>
      </c>
      <c r="V69" s="293">
        <v>18.129657999999999</v>
      </c>
      <c r="W69" s="293">
        <v>18.129657999999999</v>
      </c>
      <c r="X69" s="293">
        <v>18.129657999999999</v>
      </c>
      <c r="Y69" s="293">
        <v>18.129657999999999</v>
      </c>
      <c r="Z69" s="293">
        <v>18.129657999999999</v>
      </c>
      <c r="AA69" s="293">
        <v>18.129657999999999</v>
      </c>
      <c r="AB69" s="293">
        <v>18.129657999999999</v>
      </c>
      <c r="AC69" s="293">
        <v>18.129657999999999</v>
      </c>
      <c r="AD69" s="293">
        <v>18.129657999999999</v>
      </c>
      <c r="AE69" s="293">
        <v>18.129657999999999</v>
      </c>
      <c r="AF69" s="293">
        <v>18.129657999999999</v>
      </c>
      <c r="AG69" s="293">
        <v>18.129657999999999</v>
      </c>
      <c r="AH69" s="293">
        <v>18.129657999999999</v>
      </c>
      <c r="AI69" s="293">
        <v>18.129657999999999</v>
      </c>
      <c r="AJ69" s="293">
        <v>18.129657999999999</v>
      </c>
      <c r="AK69" s="294">
        <v>2E-3</v>
      </c>
    </row>
    <row r="70" spans="1:37">
      <c r="A70" s="6" t="s">
        <v>704</v>
      </c>
      <c r="B70" s="362">
        <v>90</v>
      </c>
      <c r="C70" s="362">
        <v>89</v>
      </c>
      <c r="D70" s="362">
        <v>85</v>
      </c>
      <c r="E70" s="362">
        <v>84</v>
      </c>
      <c r="F70" s="363">
        <v>78.951698303222699</v>
      </c>
      <c r="G70" s="293">
        <v>86</v>
      </c>
      <c r="H70" s="293">
        <v>89</v>
      </c>
      <c r="I70" s="293">
        <v>87</v>
      </c>
      <c r="J70" s="293">
        <v>87</v>
      </c>
      <c r="K70" s="293">
        <v>83.929221999999996</v>
      </c>
      <c r="L70" s="293">
        <v>84.444526999999994</v>
      </c>
      <c r="M70" s="293">
        <v>84.784676000000005</v>
      </c>
      <c r="N70" s="293">
        <v>84.856537000000003</v>
      </c>
      <c r="O70" s="293">
        <v>84.762580999999997</v>
      </c>
      <c r="P70" s="293">
        <v>84.610602999999998</v>
      </c>
      <c r="Q70" s="293">
        <v>84.422150000000002</v>
      </c>
      <c r="R70" s="293">
        <v>84.011527999999998</v>
      </c>
      <c r="S70" s="293">
        <v>83.650841</v>
      </c>
      <c r="T70" s="293">
        <v>83.337349000000003</v>
      </c>
      <c r="U70" s="293">
        <v>83.051040999999998</v>
      </c>
      <c r="V70" s="293">
        <v>82.852858999999995</v>
      </c>
      <c r="W70" s="293">
        <v>82.751807999999997</v>
      </c>
      <c r="X70" s="293">
        <v>82.579086000000004</v>
      </c>
      <c r="Y70" s="293">
        <v>82.446686</v>
      </c>
      <c r="Z70" s="293">
        <v>82.407532000000003</v>
      </c>
      <c r="AA70" s="293">
        <v>82.401390000000006</v>
      </c>
      <c r="AB70" s="293">
        <v>82.379172999999994</v>
      </c>
      <c r="AC70" s="293">
        <v>82.419548000000006</v>
      </c>
      <c r="AD70" s="293">
        <v>82.643226999999996</v>
      </c>
      <c r="AE70" s="293">
        <v>82.856575000000007</v>
      </c>
      <c r="AF70" s="293">
        <v>83.059607999999997</v>
      </c>
      <c r="AG70" s="293">
        <v>83.321395999999993</v>
      </c>
      <c r="AH70" s="293">
        <v>83.713463000000004</v>
      </c>
      <c r="AI70" s="293">
        <v>83.800713000000002</v>
      </c>
      <c r="AJ70" s="293">
        <v>83.967208999999997</v>
      </c>
      <c r="AK70" s="294">
        <v>-2E-3</v>
      </c>
    </row>
    <row r="71" spans="1:37">
      <c r="A71" s="6" t="s">
        <v>152</v>
      </c>
      <c r="B71" s="362">
        <v>60.165718078613303</v>
      </c>
      <c r="C71" s="362">
        <v>58.3234672546387</v>
      </c>
      <c r="D71" s="362">
        <v>56.096931457519503</v>
      </c>
      <c r="E71" s="362">
        <v>53.113201141357401</v>
      </c>
      <c r="F71" s="363">
        <v>50.657768249511697</v>
      </c>
      <c r="G71" s="293">
        <v>45.229275000000001</v>
      </c>
      <c r="H71" s="293">
        <v>40.315280999999999</v>
      </c>
      <c r="I71" s="293">
        <v>33.537674000000003</v>
      </c>
      <c r="J71" s="293">
        <v>28.732861</v>
      </c>
      <c r="K71" s="293">
        <v>27.439371000000001</v>
      </c>
      <c r="L71" s="293">
        <v>25.212821999999999</v>
      </c>
      <c r="M71" s="293">
        <v>25.371447</v>
      </c>
      <c r="N71" s="293">
        <v>25.397780999999998</v>
      </c>
      <c r="O71" s="293">
        <v>25.272306</v>
      </c>
      <c r="P71" s="293">
        <v>25.605276</v>
      </c>
      <c r="Q71" s="293">
        <v>26.339932999999998</v>
      </c>
      <c r="R71" s="293">
        <v>26.391024000000002</v>
      </c>
      <c r="S71" s="293">
        <v>26.330031999999999</v>
      </c>
      <c r="T71" s="293">
        <v>26.557704999999999</v>
      </c>
      <c r="U71" s="293">
        <v>26.574638</v>
      </c>
      <c r="V71" s="293">
        <v>27.074511000000001</v>
      </c>
      <c r="W71" s="293">
        <v>27.628391000000001</v>
      </c>
      <c r="X71" s="293">
        <v>28.164417</v>
      </c>
      <c r="Y71" s="293">
        <v>28.574669</v>
      </c>
      <c r="Z71" s="293">
        <v>28.600802999999999</v>
      </c>
      <c r="AA71" s="293">
        <v>29.035553</v>
      </c>
      <c r="AB71" s="293">
        <v>29.225125999999999</v>
      </c>
      <c r="AC71" s="293">
        <v>29.185209</v>
      </c>
      <c r="AD71" s="293">
        <v>29.338975999999999</v>
      </c>
      <c r="AE71" s="293">
        <v>29.911650000000002</v>
      </c>
      <c r="AF71" s="293">
        <v>30.578768</v>
      </c>
      <c r="AG71" s="293">
        <v>30.764973000000001</v>
      </c>
      <c r="AH71" s="293">
        <v>31.641760000000001</v>
      </c>
      <c r="AI71" s="293">
        <v>31.827915000000001</v>
      </c>
      <c r="AJ71" s="293">
        <v>32.156517000000001</v>
      </c>
      <c r="AK71" s="294">
        <v>-8.0000000000000002E-3</v>
      </c>
    </row>
    <row r="72" spans="1:37" s="268" customFormat="1">
      <c r="A72" s="267" t="s">
        <v>151</v>
      </c>
      <c r="B72" s="348">
        <v>15.605100631713899</v>
      </c>
      <c r="C72" s="348">
        <v>15.522489547729499</v>
      </c>
      <c r="D72" s="348">
        <v>14.950650215148899</v>
      </c>
      <c r="E72" s="348">
        <v>14.7747602462769</v>
      </c>
      <c r="F72" s="349">
        <v>14.2072401046753</v>
      </c>
      <c r="G72" s="314">
        <v>14.3342885971069</v>
      </c>
      <c r="H72" s="314">
        <v>14.411810874939</v>
      </c>
      <c r="I72" s="314">
        <v>14.427806854248001</v>
      </c>
      <c r="J72" s="314">
        <v>14.247616767883301</v>
      </c>
      <c r="K72" s="314">
        <v>14.1760416030884</v>
      </c>
      <c r="L72" s="314">
        <v>14.1692085266113</v>
      </c>
      <c r="M72" s="314">
        <v>14.217811584472701</v>
      </c>
      <c r="N72" s="314">
        <v>14.219580650329601</v>
      </c>
      <c r="O72" s="314">
        <v>14.2103576660156</v>
      </c>
      <c r="P72" s="314">
        <v>14.200039863586399</v>
      </c>
      <c r="Q72" s="314">
        <v>14.1303453445435</v>
      </c>
      <c r="R72" s="314">
        <v>14.095740318298301</v>
      </c>
      <c r="S72" s="314">
        <v>14.0861167907715</v>
      </c>
      <c r="T72" s="314">
        <v>14.1125946044922</v>
      </c>
      <c r="U72" s="314">
        <v>14.163477897644</v>
      </c>
      <c r="V72" s="314">
        <v>14.242433547973601</v>
      </c>
      <c r="W72" s="314">
        <v>14.2973442077637</v>
      </c>
      <c r="X72" s="314">
        <v>14.4011936187744</v>
      </c>
      <c r="Y72" s="314">
        <v>14.4425506591797</v>
      </c>
      <c r="Z72" s="314">
        <v>14.573932647705099</v>
      </c>
      <c r="AA72" s="314"/>
      <c r="AB72" s="314"/>
      <c r="AC72" s="314"/>
      <c r="AD72" s="314"/>
      <c r="AE72" s="314"/>
      <c r="AF72" s="314"/>
      <c r="AG72" s="314"/>
      <c r="AH72" s="314"/>
      <c r="AI72" s="314"/>
      <c r="AJ72" s="314"/>
      <c r="AK72" s="315">
        <v>-2.73776054382324E-3</v>
      </c>
    </row>
    <row r="73" spans="1:37">
      <c r="A73" s="6" t="s">
        <v>150</v>
      </c>
    </row>
    <row r="74" spans="1:37">
      <c r="A74" s="6" t="s">
        <v>595</v>
      </c>
      <c r="B74" s="348">
        <v>272.80218505859398</v>
      </c>
      <c r="C74" s="348">
        <v>280.12564086914102</v>
      </c>
      <c r="D74" s="348">
        <v>321.28717041015602</v>
      </c>
      <c r="E74" s="348">
        <v>195.51596069335901</v>
      </c>
      <c r="F74" s="349">
        <v>246.62348937988301</v>
      </c>
      <c r="G74" s="293">
        <v>494.73007200000001</v>
      </c>
      <c r="H74" s="293">
        <v>313.70205700000002</v>
      </c>
      <c r="I74" s="293">
        <v>257.058716</v>
      </c>
      <c r="J74" s="293">
        <v>219.518845</v>
      </c>
      <c r="K74" s="293">
        <v>213.13346899999999</v>
      </c>
      <c r="L74" s="293">
        <v>192.04028299999999</v>
      </c>
      <c r="M74" s="293">
        <v>190.19305399999999</v>
      </c>
      <c r="N74" s="293">
        <v>190.97583</v>
      </c>
      <c r="O74" s="293">
        <v>193.05748</v>
      </c>
      <c r="P74" s="293">
        <v>198.85289</v>
      </c>
      <c r="Q74" s="293">
        <v>207.326324</v>
      </c>
      <c r="R74" s="293">
        <v>214.50224299999999</v>
      </c>
      <c r="S74" s="293">
        <v>220.992096</v>
      </c>
      <c r="T74" s="293">
        <v>228.38960299999999</v>
      </c>
      <c r="U74" s="293">
        <v>234.269226</v>
      </c>
      <c r="V74" s="293">
        <v>243.98199500000001</v>
      </c>
      <c r="W74" s="293">
        <v>254.790054</v>
      </c>
      <c r="X74" s="293">
        <v>263.61831699999999</v>
      </c>
      <c r="Y74" s="293">
        <v>272.543701</v>
      </c>
      <c r="Z74" s="293">
        <v>278.59802200000001</v>
      </c>
      <c r="AA74" s="293">
        <v>289.04888899999997</v>
      </c>
      <c r="AB74" s="293">
        <v>297.603973</v>
      </c>
      <c r="AC74" s="293">
        <v>305.14331099999998</v>
      </c>
      <c r="AD74" s="293">
        <v>315.75491299999999</v>
      </c>
      <c r="AE74" s="293">
        <v>327.328461</v>
      </c>
      <c r="AF74" s="293">
        <v>338.67947400000003</v>
      </c>
      <c r="AG74" s="293">
        <v>347.810272</v>
      </c>
      <c r="AH74" s="293">
        <v>363.35360700000001</v>
      </c>
      <c r="AI74" s="293">
        <v>372.92919899999998</v>
      </c>
      <c r="AJ74" s="293">
        <v>385.39370700000001</v>
      </c>
      <c r="AK74" s="294">
        <v>7.0000000000000001E-3</v>
      </c>
    </row>
    <row r="78" spans="1:37" s="266" customFormat="1" ht="15" customHeight="1">
      <c r="A78" s="570" t="s">
        <v>596</v>
      </c>
      <c r="B78" s="570"/>
      <c r="C78" s="570"/>
      <c r="D78" s="570"/>
      <c r="E78" s="570"/>
      <c r="F78" s="570"/>
      <c r="G78" s="570"/>
      <c r="H78" s="570"/>
      <c r="I78" s="570"/>
      <c r="J78" s="570"/>
      <c r="K78" s="570"/>
      <c r="L78" s="570"/>
      <c r="M78" s="570"/>
      <c r="N78" s="570"/>
      <c r="O78" s="570"/>
      <c r="P78" s="570"/>
      <c r="Q78" s="570"/>
      <c r="R78" s="570"/>
      <c r="S78" s="570"/>
      <c r="T78" s="570"/>
      <c r="U78" s="570"/>
      <c r="V78" s="570"/>
      <c r="W78" s="570"/>
      <c r="X78" s="570"/>
      <c r="Y78" s="570"/>
      <c r="Z78" s="570"/>
      <c r="AA78" s="570"/>
      <c r="AB78" s="570"/>
      <c r="AC78" s="570"/>
      <c r="AD78" s="570"/>
      <c r="AE78" s="570"/>
      <c r="AF78" s="570"/>
      <c r="AG78" s="298"/>
      <c r="AH78" s="298"/>
      <c r="AI78" s="298"/>
      <c r="AJ78" s="298"/>
      <c r="AK78" s="298"/>
    </row>
    <row r="79" spans="1:37" customFormat="1" ht="15" customHeight="1">
      <c r="A79" s="569" t="s">
        <v>597</v>
      </c>
      <c r="B79" s="569"/>
      <c r="C79" s="569"/>
      <c r="D79" s="569"/>
      <c r="E79" s="569"/>
      <c r="F79" s="569"/>
      <c r="G79" s="569"/>
      <c r="H79" s="569"/>
      <c r="I79" s="569"/>
      <c r="J79" s="569"/>
      <c r="K79" s="569"/>
      <c r="L79" s="569"/>
      <c r="M79" s="569"/>
      <c r="N79" s="569"/>
      <c r="O79" s="569"/>
      <c r="P79" s="569"/>
      <c r="Q79" s="569"/>
      <c r="R79" s="569"/>
      <c r="S79" s="569"/>
      <c r="T79" s="569"/>
      <c r="U79" s="569"/>
      <c r="V79" s="569"/>
      <c r="W79" s="569"/>
      <c r="X79" s="569"/>
      <c r="Y79" s="569"/>
      <c r="Z79" s="569"/>
      <c r="AA79" s="569"/>
      <c r="AB79" s="569"/>
      <c r="AC79" s="569"/>
      <c r="AD79" s="569"/>
      <c r="AE79" s="569"/>
      <c r="AF79" s="569"/>
      <c r="AG79" s="297"/>
      <c r="AH79" s="297"/>
      <c r="AI79" s="297"/>
      <c r="AJ79" s="297"/>
      <c r="AK79" s="297"/>
    </row>
    <row r="80" spans="1:37" customFormat="1" ht="15" customHeight="1">
      <c r="A80" s="569" t="s">
        <v>598</v>
      </c>
      <c r="B80" s="569"/>
      <c r="C80" s="569"/>
      <c r="D80" s="569"/>
      <c r="E80" s="569"/>
      <c r="F80" s="569"/>
      <c r="G80" s="569"/>
      <c r="H80" s="569"/>
      <c r="I80" s="569"/>
      <c r="J80" s="569"/>
      <c r="K80" s="569"/>
      <c r="L80" s="569"/>
      <c r="M80" s="569"/>
      <c r="N80" s="569"/>
      <c r="O80" s="569"/>
      <c r="P80" s="569"/>
      <c r="Q80" s="569"/>
      <c r="R80" s="569"/>
      <c r="S80" s="569"/>
      <c r="T80" s="569"/>
      <c r="U80" s="569"/>
      <c r="V80" s="569"/>
      <c r="W80" s="569"/>
      <c r="X80" s="569"/>
      <c r="Y80" s="569"/>
      <c r="Z80" s="569"/>
      <c r="AA80" s="569"/>
      <c r="AB80" s="569"/>
      <c r="AC80" s="569"/>
      <c r="AD80" s="569"/>
      <c r="AE80" s="569"/>
      <c r="AF80" s="569"/>
      <c r="AG80" s="297"/>
      <c r="AH80" s="297"/>
      <c r="AI80" s="297"/>
      <c r="AJ80" s="297"/>
      <c r="AK80" s="297"/>
    </row>
    <row r="81" spans="1:37" customFormat="1" ht="15" customHeight="1">
      <c r="A81" s="569" t="s">
        <v>599</v>
      </c>
      <c r="B81" s="569"/>
      <c r="C81" s="569"/>
      <c r="D81" s="569"/>
      <c r="E81" s="569"/>
      <c r="F81" s="569"/>
      <c r="G81" s="569"/>
      <c r="H81" s="569"/>
      <c r="I81" s="569"/>
      <c r="J81" s="569"/>
      <c r="K81" s="569"/>
      <c r="L81" s="569"/>
      <c r="M81" s="569"/>
      <c r="N81" s="569"/>
      <c r="O81" s="569"/>
      <c r="P81" s="569"/>
      <c r="Q81" s="569"/>
      <c r="R81" s="569"/>
      <c r="S81" s="569"/>
      <c r="T81" s="569"/>
      <c r="U81" s="569"/>
      <c r="V81" s="569"/>
      <c r="W81" s="569"/>
      <c r="X81" s="569"/>
      <c r="Y81" s="569"/>
      <c r="Z81" s="569"/>
      <c r="AA81" s="569"/>
      <c r="AB81" s="569"/>
      <c r="AC81" s="569"/>
      <c r="AD81" s="569"/>
      <c r="AE81" s="569"/>
      <c r="AF81" s="569"/>
      <c r="AG81" s="297"/>
      <c r="AH81" s="297"/>
      <c r="AI81" s="297"/>
      <c r="AJ81" s="297"/>
      <c r="AK81" s="297"/>
    </row>
    <row r="82" spans="1:37" customFormat="1" ht="15" customHeight="1">
      <c r="A82" s="569" t="s">
        <v>600</v>
      </c>
      <c r="B82" s="569"/>
      <c r="C82" s="569"/>
      <c r="D82" s="569"/>
      <c r="E82" s="569"/>
      <c r="F82" s="569"/>
      <c r="G82" s="569"/>
      <c r="H82" s="569"/>
      <c r="I82" s="569"/>
      <c r="J82" s="569"/>
      <c r="K82" s="569"/>
      <c r="L82" s="569"/>
      <c r="M82" s="569"/>
      <c r="N82" s="569"/>
      <c r="O82" s="569"/>
      <c r="P82" s="569"/>
      <c r="Q82" s="569"/>
      <c r="R82" s="569"/>
      <c r="S82" s="569"/>
      <c r="T82" s="569"/>
      <c r="U82" s="569"/>
      <c r="V82" s="569"/>
      <c r="W82" s="569"/>
      <c r="X82" s="569"/>
      <c r="Y82" s="569"/>
      <c r="Z82" s="569"/>
      <c r="AA82" s="569"/>
      <c r="AB82" s="569"/>
      <c r="AC82" s="569"/>
      <c r="AD82" s="569"/>
      <c r="AE82" s="569"/>
      <c r="AF82" s="569"/>
      <c r="AG82" s="297"/>
      <c r="AH82" s="297"/>
      <c r="AI82" s="297"/>
      <c r="AJ82" s="297"/>
      <c r="AK82" s="297"/>
    </row>
    <row r="83" spans="1:37" customFormat="1" ht="15" customHeight="1">
      <c r="A83" s="569" t="s">
        <v>601</v>
      </c>
      <c r="B83" s="569"/>
      <c r="C83" s="569"/>
      <c r="D83" s="569"/>
      <c r="E83" s="569"/>
      <c r="F83" s="569"/>
      <c r="G83" s="569"/>
      <c r="H83" s="569"/>
      <c r="I83" s="569"/>
      <c r="J83" s="569"/>
      <c r="K83" s="569"/>
      <c r="L83" s="569"/>
      <c r="M83" s="569"/>
      <c r="N83" s="569"/>
      <c r="O83" s="569"/>
      <c r="P83" s="569"/>
      <c r="Q83" s="569"/>
      <c r="R83" s="569"/>
      <c r="S83" s="569"/>
      <c r="T83" s="569"/>
      <c r="U83" s="569"/>
      <c r="V83" s="569"/>
      <c r="W83" s="569"/>
      <c r="X83" s="569"/>
      <c r="Y83" s="569"/>
      <c r="Z83" s="569"/>
      <c r="AA83" s="569"/>
      <c r="AB83" s="569"/>
      <c r="AC83" s="569"/>
      <c r="AD83" s="569"/>
      <c r="AE83" s="569"/>
      <c r="AF83" s="569"/>
      <c r="AG83" s="297"/>
      <c r="AH83" s="297"/>
      <c r="AI83" s="297"/>
      <c r="AJ83" s="297"/>
      <c r="AK83" s="297"/>
    </row>
    <row r="84" spans="1:37" customFormat="1" ht="15" customHeight="1">
      <c r="A84" s="569" t="s">
        <v>602</v>
      </c>
      <c r="B84" s="569"/>
      <c r="C84" s="569"/>
      <c r="D84" s="569"/>
      <c r="E84" s="569"/>
      <c r="F84" s="569"/>
      <c r="G84" s="569"/>
      <c r="H84" s="569"/>
      <c r="I84" s="569"/>
      <c r="J84" s="569"/>
      <c r="K84" s="569"/>
      <c r="L84" s="569"/>
      <c r="M84" s="569"/>
      <c r="N84" s="569"/>
      <c r="O84" s="569"/>
      <c r="P84" s="569"/>
      <c r="Q84" s="569"/>
      <c r="R84" s="569"/>
      <c r="S84" s="569"/>
      <c r="T84" s="569"/>
      <c r="U84" s="569"/>
      <c r="V84" s="569"/>
      <c r="W84" s="569"/>
      <c r="X84" s="569"/>
      <c r="Y84" s="569"/>
      <c r="Z84" s="569"/>
      <c r="AA84" s="569"/>
      <c r="AB84" s="569"/>
      <c r="AC84" s="569"/>
      <c r="AD84" s="569"/>
      <c r="AE84" s="569"/>
      <c r="AF84" s="569"/>
      <c r="AG84" s="297"/>
      <c r="AH84" s="297"/>
      <c r="AI84" s="297"/>
      <c r="AJ84" s="297"/>
      <c r="AK84" s="297"/>
    </row>
    <row r="85" spans="1:37" customFormat="1" ht="15" customHeight="1">
      <c r="A85" s="569" t="s">
        <v>603</v>
      </c>
      <c r="B85" s="569"/>
      <c r="C85" s="569"/>
      <c r="D85" s="569"/>
      <c r="E85" s="569"/>
      <c r="F85" s="569"/>
      <c r="G85" s="569"/>
      <c r="H85" s="569"/>
      <c r="I85" s="569"/>
      <c r="J85" s="569"/>
      <c r="K85" s="569"/>
      <c r="L85" s="569"/>
      <c r="M85" s="569"/>
      <c r="N85" s="569"/>
      <c r="O85" s="569"/>
      <c r="P85" s="569"/>
      <c r="Q85" s="569"/>
      <c r="R85" s="569"/>
      <c r="S85" s="569"/>
      <c r="T85" s="569"/>
      <c r="U85" s="569"/>
      <c r="V85" s="569"/>
      <c r="W85" s="569"/>
      <c r="X85" s="569"/>
      <c r="Y85" s="569"/>
      <c r="Z85" s="569"/>
      <c r="AA85" s="569"/>
      <c r="AB85" s="569"/>
      <c r="AC85" s="569"/>
      <c r="AD85" s="569"/>
      <c r="AE85" s="569"/>
      <c r="AF85" s="569"/>
      <c r="AG85" s="297"/>
      <c r="AH85" s="297"/>
      <c r="AI85" s="297"/>
      <c r="AJ85" s="297"/>
      <c r="AK85" s="297"/>
    </row>
    <row r="86" spans="1:37" customFormat="1" ht="15" customHeight="1">
      <c r="A86" s="569" t="s">
        <v>604</v>
      </c>
      <c r="B86" s="569"/>
      <c r="C86" s="569"/>
      <c r="D86" s="569"/>
      <c r="E86" s="569"/>
      <c r="F86" s="569"/>
      <c r="G86" s="569"/>
      <c r="H86" s="569"/>
      <c r="I86" s="569"/>
      <c r="J86" s="569"/>
      <c r="K86" s="569"/>
      <c r="L86" s="569"/>
      <c r="M86" s="569"/>
      <c r="N86" s="569"/>
      <c r="O86" s="569"/>
      <c r="P86" s="569"/>
      <c r="Q86" s="569"/>
      <c r="R86" s="569"/>
      <c r="S86" s="569"/>
      <c r="T86" s="569"/>
      <c r="U86" s="569"/>
      <c r="V86" s="569"/>
      <c r="W86" s="569"/>
      <c r="X86" s="569"/>
      <c r="Y86" s="569"/>
      <c r="Z86" s="569"/>
      <c r="AA86" s="569"/>
      <c r="AB86" s="569"/>
      <c r="AC86" s="569"/>
      <c r="AD86" s="569"/>
      <c r="AE86" s="569"/>
      <c r="AF86" s="569"/>
      <c r="AG86" s="297"/>
      <c r="AH86" s="297"/>
      <c r="AI86" s="297"/>
      <c r="AJ86" s="297"/>
      <c r="AK86" s="297"/>
    </row>
    <row r="87" spans="1:37" customFormat="1" ht="15" customHeight="1">
      <c r="A87" s="569" t="s">
        <v>605</v>
      </c>
      <c r="B87" s="569"/>
      <c r="C87" s="569"/>
      <c r="D87" s="569"/>
      <c r="E87" s="569"/>
      <c r="F87" s="569"/>
      <c r="G87" s="569"/>
      <c r="H87" s="569"/>
      <c r="I87" s="569"/>
      <c r="J87" s="569"/>
      <c r="K87" s="569"/>
      <c r="L87" s="569"/>
      <c r="M87" s="569"/>
      <c r="N87" s="569"/>
      <c r="O87" s="569"/>
      <c r="P87" s="569"/>
      <c r="Q87" s="569"/>
      <c r="R87" s="569"/>
      <c r="S87" s="569"/>
      <c r="T87" s="569"/>
      <c r="U87" s="569"/>
      <c r="V87" s="569"/>
      <c r="W87" s="569"/>
      <c r="X87" s="569"/>
      <c r="Y87" s="569"/>
      <c r="Z87" s="569"/>
      <c r="AA87" s="569"/>
      <c r="AB87" s="569"/>
      <c r="AC87" s="569"/>
      <c r="AD87" s="569"/>
      <c r="AE87" s="569"/>
      <c r="AF87" s="569"/>
      <c r="AG87" s="297"/>
      <c r="AH87" s="297"/>
      <c r="AI87" s="297"/>
      <c r="AJ87" s="297"/>
      <c r="AK87" s="297"/>
    </row>
    <row r="88" spans="1:37" customFormat="1" ht="15" customHeight="1">
      <c r="A88" s="569" t="s">
        <v>606</v>
      </c>
      <c r="B88" s="569"/>
      <c r="C88" s="569"/>
      <c r="D88" s="569"/>
      <c r="E88" s="569"/>
      <c r="F88" s="569"/>
      <c r="G88" s="569"/>
      <c r="H88" s="569"/>
      <c r="I88" s="569"/>
      <c r="J88" s="569"/>
      <c r="K88" s="569"/>
      <c r="L88" s="569"/>
      <c r="M88" s="569"/>
      <c r="N88" s="569"/>
      <c r="O88" s="569"/>
      <c r="P88" s="569"/>
      <c r="Q88" s="569"/>
      <c r="R88" s="569"/>
      <c r="S88" s="569"/>
      <c r="T88" s="569"/>
      <c r="U88" s="569"/>
      <c r="V88" s="569"/>
      <c r="W88" s="569"/>
      <c r="X88" s="569"/>
      <c r="Y88" s="569"/>
      <c r="Z88" s="569"/>
      <c r="AA88" s="569"/>
      <c r="AB88" s="569"/>
      <c r="AC88" s="569"/>
      <c r="AD88" s="569"/>
      <c r="AE88" s="569"/>
      <c r="AF88" s="569"/>
      <c r="AG88" s="297"/>
      <c r="AH88" s="297"/>
      <c r="AI88" s="297"/>
      <c r="AJ88" s="297"/>
      <c r="AK88" s="297"/>
    </row>
    <row r="89" spans="1:37" customFormat="1" ht="15" customHeight="1">
      <c r="A89" s="569" t="s">
        <v>607</v>
      </c>
      <c r="B89" s="569"/>
      <c r="C89" s="569"/>
      <c r="D89" s="569"/>
      <c r="E89" s="569"/>
      <c r="F89" s="569"/>
      <c r="G89" s="569"/>
      <c r="H89" s="569"/>
      <c r="I89" s="569"/>
      <c r="J89" s="569"/>
      <c r="K89" s="569"/>
      <c r="L89" s="569"/>
      <c r="M89" s="569"/>
      <c r="N89" s="569"/>
      <c r="O89" s="569"/>
      <c r="P89" s="569"/>
      <c r="Q89" s="569"/>
      <c r="R89" s="569"/>
      <c r="S89" s="569"/>
      <c r="T89" s="569"/>
      <c r="U89" s="569"/>
      <c r="V89" s="569"/>
      <c r="W89" s="569"/>
      <c r="X89" s="569"/>
      <c r="Y89" s="569"/>
      <c r="Z89" s="569"/>
      <c r="AA89" s="569"/>
      <c r="AB89" s="569"/>
      <c r="AC89" s="569"/>
      <c r="AD89" s="569"/>
      <c r="AE89" s="569"/>
      <c r="AF89" s="569"/>
      <c r="AG89" s="297"/>
      <c r="AH89" s="297"/>
      <c r="AI89" s="297"/>
      <c r="AJ89" s="297"/>
      <c r="AK89" s="297"/>
    </row>
    <row r="90" spans="1:37" customFormat="1" ht="15" customHeight="1">
      <c r="A90" s="569" t="s">
        <v>608</v>
      </c>
      <c r="B90" s="569"/>
      <c r="C90" s="569"/>
      <c r="D90" s="569"/>
      <c r="E90" s="569"/>
      <c r="F90" s="569"/>
      <c r="G90" s="569"/>
      <c r="H90" s="569"/>
      <c r="I90" s="569"/>
      <c r="J90" s="569"/>
      <c r="K90" s="569"/>
      <c r="L90" s="569"/>
      <c r="M90" s="569"/>
      <c r="N90" s="569"/>
      <c r="O90" s="569"/>
      <c r="P90" s="569"/>
      <c r="Q90" s="569"/>
      <c r="R90" s="569"/>
      <c r="S90" s="569"/>
      <c r="T90" s="569"/>
      <c r="U90" s="569"/>
      <c r="V90" s="569"/>
      <c r="W90" s="569"/>
      <c r="X90" s="569"/>
      <c r="Y90" s="569"/>
      <c r="Z90" s="569"/>
      <c r="AA90" s="569"/>
      <c r="AB90" s="569"/>
      <c r="AC90" s="569"/>
      <c r="AD90" s="569"/>
      <c r="AE90" s="569"/>
      <c r="AF90" s="569"/>
      <c r="AG90" s="297"/>
      <c r="AH90" s="297"/>
      <c r="AI90" s="297"/>
      <c r="AJ90" s="297"/>
      <c r="AK90" s="297"/>
    </row>
    <row r="91" spans="1:37" customFormat="1" ht="15" customHeight="1">
      <c r="A91" s="569" t="s">
        <v>609</v>
      </c>
      <c r="B91" s="569"/>
      <c r="C91" s="569"/>
      <c r="D91" s="569"/>
      <c r="E91" s="569"/>
      <c r="F91" s="569"/>
      <c r="G91" s="569"/>
      <c r="H91" s="569"/>
      <c r="I91" s="569"/>
      <c r="J91" s="569"/>
      <c r="K91" s="569"/>
      <c r="L91" s="569"/>
      <c r="M91" s="569"/>
      <c r="N91" s="569"/>
      <c r="O91" s="569"/>
      <c r="P91" s="569"/>
      <c r="Q91" s="569"/>
      <c r="R91" s="569"/>
      <c r="S91" s="569"/>
      <c r="T91" s="569"/>
      <c r="U91" s="569"/>
      <c r="V91" s="569"/>
      <c r="W91" s="569"/>
      <c r="X91" s="569"/>
      <c r="Y91" s="569"/>
      <c r="Z91" s="569"/>
      <c r="AA91" s="569"/>
      <c r="AB91" s="569"/>
      <c r="AC91" s="569"/>
      <c r="AD91" s="569"/>
      <c r="AE91" s="569"/>
      <c r="AF91" s="569"/>
      <c r="AG91" s="297"/>
      <c r="AH91" s="297"/>
      <c r="AI91" s="297"/>
      <c r="AJ91" s="297"/>
      <c r="AK91" s="297"/>
    </row>
    <row r="92" spans="1:37" customFormat="1" ht="15" customHeight="1">
      <c r="A92" s="569" t="s">
        <v>610</v>
      </c>
      <c r="B92" s="569"/>
      <c r="C92" s="569"/>
      <c r="D92" s="569"/>
      <c r="E92" s="569"/>
      <c r="F92" s="569"/>
      <c r="G92" s="569"/>
      <c r="H92" s="569"/>
      <c r="I92" s="569"/>
      <c r="J92" s="569"/>
      <c r="K92" s="569"/>
      <c r="L92" s="569"/>
      <c r="M92" s="569"/>
      <c r="N92" s="569"/>
      <c r="O92" s="569"/>
      <c r="P92" s="569"/>
      <c r="Q92" s="569"/>
      <c r="R92" s="569"/>
      <c r="S92" s="569"/>
      <c r="T92" s="569"/>
      <c r="U92" s="569"/>
      <c r="V92" s="569"/>
      <c r="W92" s="569"/>
      <c r="X92" s="569"/>
      <c r="Y92" s="569"/>
      <c r="Z92" s="569"/>
      <c r="AA92" s="569"/>
      <c r="AB92" s="569"/>
      <c r="AC92" s="569"/>
      <c r="AD92" s="569"/>
      <c r="AE92" s="569"/>
      <c r="AF92" s="569"/>
      <c r="AG92" s="297"/>
      <c r="AH92" s="297"/>
      <c r="AI92" s="297"/>
      <c r="AJ92" s="297"/>
      <c r="AK92" s="297"/>
    </row>
    <row r="93" spans="1:37" customFormat="1" ht="15" customHeight="1">
      <c r="A93" s="569" t="s">
        <v>611</v>
      </c>
      <c r="B93" s="569"/>
      <c r="C93" s="569"/>
      <c r="D93" s="569"/>
      <c r="E93" s="569"/>
      <c r="F93" s="569"/>
      <c r="G93" s="569"/>
      <c r="H93" s="569"/>
      <c r="I93" s="569"/>
      <c r="J93" s="569"/>
      <c r="K93" s="569"/>
      <c r="L93" s="569"/>
      <c r="M93" s="569"/>
      <c r="N93" s="569"/>
      <c r="O93" s="569"/>
      <c r="P93" s="569"/>
      <c r="Q93" s="569"/>
      <c r="R93" s="569"/>
      <c r="S93" s="569"/>
      <c r="T93" s="569"/>
      <c r="U93" s="569"/>
      <c r="V93" s="569"/>
      <c r="W93" s="569"/>
      <c r="X93" s="569"/>
      <c r="Y93" s="569"/>
      <c r="Z93" s="569"/>
      <c r="AA93" s="569"/>
      <c r="AB93" s="569"/>
      <c r="AC93" s="569"/>
      <c r="AD93" s="569"/>
      <c r="AE93" s="569"/>
      <c r="AF93" s="569"/>
      <c r="AG93" s="297"/>
      <c r="AH93" s="297"/>
      <c r="AI93" s="297"/>
      <c r="AJ93" s="297"/>
      <c r="AK93" s="297"/>
    </row>
    <row r="94" spans="1:37" customFormat="1" ht="15" customHeight="1">
      <c r="A94" s="569" t="s">
        <v>612</v>
      </c>
      <c r="B94" s="569"/>
      <c r="C94" s="569"/>
      <c r="D94" s="569"/>
      <c r="E94" s="569"/>
      <c r="F94" s="569"/>
      <c r="G94" s="569"/>
      <c r="H94" s="569"/>
      <c r="I94" s="569"/>
      <c r="J94" s="569"/>
      <c r="K94" s="569"/>
      <c r="L94" s="569"/>
      <c r="M94" s="569"/>
      <c r="N94" s="569"/>
      <c r="O94" s="569"/>
      <c r="P94" s="569"/>
      <c r="Q94" s="569"/>
      <c r="R94" s="569"/>
      <c r="S94" s="569"/>
      <c r="T94" s="569"/>
      <c r="U94" s="569"/>
      <c r="V94" s="569"/>
      <c r="W94" s="569"/>
      <c r="X94" s="569"/>
      <c r="Y94" s="569"/>
      <c r="Z94" s="569"/>
      <c r="AA94" s="569"/>
      <c r="AB94" s="569"/>
      <c r="AC94" s="569"/>
      <c r="AD94" s="569"/>
      <c r="AE94" s="569"/>
      <c r="AF94" s="569"/>
      <c r="AG94" s="297"/>
      <c r="AH94" s="297"/>
      <c r="AI94" s="297"/>
      <c r="AJ94" s="297"/>
      <c r="AK94" s="297"/>
    </row>
    <row r="95" spans="1:37" customFormat="1" ht="15" customHeight="1">
      <c r="A95" s="569" t="s">
        <v>613</v>
      </c>
      <c r="B95" s="569"/>
      <c r="C95" s="569"/>
      <c r="D95" s="569"/>
      <c r="E95" s="569"/>
      <c r="F95" s="569"/>
      <c r="G95" s="569"/>
      <c r="H95" s="569"/>
      <c r="I95" s="569"/>
      <c r="J95" s="569"/>
      <c r="K95" s="569"/>
      <c r="L95" s="569"/>
      <c r="M95" s="569"/>
      <c r="N95" s="569"/>
      <c r="O95" s="569"/>
      <c r="P95" s="569"/>
      <c r="Q95" s="569"/>
      <c r="R95" s="569"/>
      <c r="S95" s="569"/>
      <c r="T95" s="569"/>
      <c r="U95" s="569"/>
      <c r="V95" s="569"/>
      <c r="W95" s="569"/>
      <c r="X95" s="569"/>
      <c r="Y95" s="569"/>
      <c r="Z95" s="569"/>
      <c r="AA95" s="569"/>
      <c r="AB95" s="569"/>
      <c r="AC95" s="569"/>
      <c r="AD95" s="569"/>
      <c r="AE95" s="569"/>
      <c r="AF95" s="569"/>
      <c r="AG95" s="297"/>
      <c r="AH95" s="297"/>
      <c r="AI95" s="297"/>
      <c r="AJ95" s="297"/>
      <c r="AK95" s="297"/>
    </row>
    <row r="96" spans="1:37" customFormat="1" ht="15" customHeight="1">
      <c r="A96" s="569" t="s">
        <v>614</v>
      </c>
      <c r="B96" s="569"/>
      <c r="C96" s="569"/>
      <c r="D96" s="569"/>
      <c r="E96" s="569"/>
      <c r="F96" s="569"/>
      <c r="G96" s="569"/>
      <c r="H96" s="569"/>
      <c r="I96" s="569"/>
      <c r="J96" s="569"/>
      <c r="K96" s="569"/>
      <c r="L96" s="569"/>
      <c r="M96" s="569"/>
      <c r="N96" s="569"/>
      <c r="O96" s="569"/>
      <c r="P96" s="569"/>
      <c r="Q96" s="569"/>
      <c r="R96" s="569"/>
      <c r="S96" s="569"/>
      <c r="T96" s="569"/>
      <c r="U96" s="569"/>
      <c r="V96" s="569"/>
      <c r="W96" s="569"/>
      <c r="X96" s="569"/>
      <c r="Y96" s="569"/>
      <c r="Z96" s="569"/>
      <c r="AA96" s="569"/>
      <c r="AB96" s="569"/>
      <c r="AC96" s="569"/>
      <c r="AD96" s="569"/>
      <c r="AE96" s="569"/>
      <c r="AF96" s="569"/>
      <c r="AG96" s="297"/>
      <c r="AH96" s="297"/>
      <c r="AI96" s="297"/>
      <c r="AJ96" s="297"/>
      <c r="AK96" s="297"/>
    </row>
    <row r="97" spans="1:37" customFormat="1" ht="15" customHeight="1">
      <c r="A97" s="569" t="s">
        <v>615</v>
      </c>
      <c r="B97" s="569"/>
      <c r="C97" s="569"/>
      <c r="D97" s="569"/>
      <c r="E97" s="569"/>
      <c r="F97" s="569"/>
      <c r="G97" s="569"/>
      <c r="H97" s="569"/>
      <c r="I97" s="569"/>
      <c r="J97" s="569"/>
      <c r="K97" s="569"/>
      <c r="L97" s="569"/>
      <c r="M97" s="569"/>
      <c r="N97" s="569"/>
      <c r="O97" s="569"/>
      <c r="P97" s="569"/>
      <c r="Q97" s="569"/>
      <c r="R97" s="569"/>
      <c r="S97" s="569"/>
      <c r="T97" s="569"/>
      <c r="U97" s="569"/>
      <c r="V97" s="569"/>
      <c r="W97" s="569"/>
      <c r="X97" s="569"/>
      <c r="Y97" s="569"/>
      <c r="Z97" s="569"/>
      <c r="AA97" s="569"/>
      <c r="AB97" s="569"/>
      <c r="AC97" s="569"/>
      <c r="AD97" s="569"/>
      <c r="AE97" s="569"/>
      <c r="AF97" s="569"/>
      <c r="AG97" s="297"/>
      <c r="AH97" s="297"/>
      <c r="AI97" s="297"/>
      <c r="AJ97" s="297"/>
      <c r="AK97" s="297"/>
    </row>
    <row r="98" spans="1:37" customFormat="1" ht="15" customHeight="1">
      <c r="A98" s="569" t="s">
        <v>616</v>
      </c>
      <c r="B98" s="569"/>
      <c r="C98" s="569"/>
      <c r="D98" s="569"/>
      <c r="E98" s="569"/>
      <c r="F98" s="569"/>
      <c r="G98" s="569"/>
      <c r="H98" s="569"/>
      <c r="I98" s="569"/>
      <c r="J98" s="569"/>
      <c r="K98" s="569"/>
      <c r="L98" s="569"/>
      <c r="M98" s="569"/>
      <c r="N98" s="569"/>
      <c r="O98" s="569"/>
      <c r="P98" s="569"/>
      <c r="Q98" s="569"/>
      <c r="R98" s="569"/>
      <c r="S98" s="569"/>
      <c r="T98" s="569"/>
      <c r="U98" s="569"/>
      <c r="V98" s="569"/>
      <c r="W98" s="569"/>
      <c r="X98" s="569"/>
      <c r="Y98" s="569"/>
      <c r="Z98" s="569"/>
      <c r="AA98" s="569"/>
      <c r="AB98" s="569"/>
      <c r="AC98" s="569"/>
      <c r="AD98" s="569"/>
      <c r="AE98" s="569"/>
      <c r="AF98" s="569"/>
      <c r="AG98" s="297"/>
      <c r="AH98" s="297"/>
      <c r="AI98" s="297"/>
      <c r="AJ98" s="297"/>
      <c r="AK98" s="297"/>
    </row>
    <row r="99" spans="1:37" customFormat="1" ht="15" customHeight="1">
      <c r="A99" s="569" t="s">
        <v>617</v>
      </c>
      <c r="B99" s="569"/>
      <c r="C99" s="569"/>
      <c r="D99" s="569"/>
      <c r="E99" s="569"/>
      <c r="F99" s="569"/>
      <c r="G99" s="569"/>
      <c r="H99" s="569"/>
      <c r="I99" s="569"/>
      <c r="J99" s="569"/>
      <c r="K99" s="569"/>
      <c r="L99" s="569"/>
      <c r="M99" s="569"/>
      <c r="N99" s="569"/>
      <c r="O99" s="569"/>
      <c r="P99" s="569"/>
      <c r="Q99" s="569"/>
      <c r="R99" s="569"/>
      <c r="S99" s="569"/>
      <c r="T99" s="569"/>
      <c r="U99" s="569"/>
      <c r="V99" s="569"/>
      <c r="W99" s="569"/>
      <c r="X99" s="569"/>
      <c r="Y99" s="569"/>
      <c r="Z99" s="569"/>
      <c r="AA99" s="569"/>
      <c r="AB99" s="569"/>
      <c r="AC99" s="569"/>
      <c r="AD99" s="569"/>
      <c r="AE99" s="569"/>
      <c r="AF99" s="569"/>
      <c r="AG99" s="297"/>
      <c r="AH99" s="297"/>
      <c r="AI99" s="297"/>
      <c r="AJ99" s="297"/>
      <c r="AK99" s="297"/>
    </row>
    <row r="100" spans="1:37" customFormat="1" ht="15" customHeight="1">
      <c r="A100" s="569" t="s">
        <v>618</v>
      </c>
      <c r="B100" s="569"/>
      <c r="C100" s="569"/>
      <c r="D100" s="569"/>
      <c r="E100" s="569"/>
      <c r="F100" s="569"/>
      <c r="G100" s="569"/>
      <c r="H100" s="569"/>
      <c r="I100" s="569"/>
      <c r="J100" s="569"/>
      <c r="K100" s="569"/>
      <c r="L100" s="569"/>
      <c r="M100" s="569"/>
      <c r="N100" s="569"/>
      <c r="O100" s="569"/>
      <c r="P100" s="569"/>
      <c r="Q100" s="569"/>
      <c r="R100" s="569"/>
      <c r="S100" s="569"/>
      <c r="T100" s="569"/>
      <c r="U100" s="569"/>
      <c r="V100" s="569"/>
      <c r="W100" s="569"/>
      <c r="X100" s="569"/>
      <c r="Y100" s="569"/>
      <c r="Z100" s="569"/>
      <c r="AA100" s="569"/>
      <c r="AB100" s="569"/>
      <c r="AC100" s="569"/>
      <c r="AD100" s="569"/>
      <c r="AE100" s="569"/>
      <c r="AF100" s="569"/>
      <c r="AG100" s="297"/>
      <c r="AH100" s="297"/>
      <c r="AI100" s="297"/>
      <c r="AJ100" s="297"/>
      <c r="AK100" s="297"/>
    </row>
    <row r="101" spans="1:37" customFormat="1" ht="15" customHeight="1">
      <c r="A101" s="569" t="s">
        <v>619</v>
      </c>
      <c r="B101" s="569"/>
      <c r="C101" s="569"/>
      <c r="D101" s="569"/>
      <c r="E101" s="569"/>
      <c r="F101" s="569"/>
      <c r="G101" s="569"/>
      <c r="H101" s="569"/>
      <c r="I101" s="569"/>
      <c r="J101" s="569"/>
      <c r="K101" s="569"/>
      <c r="L101" s="569"/>
      <c r="M101" s="569"/>
      <c r="N101" s="569"/>
      <c r="O101" s="569"/>
      <c r="P101" s="569"/>
      <c r="Q101" s="569"/>
      <c r="R101" s="569"/>
      <c r="S101" s="569"/>
      <c r="T101" s="569"/>
      <c r="U101" s="569"/>
      <c r="V101" s="569"/>
      <c r="W101" s="569"/>
      <c r="X101" s="569"/>
      <c r="Y101" s="569"/>
      <c r="Z101" s="569"/>
      <c r="AA101" s="569"/>
      <c r="AB101" s="569"/>
      <c r="AC101" s="569"/>
      <c r="AD101" s="569"/>
      <c r="AE101" s="569"/>
      <c r="AF101" s="569"/>
      <c r="AG101" s="297"/>
      <c r="AH101" s="297"/>
      <c r="AI101" s="297"/>
      <c r="AJ101" s="297"/>
      <c r="AK101" s="297"/>
    </row>
    <row r="102" spans="1:37" customFormat="1" ht="15" customHeight="1">
      <c r="A102" s="569" t="s">
        <v>620</v>
      </c>
      <c r="B102" s="569"/>
      <c r="C102" s="569"/>
      <c r="D102" s="569"/>
      <c r="E102" s="569"/>
      <c r="F102" s="569"/>
      <c r="G102" s="569"/>
      <c r="H102" s="569"/>
      <c r="I102" s="569"/>
      <c r="J102" s="569"/>
      <c r="K102" s="569"/>
      <c r="L102" s="569"/>
      <c r="M102" s="569"/>
      <c r="N102" s="569"/>
      <c r="O102" s="569"/>
      <c r="P102" s="569"/>
      <c r="Q102" s="569"/>
      <c r="R102" s="569"/>
      <c r="S102" s="569"/>
      <c r="T102" s="569"/>
      <c r="U102" s="569"/>
      <c r="V102" s="569"/>
      <c r="W102" s="569"/>
      <c r="X102" s="569"/>
      <c r="Y102" s="569"/>
      <c r="Z102" s="569"/>
      <c r="AA102" s="569"/>
      <c r="AB102" s="569"/>
      <c r="AC102" s="569"/>
      <c r="AD102" s="569"/>
      <c r="AE102" s="569"/>
      <c r="AF102" s="569"/>
      <c r="AG102" s="297"/>
      <c r="AH102" s="297"/>
      <c r="AI102" s="297"/>
      <c r="AJ102" s="297"/>
      <c r="AK102" s="297"/>
    </row>
    <row r="103" spans="1:37" customFormat="1" ht="15" customHeight="1">
      <c r="A103" s="569" t="s">
        <v>621</v>
      </c>
      <c r="B103" s="569"/>
      <c r="C103" s="569"/>
      <c r="D103" s="569"/>
      <c r="E103" s="569"/>
      <c r="F103" s="569"/>
      <c r="G103" s="569"/>
      <c r="H103" s="569"/>
      <c r="I103" s="569"/>
      <c r="J103" s="569"/>
      <c r="K103" s="569"/>
      <c r="L103" s="569"/>
      <c r="M103" s="569"/>
      <c r="N103" s="569"/>
      <c r="O103" s="569"/>
      <c r="P103" s="569"/>
      <c r="Q103" s="569"/>
      <c r="R103" s="569"/>
      <c r="S103" s="569"/>
      <c r="T103" s="569"/>
      <c r="U103" s="569"/>
      <c r="V103" s="569"/>
      <c r="W103" s="569"/>
      <c r="X103" s="569"/>
      <c r="Y103" s="569"/>
      <c r="Z103" s="569"/>
      <c r="AA103" s="569"/>
      <c r="AB103" s="569"/>
      <c r="AC103" s="569"/>
      <c r="AD103" s="569"/>
      <c r="AE103" s="569"/>
      <c r="AF103" s="569"/>
      <c r="AG103" s="297"/>
      <c r="AH103" s="297"/>
      <c r="AI103" s="297"/>
      <c r="AJ103" s="297"/>
      <c r="AK103" s="297"/>
    </row>
    <row r="104" spans="1:37" customFormat="1" ht="15" customHeight="1">
      <c r="A104" s="569" t="s">
        <v>622</v>
      </c>
      <c r="B104" s="569"/>
      <c r="C104" s="569"/>
      <c r="D104" s="569"/>
      <c r="E104" s="569"/>
      <c r="F104" s="569"/>
      <c r="G104" s="569"/>
      <c r="H104" s="569"/>
      <c r="I104" s="569"/>
      <c r="J104" s="569"/>
      <c r="K104" s="569"/>
      <c r="L104" s="569"/>
      <c r="M104" s="569"/>
      <c r="N104" s="569"/>
      <c r="O104" s="569"/>
      <c r="P104" s="569"/>
      <c r="Q104" s="569"/>
      <c r="R104" s="569"/>
      <c r="S104" s="569"/>
      <c r="T104" s="569"/>
      <c r="U104" s="569"/>
      <c r="V104" s="569"/>
      <c r="W104" s="569"/>
      <c r="X104" s="569"/>
      <c r="Y104" s="569"/>
      <c r="Z104" s="569"/>
      <c r="AA104" s="569"/>
      <c r="AB104" s="569"/>
      <c r="AC104" s="569"/>
      <c r="AD104" s="569"/>
      <c r="AE104" s="569"/>
      <c r="AF104" s="569"/>
      <c r="AG104" s="297"/>
      <c r="AH104" s="297"/>
      <c r="AI104" s="297"/>
      <c r="AJ104" s="297"/>
      <c r="AK104" s="297"/>
    </row>
    <row r="105" spans="1:37" customFormat="1" ht="15" customHeight="1">
      <c r="A105" s="569" t="s">
        <v>623</v>
      </c>
      <c r="B105" s="569"/>
      <c r="C105" s="569"/>
      <c r="D105" s="569"/>
      <c r="E105" s="569"/>
      <c r="F105" s="569"/>
      <c r="G105" s="569"/>
      <c r="H105" s="569"/>
      <c r="I105" s="569"/>
      <c r="J105" s="569"/>
      <c r="K105" s="569"/>
      <c r="L105" s="569"/>
      <c r="M105" s="569"/>
      <c r="N105" s="569"/>
      <c r="O105" s="569"/>
      <c r="P105" s="569"/>
      <c r="Q105" s="569"/>
      <c r="R105" s="569"/>
      <c r="S105" s="569"/>
      <c r="T105" s="569"/>
      <c r="U105" s="569"/>
      <c r="V105" s="569"/>
      <c r="W105" s="569"/>
      <c r="X105" s="569"/>
      <c r="Y105" s="569"/>
      <c r="Z105" s="569"/>
      <c r="AA105" s="569"/>
      <c r="AB105" s="569"/>
      <c r="AC105" s="569"/>
      <c r="AD105" s="569"/>
      <c r="AE105" s="569"/>
      <c r="AF105" s="569"/>
      <c r="AG105" s="297"/>
      <c r="AH105" s="297"/>
      <c r="AI105" s="297"/>
      <c r="AJ105" s="297"/>
      <c r="AK105" s="297"/>
    </row>
    <row r="106" spans="1:37" customFormat="1" ht="15" customHeight="1">
      <c r="A106" s="569" t="s">
        <v>624</v>
      </c>
      <c r="B106" s="569"/>
      <c r="C106" s="569"/>
      <c r="D106" s="569"/>
      <c r="E106" s="569"/>
      <c r="F106" s="569"/>
      <c r="G106" s="569"/>
      <c r="H106" s="569"/>
      <c r="I106" s="569"/>
      <c r="J106" s="569"/>
      <c r="K106" s="569"/>
      <c r="L106" s="569"/>
      <c r="M106" s="569"/>
      <c r="N106" s="569"/>
      <c r="O106" s="569"/>
      <c r="P106" s="569"/>
      <c r="Q106" s="569"/>
      <c r="R106" s="569"/>
      <c r="S106" s="569"/>
      <c r="T106" s="569"/>
      <c r="U106" s="569"/>
      <c r="V106" s="569"/>
      <c r="W106" s="569"/>
      <c r="X106" s="569"/>
      <c r="Y106" s="569"/>
      <c r="Z106" s="569"/>
      <c r="AA106" s="569"/>
      <c r="AB106" s="569"/>
      <c r="AC106" s="569"/>
      <c r="AD106" s="569"/>
      <c r="AE106" s="569"/>
      <c r="AF106" s="569"/>
      <c r="AG106" s="297"/>
      <c r="AH106" s="297"/>
      <c r="AI106" s="297"/>
      <c r="AJ106" s="297"/>
      <c r="AK106" s="297"/>
    </row>
    <row r="107" spans="1:37" customFormat="1" ht="15" customHeight="1">
      <c r="A107" s="569" t="s">
        <v>625</v>
      </c>
      <c r="B107" s="569"/>
      <c r="C107" s="569"/>
      <c r="D107" s="569"/>
      <c r="E107" s="569"/>
      <c r="F107" s="569"/>
      <c r="G107" s="569"/>
      <c r="H107" s="569"/>
      <c r="I107" s="569"/>
      <c r="J107" s="569"/>
      <c r="K107" s="569"/>
      <c r="L107" s="569"/>
      <c r="M107" s="569"/>
      <c r="N107" s="569"/>
      <c r="O107" s="569"/>
      <c r="P107" s="569"/>
      <c r="Q107" s="569"/>
      <c r="R107" s="569"/>
      <c r="S107" s="569"/>
      <c r="T107" s="569"/>
      <c r="U107" s="569"/>
      <c r="V107" s="569"/>
      <c r="W107" s="569"/>
      <c r="X107" s="569"/>
      <c r="Y107" s="569"/>
      <c r="Z107" s="569"/>
      <c r="AA107" s="569"/>
      <c r="AB107" s="569"/>
      <c r="AC107" s="569"/>
      <c r="AD107" s="569"/>
      <c r="AE107" s="569"/>
      <c r="AF107" s="569"/>
      <c r="AG107" s="297"/>
      <c r="AH107" s="297"/>
      <c r="AI107" s="297"/>
      <c r="AJ107" s="297"/>
      <c r="AK107" s="297"/>
    </row>
    <row r="108" spans="1:37" customFormat="1" ht="15" customHeight="1">
      <c r="A108" s="569" t="s">
        <v>626</v>
      </c>
      <c r="B108" s="569"/>
      <c r="C108" s="569"/>
      <c r="D108" s="569"/>
      <c r="E108" s="569"/>
      <c r="F108" s="569"/>
      <c r="G108" s="569"/>
      <c r="H108" s="569"/>
      <c r="I108" s="569"/>
      <c r="J108" s="569"/>
      <c r="K108" s="569"/>
      <c r="L108" s="569"/>
      <c r="M108" s="569"/>
      <c r="N108" s="569"/>
      <c r="O108" s="569"/>
      <c r="P108" s="569"/>
      <c r="Q108" s="569"/>
      <c r="R108" s="569"/>
      <c r="S108" s="569"/>
      <c r="T108" s="569"/>
      <c r="U108" s="569"/>
      <c r="V108" s="569"/>
      <c r="W108" s="569"/>
      <c r="X108" s="569"/>
      <c r="Y108" s="569"/>
      <c r="Z108" s="569"/>
      <c r="AA108" s="569"/>
      <c r="AB108" s="569"/>
      <c r="AC108" s="569"/>
      <c r="AD108" s="569"/>
      <c r="AE108" s="569"/>
      <c r="AF108" s="569"/>
      <c r="AG108" s="297"/>
      <c r="AH108" s="297"/>
      <c r="AI108" s="297"/>
      <c r="AJ108" s="297"/>
      <c r="AK108" s="297"/>
    </row>
    <row r="109" spans="1:37" customFormat="1" ht="15" customHeight="1">
      <c r="A109" s="569" t="s">
        <v>627</v>
      </c>
      <c r="B109" s="569"/>
      <c r="C109" s="569"/>
      <c r="D109" s="569"/>
      <c r="E109" s="569"/>
      <c r="F109" s="569"/>
      <c r="G109" s="569"/>
      <c r="H109" s="569"/>
      <c r="I109" s="569"/>
      <c r="J109" s="569"/>
      <c r="K109" s="569"/>
      <c r="L109" s="569"/>
      <c r="M109" s="569"/>
      <c r="N109" s="569"/>
      <c r="O109" s="569"/>
      <c r="P109" s="569"/>
      <c r="Q109" s="569"/>
      <c r="R109" s="569"/>
      <c r="S109" s="569"/>
      <c r="T109" s="569"/>
      <c r="U109" s="569"/>
      <c r="V109" s="569"/>
      <c r="W109" s="569"/>
      <c r="X109" s="569"/>
      <c r="Y109" s="569"/>
      <c r="Z109" s="569"/>
      <c r="AA109" s="569"/>
      <c r="AB109" s="569"/>
      <c r="AC109" s="569"/>
      <c r="AD109" s="569"/>
      <c r="AE109" s="569"/>
      <c r="AF109" s="569"/>
      <c r="AG109" s="297"/>
      <c r="AH109" s="297"/>
      <c r="AI109" s="297"/>
      <c r="AJ109" s="297"/>
      <c r="AK109" s="297"/>
    </row>
  </sheetData>
  <mergeCells count="32">
    <mergeCell ref="A78:AF78"/>
    <mergeCell ref="A79:AF79"/>
    <mergeCell ref="A80:AF80"/>
    <mergeCell ref="A81:AF81"/>
    <mergeCell ref="A82:AF82"/>
    <mergeCell ref="A83:AF83"/>
    <mergeCell ref="A84:AF84"/>
    <mergeCell ref="A85:AF85"/>
    <mergeCell ref="A86:AF86"/>
    <mergeCell ref="A87:AF87"/>
    <mergeCell ref="A88:AF88"/>
    <mergeCell ref="A89:AF89"/>
    <mergeCell ref="A90:AF90"/>
    <mergeCell ref="A91:AF91"/>
    <mergeCell ref="A92:AF92"/>
    <mergeCell ref="A93:AF93"/>
    <mergeCell ref="A94:AF94"/>
    <mergeCell ref="A95:AF95"/>
    <mergeCell ref="A96:AF96"/>
    <mergeCell ref="A97:AF97"/>
    <mergeCell ref="A98:AF98"/>
    <mergeCell ref="A99:AF99"/>
    <mergeCell ref="A100:AF100"/>
    <mergeCell ref="A101:AF101"/>
    <mergeCell ref="A108:AF108"/>
    <mergeCell ref="A109:AF109"/>
    <mergeCell ref="A102:AF102"/>
    <mergeCell ref="A103:AF103"/>
    <mergeCell ref="A104:AF104"/>
    <mergeCell ref="A105:AF105"/>
    <mergeCell ref="A106:AF106"/>
    <mergeCell ref="A107:AF107"/>
  </mergeCells>
  <pageMargins left="0.5" right="0.5" top="0.5" bottom="0.5" header="0.5" footer="0.5"/>
  <pageSetup orientation="portrait"/>
  <headerFooter alignWithMargins="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21"/>
  <sheetViews>
    <sheetView workbookViewId="0">
      <selection activeCell="A7" sqref="A7"/>
    </sheetView>
  </sheetViews>
  <sheetFormatPr baseColWidth="10" defaultColWidth="8.83203125" defaultRowHeight="14" x14ac:dyDescent="0"/>
  <sheetData>
    <row r="2" spans="1:2">
      <c r="A2" t="s">
        <v>529</v>
      </c>
    </row>
    <row r="4" spans="1:2">
      <c r="A4" t="s">
        <v>552</v>
      </c>
    </row>
    <row r="5" spans="1:2">
      <c r="B5" t="s">
        <v>528</v>
      </c>
    </row>
    <row r="7" spans="1:2">
      <c r="A7" t="s">
        <v>716</v>
      </c>
    </row>
    <row r="9" spans="1:2">
      <c r="A9" t="s">
        <v>527</v>
      </c>
    </row>
    <row r="10" spans="1:2">
      <c r="B10" t="s">
        <v>521</v>
      </c>
    </row>
    <row r="12" spans="1:2">
      <c r="A12" t="s">
        <v>710</v>
      </c>
    </row>
    <row r="14" spans="1:2">
      <c r="A14" t="s">
        <v>520</v>
      </c>
    </row>
    <row r="15" spans="1:2">
      <c r="B15" t="s">
        <v>522</v>
      </c>
    </row>
    <row r="17" spans="1:1">
      <c r="A17" t="s">
        <v>525</v>
      </c>
    </row>
    <row r="19" spans="1:1">
      <c r="A19" t="s">
        <v>526</v>
      </c>
    </row>
    <row r="21" spans="1:1">
      <c r="A21" t="s">
        <v>551</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254"/>
  <sheetViews>
    <sheetView topLeftCell="A10" zoomScale="80" zoomScaleNormal="80" zoomScalePageLayoutView="80" workbookViewId="0">
      <pane xSplit="2" ySplit="3" topLeftCell="C116" activePane="bottomRight" state="frozen"/>
      <selection activeCell="A10" sqref="A10"/>
      <selection pane="topRight" activeCell="C10" sqref="C10"/>
      <selection pane="bottomLeft" activeCell="A13" sqref="A13"/>
      <selection pane="bottomRight" activeCell="H186" sqref="H186"/>
    </sheetView>
  </sheetViews>
  <sheetFormatPr baseColWidth="10" defaultColWidth="8.83203125" defaultRowHeight="14" x14ac:dyDescent="0"/>
  <cols>
    <col min="1" max="1" width="43.83203125" customWidth="1"/>
    <col min="2" max="2" width="5.1640625" style="33" hidden="1" customWidth="1"/>
    <col min="3" max="5" width="11.1640625" style="327" customWidth="1"/>
    <col min="6" max="6" width="17" style="327" customWidth="1"/>
    <col min="7" max="7" width="15.5" style="327" customWidth="1"/>
    <col min="8" max="8" width="16.1640625" style="399" customWidth="1"/>
    <col min="9" max="9" width="15.5" style="2" customWidth="1"/>
    <col min="10" max="10" width="12.5" style="2" customWidth="1"/>
    <col min="11" max="11" width="13" style="2" customWidth="1"/>
    <col min="12" max="12" width="11.83203125" style="2" customWidth="1"/>
    <col min="13" max="13" width="12.33203125" style="2" customWidth="1"/>
    <col min="14" max="14" width="13" style="175" customWidth="1"/>
    <col min="15" max="15" width="13.33203125" style="2" customWidth="1"/>
    <col min="16" max="16" width="13.5" style="2" customWidth="1"/>
    <col min="17" max="17" width="13.33203125" style="2" customWidth="1"/>
    <col min="18" max="18" width="13.6640625" style="2" customWidth="1"/>
    <col min="19" max="19" width="13.33203125" style="2" customWidth="1"/>
    <col min="20" max="21" width="13.1640625" style="2" customWidth="1"/>
    <col min="22" max="22" width="14.1640625" style="2" customWidth="1"/>
    <col min="23" max="23" width="13.6640625" style="2" customWidth="1"/>
    <col min="24" max="24" width="13.83203125" style="192" customWidth="1"/>
    <col min="25" max="25" width="17.6640625" customWidth="1"/>
    <col min="26" max="26" width="14.6640625" customWidth="1"/>
    <col min="27" max="27" width="13.1640625" customWidth="1"/>
    <col min="28" max="28" width="14" customWidth="1"/>
    <col min="29" max="29" width="12.6640625" customWidth="1"/>
    <col min="30" max="30" width="13.33203125" bestFit="1" customWidth="1"/>
    <col min="31" max="31" width="12.6640625" customWidth="1"/>
    <col min="32" max="32" width="13" customWidth="1"/>
    <col min="33" max="33" width="13.33203125" customWidth="1"/>
    <col min="34" max="34" width="13.33203125" style="280" customWidth="1"/>
    <col min="35" max="35" width="20.6640625" bestFit="1" customWidth="1"/>
    <col min="36" max="36" width="15.33203125" bestFit="1" customWidth="1"/>
    <col min="37" max="37" width="13.33203125" bestFit="1" customWidth="1"/>
    <col min="38" max="38" width="13.83203125" customWidth="1"/>
  </cols>
  <sheetData>
    <row r="1" spans="1:38" hidden="1">
      <c r="A1" s="536"/>
      <c r="B1" s="536"/>
      <c r="C1" s="536"/>
      <c r="D1" s="536"/>
      <c r="E1" s="536"/>
      <c r="F1" s="536"/>
      <c r="G1" s="536"/>
      <c r="H1" s="536"/>
      <c r="I1" s="536"/>
      <c r="J1" s="536"/>
      <c r="K1" s="536"/>
      <c r="L1" s="536"/>
      <c r="M1" s="536"/>
      <c r="N1" s="536"/>
      <c r="O1" s="536"/>
      <c r="P1" s="536"/>
      <c r="Q1" s="536"/>
      <c r="R1" s="536"/>
      <c r="S1" s="536"/>
      <c r="T1" s="536"/>
      <c r="U1" s="536"/>
      <c r="V1" s="536"/>
      <c r="W1" s="536"/>
      <c r="X1" s="536"/>
      <c r="Y1" s="536"/>
      <c r="Z1" s="536"/>
      <c r="AA1" s="536"/>
      <c r="AB1" s="536"/>
      <c r="AC1" s="536"/>
      <c r="AD1" s="536"/>
      <c r="AE1" s="536"/>
      <c r="AF1" s="536"/>
      <c r="AG1" s="536"/>
      <c r="AH1" s="536"/>
      <c r="AI1" s="536"/>
      <c r="AJ1" s="536"/>
      <c r="AK1" s="536"/>
      <c r="AL1" s="536"/>
    </row>
    <row r="2" spans="1:38" hidden="1">
      <c r="A2" s="536"/>
      <c r="B2" s="536"/>
      <c r="C2" s="536"/>
      <c r="D2" s="536"/>
      <c r="E2" s="536"/>
      <c r="F2" s="536"/>
      <c r="G2" s="536"/>
      <c r="H2" s="536"/>
      <c r="I2" s="536"/>
      <c r="J2" s="536"/>
      <c r="K2" s="536"/>
      <c r="L2" s="536"/>
      <c r="M2" s="536"/>
      <c r="N2" s="536"/>
      <c r="O2" s="536"/>
      <c r="P2" s="536"/>
      <c r="Q2" s="536"/>
      <c r="R2" s="536"/>
      <c r="S2" s="536"/>
      <c r="T2" s="536"/>
      <c r="U2" s="536"/>
      <c r="V2" s="536"/>
      <c r="W2" s="536"/>
      <c r="X2" s="536"/>
      <c r="Y2" s="536"/>
      <c r="Z2" s="536"/>
      <c r="AA2" s="536"/>
      <c r="AB2" s="536"/>
      <c r="AC2" s="536"/>
      <c r="AD2" s="536"/>
      <c r="AE2" s="536"/>
      <c r="AF2" s="536"/>
      <c r="AG2" s="536"/>
      <c r="AH2" s="536"/>
      <c r="AI2" s="536"/>
      <c r="AJ2" s="536"/>
      <c r="AK2" s="536"/>
      <c r="AL2" s="536"/>
    </row>
    <row r="3" spans="1:38" hidden="1">
      <c r="A3" s="536"/>
      <c r="B3" s="536"/>
      <c r="C3" s="536"/>
      <c r="D3" s="536"/>
      <c r="E3" s="536"/>
      <c r="F3" s="536"/>
      <c r="G3" s="536"/>
      <c r="H3" s="536"/>
      <c r="I3" s="536"/>
      <c r="J3" s="536"/>
      <c r="K3" s="536"/>
      <c r="L3" s="536"/>
      <c r="M3" s="536"/>
      <c r="N3" s="536"/>
      <c r="O3" s="536"/>
      <c r="P3" s="536"/>
      <c r="Q3" s="536"/>
      <c r="R3" s="536"/>
      <c r="S3" s="536"/>
      <c r="T3" s="536"/>
      <c r="U3" s="536"/>
      <c r="V3" s="536"/>
      <c r="W3" s="536"/>
      <c r="X3" s="536"/>
      <c r="Y3" s="536"/>
      <c r="Z3" s="536"/>
      <c r="AA3" s="536"/>
      <c r="AB3" s="536"/>
      <c r="AC3" s="536"/>
      <c r="AD3" s="536"/>
      <c r="AE3" s="536"/>
      <c r="AF3" s="536"/>
      <c r="AG3" s="536"/>
      <c r="AH3" s="536"/>
      <c r="AI3" s="536"/>
      <c r="AJ3" s="536"/>
      <c r="AK3" s="536"/>
      <c r="AL3" s="536"/>
    </row>
    <row r="4" spans="1:38" hidden="1">
      <c r="A4" s="536"/>
      <c r="B4" s="536"/>
      <c r="C4" s="536"/>
      <c r="D4" s="536"/>
      <c r="E4" s="536"/>
      <c r="F4" s="536"/>
      <c r="G4" s="536"/>
      <c r="H4" s="536"/>
      <c r="I4" s="536"/>
      <c r="J4" s="536"/>
      <c r="K4" s="536"/>
      <c r="L4" s="536"/>
      <c r="M4" s="536"/>
      <c r="N4" s="536"/>
      <c r="O4" s="536"/>
      <c r="P4" s="536"/>
      <c r="Q4" s="536"/>
      <c r="R4" s="536"/>
      <c r="S4" s="536"/>
      <c r="T4" s="536"/>
      <c r="U4" s="536"/>
      <c r="V4" s="536"/>
      <c r="W4" s="536"/>
      <c r="X4" s="536"/>
      <c r="Y4" s="536"/>
      <c r="Z4" s="536"/>
      <c r="AA4" s="536"/>
      <c r="AB4" s="536"/>
      <c r="AC4" s="536"/>
      <c r="AD4" s="536"/>
      <c r="AE4" s="536"/>
      <c r="AF4" s="536"/>
      <c r="AG4" s="536"/>
      <c r="AH4" s="536"/>
      <c r="AI4" s="536"/>
      <c r="AJ4" s="536"/>
      <c r="AK4" s="536"/>
      <c r="AL4" s="536"/>
    </row>
    <row r="5" spans="1:38" hidden="1">
      <c r="A5" s="536"/>
      <c r="B5" s="536"/>
      <c r="C5" s="536"/>
      <c r="D5" s="536"/>
      <c r="E5" s="536"/>
      <c r="F5" s="536"/>
      <c r="G5" s="536"/>
      <c r="H5" s="536"/>
      <c r="I5" s="536"/>
      <c r="J5" s="536"/>
      <c r="K5" s="536"/>
      <c r="L5" s="536"/>
      <c r="M5" s="536"/>
      <c r="N5" s="536"/>
      <c r="O5" s="536"/>
      <c r="P5" s="536"/>
      <c r="Q5" s="536"/>
      <c r="R5" s="536"/>
      <c r="S5" s="536"/>
      <c r="T5" s="536"/>
      <c r="U5" s="536"/>
      <c r="V5" s="536"/>
      <c r="W5" s="536"/>
      <c r="X5" s="536"/>
      <c r="Y5" s="536"/>
      <c r="Z5" s="536"/>
      <c r="AA5" s="536"/>
      <c r="AB5" s="536"/>
      <c r="AC5" s="536"/>
      <c r="AD5" s="536"/>
      <c r="AE5" s="536"/>
      <c r="AF5" s="536"/>
      <c r="AG5" s="536"/>
      <c r="AH5" s="536"/>
      <c r="AI5" s="536"/>
      <c r="AJ5" s="536"/>
      <c r="AK5" s="536"/>
      <c r="AL5" s="536"/>
    </row>
    <row r="6" spans="1:38" hidden="1">
      <c r="A6" s="536"/>
      <c r="B6" s="536"/>
      <c r="C6" s="536"/>
      <c r="D6" s="536"/>
      <c r="E6" s="536"/>
      <c r="F6" s="536"/>
      <c r="G6" s="536"/>
      <c r="H6" s="536"/>
      <c r="I6" s="536"/>
      <c r="J6" s="536"/>
      <c r="K6" s="536"/>
      <c r="L6" s="536"/>
      <c r="M6" s="536"/>
      <c r="N6" s="536"/>
      <c r="O6" s="536"/>
      <c r="P6" s="536"/>
      <c r="Q6" s="536"/>
      <c r="R6" s="536"/>
      <c r="S6" s="536"/>
      <c r="T6" s="536"/>
      <c r="U6" s="536"/>
      <c r="V6" s="536"/>
      <c r="W6" s="536"/>
      <c r="X6" s="536"/>
      <c r="Y6" s="536"/>
      <c r="Z6" s="536"/>
      <c r="AA6" s="536"/>
      <c r="AB6" s="536"/>
      <c r="AC6" s="536"/>
      <c r="AD6" s="536"/>
      <c r="AE6" s="536"/>
      <c r="AF6" s="536"/>
      <c r="AG6" s="536"/>
      <c r="AH6" s="536"/>
      <c r="AI6" s="536"/>
      <c r="AJ6" s="536"/>
      <c r="AK6" s="536"/>
      <c r="AL6" s="536"/>
    </row>
    <row r="7" spans="1:38" ht="23.25" hidden="1" customHeight="1">
      <c r="A7" s="536"/>
      <c r="B7" s="536"/>
      <c r="C7" s="536"/>
      <c r="D7" s="536"/>
      <c r="E7" s="536"/>
      <c r="F7" s="536"/>
      <c r="G7" s="536"/>
      <c r="H7" s="536"/>
      <c r="I7" s="536"/>
      <c r="J7" s="536"/>
      <c r="K7" s="536"/>
      <c r="L7" s="536"/>
      <c r="M7" s="536"/>
      <c r="N7" s="536"/>
      <c r="O7" s="536"/>
      <c r="P7" s="536"/>
      <c r="Q7" s="536"/>
      <c r="R7" s="536"/>
      <c r="S7" s="536"/>
      <c r="T7" s="536"/>
      <c r="U7" s="536"/>
      <c r="V7" s="536"/>
      <c r="W7" s="536"/>
      <c r="X7" s="536"/>
      <c r="Y7" s="536"/>
      <c r="Z7" s="536"/>
      <c r="AA7" s="536"/>
      <c r="AB7" s="536"/>
      <c r="AC7" s="536"/>
      <c r="AD7" s="536"/>
      <c r="AE7" s="536"/>
      <c r="AF7" s="536"/>
      <c r="AG7" s="536"/>
      <c r="AH7" s="536"/>
      <c r="AI7" s="536"/>
      <c r="AJ7" s="536"/>
      <c r="AK7" s="536"/>
      <c r="AL7" s="536"/>
    </row>
    <row r="8" spans="1:38" s="159" customFormat="1" ht="15.75" hidden="1" customHeight="1">
      <c r="A8" s="536"/>
      <c r="B8" s="536"/>
      <c r="C8" s="536"/>
      <c r="D8" s="536"/>
      <c r="E8" s="536"/>
      <c r="F8" s="536"/>
      <c r="G8" s="536"/>
      <c r="H8" s="536"/>
      <c r="I8" s="536"/>
      <c r="J8" s="536"/>
      <c r="K8" s="536"/>
      <c r="L8" s="536"/>
      <c r="M8" s="536"/>
      <c r="N8" s="536"/>
      <c r="O8" s="536"/>
      <c r="P8" s="536"/>
      <c r="Q8" s="536"/>
      <c r="R8" s="536"/>
      <c r="S8" s="536"/>
      <c r="T8" s="536"/>
      <c r="U8" s="536"/>
      <c r="V8" s="536"/>
      <c r="W8" s="536"/>
      <c r="X8" s="536"/>
      <c r="Y8" s="536"/>
      <c r="Z8" s="536"/>
      <c r="AA8" s="536"/>
      <c r="AB8" s="536"/>
      <c r="AC8" s="536"/>
      <c r="AD8" s="536"/>
      <c r="AE8" s="536"/>
      <c r="AF8" s="536"/>
      <c r="AG8" s="536"/>
      <c r="AH8" s="536"/>
      <c r="AI8" s="536"/>
      <c r="AJ8" s="536"/>
      <c r="AK8" s="536"/>
      <c r="AL8" s="536"/>
    </row>
    <row r="9" spans="1:38" ht="21" hidden="1" customHeight="1">
      <c r="A9" s="536"/>
      <c r="B9" s="536"/>
      <c r="C9" s="536"/>
      <c r="D9" s="536"/>
      <c r="E9" s="536"/>
      <c r="F9" s="536"/>
      <c r="G9" s="536"/>
      <c r="H9" s="536"/>
      <c r="I9" s="536"/>
      <c r="J9" s="536"/>
      <c r="K9" s="536"/>
      <c r="L9" s="536"/>
      <c r="M9" s="536"/>
      <c r="N9" s="536"/>
      <c r="O9" s="536"/>
      <c r="P9" s="536"/>
      <c r="Q9" s="536"/>
      <c r="R9" s="536"/>
      <c r="S9" s="536"/>
      <c r="T9" s="536"/>
      <c r="U9" s="536"/>
      <c r="V9" s="536"/>
      <c r="W9" s="536"/>
      <c r="X9" s="536"/>
      <c r="Y9" s="536"/>
      <c r="Z9" s="536"/>
      <c r="AA9" s="536"/>
      <c r="AB9" s="536"/>
      <c r="AC9" s="536"/>
      <c r="AD9" s="536"/>
      <c r="AE9" s="536"/>
      <c r="AF9" s="536"/>
      <c r="AG9" s="536"/>
      <c r="AH9" s="536"/>
      <c r="AI9" s="536"/>
      <c r="AJ9" s="536"/>
      <c r="AK9" s="536"/>
      <c r="AL9" s="536"/>
    </row>
    <row r="10" spans="1:38">
      <c r="A10" t="s">
        <v>188</v>
      </c>
      <c r="B10" s="33" t="s">
        <v>127</v>
      </c>
      <c r="Y10" s="20"/>
      <c r="Z10" s="20"/>
      <c r="AA10" s="20"/>
      <c r="AB10" s="20"/>
      <c r="AC10" s="20"/>
      <c r="AD10" s="20"/>
      <c r="AE10" s="20"/>
      <c r="AF10" s="20"/>
      <c r="AG10" s="20"/>
      <c r="AH10" s="279"/>
    </row>
    <row r="11" spans="1:38" s="1" customFormat="1">
      <c r="B11" s="13"/>
      <c r="C11" s="328">
        <v>2009</v>
      </c>
      <c r="D11" s="328">
        <v>2010</v>
      </c>
      <c r="E11" s="328">
        <v>2011</v>
      </c>
      <c r="F11" s="328">
        <v>2012</v>
      </c>
      <c r="G11" s="328">
        <v>2013</v>
      </c>
      <c r="H11" s="400">
        <v>2014</v>
      </c>
      <c r="I11" s="13">
        <v>2015</v>
      </c>
      <c r="J11" s="13">
        <v>2016</v>
      </c>
      <c r="K11" s="13">
        <v>2017</v>
      </c>
      <c r="L11" s="13">
        <v>2018</v>
      </c>
      <c r="M11" s="13">
        <v>2019</v>
      </c>
      <c r="N11" s="176">
        <v>2020</v>
      </c>
      <c r="O11" s="13">
        <v>2021</v>
      </c>
      <c r="P11" s="13">
        <v>2022</v>
      </c>
      <c r="Q11" s="13">
        <v>2023</v>
      </c>
      <c r="R11" s="13">
        <v>2024</v>
      </c>
      <c r="S11" s="13">
        <v>2025</v>
      </c>
      <c r="T11" s="13">
        <v>2026</v>
      </c>
      <c r="U11" s="13">
        <v>2027</v>
      </c>
      <c r="V11" s="13">
        <v>2028</v>
      </c>
      <c r="W11" s="13">
        <v>2029</v>
      </c>
      <c r="X11" s="176">
        <v>2030</v>
      </c>
      <c r="Y11" s="13">
        <v>2031</v>
      </c>
      <c r="Z11" s="13">
        <v>2032</v>
      </c>
      <c r="AA11" s="13">
        <v>2033</v>
      </c>
      <c r="AB11" s="13">
        <v>2034</v>
      </c>
      <c r="AC11" s="13">
        <v>2035</v>
      </c>
      <c r="AD11" s="13">
        <v>2036</v>
      </c>
      <c r="AE11" s="13">
        <v>2037</v>
      </c>
      <c r="AF11" s="13">
        <v>2038</v>
      </c>
      <c r="AG11" s="13">
        <v>2039</v>
      </c>
      <c r="AH11" s="176">
        <v>2040</v>
      </c>
      <c r="AJ11" s="166">
        <v>1.0299073916679518E-2</v>
      </c>
      <c r="AK11" s="167">
        <f>AJ11/2</f>
        <v>5.1495369583397588E-3</v>
      </c>
    </row>
    <row r="12" spans="1:38" s="1" customFormat="1">
      <c r="A12" s="1" t="s">
        <v>62</v>
      </c>
      <c r="B12" s="33"/>
      <c r="C12" s="328"/>
      <c r="D12" s="328"/>
      <c r="E12" s="328"/>
      <c r="F12" s="328"/>
      <c r="G12" s="328"/>
      <c r="H12" s="400"/>
      <c r="I12" s="13"/>
      <c r="J12" s="13"/>
      <c r="K12" s="13"/>
      <c r="L12" s="13"/>
      <c r="M12" s="13"/>
      <c r="N12" s="175"/>
      <c r="O12" s="13"/>
      <c r="P12" s="13"/>
      <c r="Q12" s="13"/>
      <c r="R12" s="13"/>
      <c r="S12" s="13"/>
      <c r="T12" s="13"/>
      <c r="U12" s="13"/>
      <c r="V12" s="13"/>
      <c r="W12" s="13"/>
      <c r="X12" s="176"/>
      <c r="Y12" s="20"/>
      <c r="Z12" s="20"/>
      <c r="AA12" s="20"/>
      <c r="AB12" s="20"/>
      <c r="AC12" s="20"/>
      <c r="AD12" s="20"/>
      <c r="AE12" s="20"/>
      <c r="AF12" s="20"/>
      <c r="AG12" s="20"/>
      <c r="AH12" s="279"/>
    </row>
    <row r="13" spans="1:38" s="20" customFormat="1">
      <c r="A13" s="20" t="s">
        <v>130</v>
      </c>
      <c r="B13" s="33"/>
      <c r="C13" s="330">
        <f>EIA_electricity_aeo2014!E58*1000</f>
        <v>89765.999999999985</v>
      </c>
      <c r="D13" s="330">
        <f>EIA_electricity_aeo2014!F58*1000</f>
        <v>101324</v>
      </c>
      <c r="E13" s="330">
        <f>EIA_electricity_aeo2014!G58*1000</f>
        <v>93268.560024526727</v>
      </c>
      <c r="F13" s="330">
        <f>EIA_electricity_aeo2014!H58*1000</f>
        <v>97491.004911933502</v>
      </c>
      <c r="G13" s="330">
        <f>EIA_electricity_aeo2014!I58*1000</f>
        <v>92145.676863238667</v>
      </c>
      <c r="H13" s="286">
        <f>EIA_electricity_aeo2014!J58*1000</f>
        <v>90667.034160436437</v>
      </c>
      <c r="I13" s="83">
        <f>EIA_electricity_aeo2014!K58*1000</f>
        <v>93953.172017554185</v>
      </c>
      <c r="J13" s="83">
        <f>EIA_electricity_aeo2014!L58*1000</f>
        <v>98639.274356128808</v>
      </c>
      <c r="K13" s="83">
        <f>EIA_electricity_aeo2014!M58*1000</f>
        <v>97791.20745660353</v>
      </c>
      <c r="L13" s="83">
        <f>EIA_electricity_aeo2014!N58*1000</f>
        <v>98263.905740122689</v>
      </c>
      <c r="M13" s="83">
        <f>EIA_electricity_aeo2014!O58*1000</f>
        <v>99571.220012364167</v>
      </c>
      <c r="N13" s="177">
        <f>EIA_electricity_aeo2014!P58*1000</f>
        <v>101313.17776516854</v>
      </c>
      <c r="O13" s="83">
        <f>EIA_electricity_aeo2014!Q58*1000</f>
        <v>102623.23241717133</v>
      </c>
      <c r="P13" s="83">
        <f>EIA_electricity_aeo2014!R58*1000</f>
        <v>104159.37587256526</v>
      </c>
      <c r="Q13" s="83">
        <f>EIA_electricity_aeo2014!S58*1000</f>
        <v>106918.55205752949</v>
      </c>
      <c r="R13" s="83">
        <f>EIA_electricity_aeo2014!T58*1000</f>
        <v>108767.22693983853</v>
      </c>
      <c r="S13" s="83">
        <f>EIA_electricity_aeo2014!U58*1000</f>
        <v>110416.33264577134</v>
      </c>
      <c r="T13" s="83">
        <f>EIA_electricity_aeo2014!V58*1000</f>
        <v>111584.56423199797</v>
      </c>
      <c r="U13" s="83">
        <f>EIA_electricity_aeo2014!W58*1000</f>
        <v>112688.93600856735</v>
      </c>
      <c r="V13" s="83">
        <f>EIA_electricity_aeo2014!X58*1000</f>
        <v>113948.43370838852</v>
      </c>
      <c r="W13" s="83">
        <f>EIA_electricity_aeo2014!Y58*1000</f>
        <v>115186.96715333588</v>
      </c>
      <c r="X13" s="184">
        <f>EIA_electricity_aeo2014!Z58*1000</f>
        <v>116336.42279680446</v>
      </c>
      <c r="Y13" s="174">
        <f>EIA_electricity_aeo2014!AA58*1000</f>
        <v>116856.07509621435</v>
      </c>
      <c r="Z13" s="174">
        <f>EIA_electricity_aeo2014!AB58*1000</f>
        <v>117649.67143299525</v>
      </c>
      <c r="AA13" s="174">
        <f>EIA_electricity_aeo2014!AC58*1000</f>
        <v>118246.88605867364</v>
      </c>
      <c r="AB13" s="174">
        <f>EIA_electricity_aeo2014!AD58*1000</f>
        <v>119063.51821358527</v>
      </c>
      <c r="AC13" s="174">
        <f>EIA_electricity_aeo2014!AE58*1000</f>
        <v>120284.58049203787</v>
      </c>
      <c r="AD13" s="174">
        <f>EIA_electricity_aeo2014!AF58*1000</f>
        <v>121422.100053153</v>
      </c>
      <c r="AE13" s="174">
        <f>EIA_electricity_aeo2014!AG58*1000</f>
        <v>123162.7907685805</v>
      </c>
      <c r="AF13" s="174">
        <f>EIA_electricity_aeo2014!AH58*1000</f>
        <v>125104.00462463108</v>
      </c>
      <c r="AG13" s="174">
        <f>EIA_electricity_aeo2014!AI58*1000</f>
        <v>126666.50654530025</v>
      </c>
      <c r="AH13" s="184">
        <f>EIA_electricity_aeo2014!AJ58*1000</f>
        <v>127903.61111169815</v>
      </c>
      <c r="AI13" s="115">
        <f>X13/C13-1</f>
        <v>0.29599651089281553</v>
      </c>
      <c r="AJ13" s="165">
        <f>(1+AJ11)^21-1</f>
        <v>0.24007814276920247</v>
      </c>
      <c r="AK13" s="168">
        <f>(1+AK11)^21-1</f>
        <v>0.11389489977934208</v>
      </c>
      <c r="AL13" s="121"/>
    </row>
    <row r="14" spans="1:38" s="20" customFormat="1">
      <c r="A14" s="20" t="s">
        <v>131</v>
      </c>
      <c r="B14" s="33"/>
      <c r="C14" s="330">
        <f>EIA_electricity_aeo2014!E58 * 1000</f>
        <v>89765.999999999985</v>
      </c>
      <c r="D14" s="330">
        <f>IF(Inputs!$C$7="BAU",'Output -Jobs vs Yr'!D13,C14+($X$14-$C$14)/($X$11-$C$11) )</f>
        <v>101324</v>
      </c>
      <c r="E14" s="330">
        <f>IF(Inputs!$C$7="BAU",'Output -Jobs vs Yr'!E13,D14+($X$14-$C$14)/($X$11-$C$11) )</f>
        <v>93268.560024526727</v>
      </c>
      <c r="F14" s="330">
        <f>IF(Inputs!$C$7="BAU",'Output -Jobs vs Yr'!F13,E14+($X$14-$C$14)/($X$11-$C$11) )</f>
        <v>97491.004911933502</v>
      </c>
      <c r="G14" s="330">
        <f>IF(Inputs!$C$7="BAU",'Output -Jobs vs Yr'!G13,F14+($X$14-$C$14)/($X$11-$C$11) )</f>
        <v>92145.676863238667</v>
      </c>
      <c r="H14" s="286">
        <f>EIA_electricity_aeo2014!J58*1000</f>
        <v>90667.034160436437</v>
      </c>
      <c r="I14" s="83">
        <f>IF(Inputs!$C$7="BAU",'Output -Jobs vs Yr'!I13,H14+($X$14-$C$14)/($X$11-$C$11) )</f>
        <v>93953.172017554185</v>
      </c>
      <c r="J14" s="83">
        <f>IF(Inputs!$C$7="BAU",'Output -Jobs vs Yr'!J13,I14+($X$14-$C$14)/($X$11-$C$11) )</f>
        <v>98639.274356128808</v>
      </c>
      <c r="K14" s="83">
        <f>IF(Inputs!$C$7="BAU",'Output -Jobs vs Yr'!K13,J14+($X$14-$C$14)/($X$11-$C$11) )</f>
        <v>97791.20745660353</v>
      </c>
      <c r="L14" s="83">
        <f>IF(Inputs!$C$7="BAU",'Output -Jobs vs Yr'!L13,K14+($X$14-$C$14)/($X$11-$C$11) )</f>
        <v>98263.905740122689</v>
      </c>
      <c r="M14" s="83">
        <f>IF(Inputs!$C$7="BAU",'Output -Jobs vs Yr'!M13,L14+($X$14-$C$14)/($X$11-$C$11) )</f>
        <v>99571.220012364167</v>
      </c>
      <c r="N14" s="177">
        <f>IF(Inputs!$C$7="BAU",'Output -Jobs vs Yr'!N13,M14+($X$14-$C$14)/($X$11-$C$11) )</f>
        <v>101313.17776516854</v>
      </c>
      <c r="O14" s="83">
        <f>IF(Inputs!$C$7="BAU",'Output -Jobs vs Yr'!O13,N14+($X$14-$C$14)/($X$11-$C$11) )</f>
        <v>102623.23241717133</v>
      </c>
      <c r="P14" s="83">
        <f>IF(Inputs!$C$7="BAU",'Output -Jobs vs Yr'!P13,O14+($X$14-$C$14)/($X$11-$C$11) )</f>
        <v>104159.37587256526</v>
      </c>
      <c r="Q14" s="83">
        <f>IF(Inputs!$C$7="BAU",'Output -Jobs vs Yr'!Q13,P14+($X$14-$C$14)/($X$11-$C$11) )</f>
        <v>106918.55205752949</v>
      </c>
      <c r="R14" s="83">
        <f>IF(Inputs!$C$7="BAU",'Output -Jobs vs Yr'!R13,Q14+($X$14-$C$14)/($X$11-$C$11) )</f>
        <v>108767.22693983853</v>
      </c>
      <c r="S14" s="83">
        <f>IF(Inputs!$C$7="BAU",'Output -Jobs vs Yr'!S13,R14+($X$14-$C$14)/($X$11-$C$11) )</f>
        <v>110416.33264577134</v>
      </c>
      <c r="T14" s="83">
        <f>IF(Inputs!$C$7="BAU",'Output -Jobs vs Yr'!T13,S14+($X$14-$C$14)/($X$11-$C$11) )</f>
        <v>111584.56423199797</v>
      </c>
      <c r="U14" s="83">
        <f>IF(Inputs!$C$7="BAU",'Output -Jobs vs Yr'!U13,T14+($X$14-$C$14)/($X$11-$C$11) )</f>
        <v>112688.93600856735</v>
      </c>
      <c r="V14" s="83">
        <f>IF(Inputs!$C$7="BAU",'Output -Jobs vs Yr'!V13,U14+($X$14-$C$14)/($X$11-$C$11) )</f>
        <v>113948.43370838852</v>
      </c>
      <c r="W14" s="83">
        <f>IF(Inputs!$C$7="BAU",'Output -Jobs vs Yr'!W13,V14+($X$14-$C$14)/($X$11-$C$11) )</f>
        <v>115186.96715333588</v>
      </c>
      <c r="X14" s="184">
        <f>IF(Inputs!$C$7="BAU",'Output -Jobs vs Yr'!X13,C14*(1+Inputs!C7) )</f>
        <v>116336.42279680446</v>
      </c>
      <c r="Y14" s="174">
        <f>IF(Inputs!$C$7="BAU",'Output -Jobs vs Yr'!Y13,D14*(1+Inputs!D7) )</f>
        <v>116856.07509621435</v>
      </c>
      <c r="Z14" s="174">
        <f>IF(Inputs!$C$7="BAU",'Output -Jobs vs Yr'!Z13,E14*(1+Inputs!E7) )</f>
        <v>117649.67143299525</v>
      </c>
      <c r="AA14" s="174">
        <f>IF(Inputs!$C$7="BAU",'Output -Jobs vs Yr'!AA13,F14*(1+Inputs!F7) )</f>
        <v>118246.88605867364</v>
      </c>
      <c r="AB14" s="174">
        <f>IF(Inputs!$C$7="BAU",'Output -Jobs vs Yr'!AB13,G14*(1+Inputs!G7) )</f>
        <v>119063.51821358527</v>
      </c>
      <c r="AC14" s="174">
        <f>IF(Inputs!$C$7="BAU",'Output -Jobs vs Yr'!AC13,H14*(1+Inputs!H7) )</f>
        <v>120284.58049203787</v>
      </c>
      <c r="AD14" s="174">
        <f>IF(Inputs!$C$7="BAU",'Output -Jobs vs Yr'!AD13,I14*(1+Inputs!L7) )</f>
        <v>121422.100053153</v>
      </c>
      <c r="AE14" s="174">
        <f>IF(Inputs!$C$7="BAU",'Output -Jobs vs Yr'!AE13,J14*(1+Inputs!M7) )</f>
        <v>123162.7907685805</v>
      </c>
      <c r="AF14" s="174">
        <f>IF(Inputs!$C$7="BAU",'Output -Jobs vs Yr'!AF13,K14*(1+Inputs!N7) )</f>
        <v>125104.00462463108</v>
      </c>
      <c r="AG14" s="174">
        <f>IF(Inputs!$C$7="BAU",'Output -Jobs vs Yr'!AG13,L14*(1+Inputs!O7) )</f>
        <v>126666.50654530025</v>
      </c>
      <c r="AH14" s="184">
        <f>IF(Inputs!$C$7="BAU",'Output -Jobs vs Yr'!AH13,M14*(1+Inputs!P7) )</f>
        <v>127903.61111169815</v>
      </c>
      <c r="AI14" s="99"/>
      <c r="AJ14" s="165" t="s">
        <v>0</v>
      </c>
      <c r="AK14" s="30" t="s">
        <v>0</v>
      </c>
      <c r="AL14" s="121"/>
    </row>
    <row r="15" spans="1:38" s="20" customFormat="1">
      <c r="A15" s="20" t="s">
        <v>208</v>
      </c>
      <c r="B15" s="33"/>
      <c r="C15" s="330">
        <f>C14-C13</f>
        <v>0</v>
      </c>
      <c r="D15" s="330">
        <f>D13-D14</f>
        <v>0</v>
      </c>
      <c r="E15" s="330">
        <f t="shared" ref="E15:AH15" si="0">E13-E14</f>
        <v>0</v>
      </c>
      <c r="F15" s="330">
        <f t="shared" si="0"/>
        <v>0</v>
      </c>
      <c r="G15" s="330">
        <f t="shared" si="0"/>
        <v>0</v>
      </c>
      <c r="H15" s="286">
        <f t="shared" si="0"/>
        <v>0</v>
      </c>
      <c r="I15" s="83">
        <f t="shared" si="0"/>
        <v>0</v>
      </c>
      <c r="J15" s="83">
        <f t="shared" si="0"/>
        <v>0</v>
      </c>
      <c r="K15" s="83">
        <f t="shared" si="0"/>
        <v>0</v>
      </c>
      <c r="L15" s="83">
        <f t="shared" si="0"/>
        <v>0</v>
      </c>
      <c r="M15" s="83">
        <f t="shared" si="0"/>
        <v>0</v>
      </c>
      <c r="N15" s="177">
        <f t="shared" si="0"/>
        <v>0</v>
      </c>
      <c r="O15" s="83">
        <f t="shared" si="0"/>
        <v>0</v>
      </c>
      <c r="P15" s="83">
        <f t="shared" si="0"/>
        <v>0</v>
      </c>
      <c r="Q15" s="83">
        <f t="shared" si="0"/>
        <v>0</v>
      </c>
      <c r="R15" s="83">
        <f t="shared" si="0"/>
        <v>0</v>
      </c>
      <c r="S15" s="83">
        <f t="shared" si="0"/>
        <v>0</v>
      </c>
      <c r="T15" s="83">
        <f t="shared" si="0"/>
        <v>0</v>
      </c>
      <c r="U15" s="83">
        <f t="shared" si="0"/>
        <v>0</v>
      </c>
      <c r="V15" s="83">
        <f t="shared" si="0"/>
        <v>0</v>
      </c>
      <c r="W15" s="83">
        <f t="shared" si="0"/>
        <v>0</v>
      </c>
      <c r="X15" s="184">
        <f t="shared" si="0"/>
        <v>0</v>
      </c>
      <c r="Y15" s="174">
        <f t="shared" si="0"/>
        <v>0</v>
      </c>
      <c r="Z15" s="174">
        <f t="shared" si="0"/>
        <v>0</v>
      </c>
      <c r="AA15" s="174">
        <f t="shared" si="0"/>
        <v>0</v>
      </c>
      <c r="AB15" s="174">
        <f t="shared" si="0"/>
        <v>0</v>
      </c>
      <c r="AC15" s="174">
        <f t="shared" si="0"/>
        <v>0</v>
      </c>
      <c r="AD15" s="174">
        <f t="shared" si="0"/>
        <v>0</v>
      </c>
      <c r="AE15" s="174">
        <f t="shared" si="0"/>
        <v>0</v>
      </c>
      <c r="AF15" s="174">
        <f t="shared" si="0"/>
        <v>0</v>
      </c>
      <c r="AG15" s="174">
        <f t="shared" si="0"/>
        <v>0</v>
      </c>
      <c r="AH15" s="184">
        <f t="shared" si="0"/>
        <v>0</v>
      </c>
      <c r="AI15" s="120"/>
      <c r="AJ15" s="122"/>
      <c r="AK15" s="30"/>
      <c r="AL15" s="123"/>
    </row>
    <row r="16" spans="1:38" s="379" customFormat="1">
      <c r="A16" s="379" t="s">
        <v>123</v>
      </c>
      <c r="B16" s="380"/>
      <c r="C16" s="381">
        <f t="shared" ref="C16:M16" si="1">C95</f>
        <v>2.558886438072322E-2</v>
      </c>
      <c r="D16" s="381">
        <f t="shared" si="1"/>
        <v>2.7384258680572059E-2</v>
      </c>
      <c r="E16" s="381">
        <f t="shared" si="1"/>
        <v>2.9404302091927913E-2</v>
      </c>
      <c r="F16" s="381">
        <f t="shared" si="1"/>
        <v>3.1364972798427343E-2</v>
      </c>
      <c r="G16" s="381">
        <f t="shared" si="1"/>
        <v>3.3565603710369533E-2</v>
      </c>
      <c r="H16" s="381">
        <f t="shared" si="1"/>
        <v>3.3298544347678365E-2</v>
      </c>
      <c r="I16" s="381">
        <f t="shared" si="1"/>
        <v>3.5644190303394239E-2</v>
      </c>
      <c r="J16" s="381">
        <f t="shared" si="1"/>
        <v>3.8152553544037217E-2</v>
      </c>
      <c r="K16" s="381">
        <f t="shared" si="1"/>
        <v>4.0837626436025891E-2</v>
      </c>
      <c r="L16" s="381">
        <f t="shared" si="1"/>
        <v>4.3709845061470007E-2</v>
      </c>
      <c r="M16" s="381">
        <f t="shared" si="1"/>
        <v>4.6782283507344688E-2</v>
      </c>
      <c r="N16" s="381">
        <f>Inputs!C11</f>
        <v>0.05</v>
      </c>
      <c r="O16" s="381">
        <f t="shared" ref="O16:W16" si="2">O95</f>
        <v>5.3666628184471418E-2</v>
      </c>
      <c r="P16" s="381">
        <f t="shared" si="2"/>
        <v>5.7521323797551344E-2</v>
      </c>
      <c r="Q16" s="381">
        <f t="shared" si="2"/>
        <v>6.1650749805150944E-2</v>
      </c>
      <c r="R16" s="381">
        <f t="shared" si="2"/>
        <v>6.6076528943526766E-2</v>
      </c>
      <c r="S16" s="381">
        <f t="shared" si="2"/>
        <v>7.0819357692703852E-2</v>
      </c>
      <c r="T16" s="381">
        <f t="shared" si="2"/>
        <v>7.5902331894714112E-2</v>
      </c>
      <c r="U16" s="381">
        <f t="shared" si="2"/>
        <v>8.1349475434592713E-2</v>
      </c>
      <c r="V16" s="381">
        <f t="shared" si="2"/>
        <v>8.7186694821795599E-2</v>
      </c>
      <c r="W16" s="381">
        <f t="shared" si="2"/>
        <v>9.3442203757173853E-2</v>
      </c>
      <c r="X16" s="382">
        <f>Inputs!C12</f>
        <v>0.1</v>
      </c>
      <c r="Y16" s="383">
        <f>Y95</f>
        <v>0.10429201003654261</v>
      </c>
      <c r="Z16" s="383">
        <f t="shared" ref="Z16:AG16" si="3">Z95</f>
        <v>0.1086086735333899</v>
      </c>
      <c r="AA16" s="383">
        <f t="shared" si="3"/>
        <v>0.11310383119206785</v>
      </c>
      <c r="AB16" s="383">
        <f t="shared" si="3"/>
        <v>0.11778427869686514</v>
      </c>
      <c r="AC16" s="383">
        <f t="shared" si="3"/>
        <v>0.12265738672537362</v>
      </c>
      <c r="AD16" s="383">
        <f t="shared" si="3"/>
        <v>0.12773187192227298</v>
      </c>
      <c r="AE16" s="383">
        <f t="shared" si="3"/>
        <v>0.13301498804255965</v>
      </c>
      <c r="AF16" s="383">
        <f t="shared" si="3"/>
        <v>0.13851602045320183</v>
      </c>
      <c r="AG16" s="383">
        <f t="shared" si="3"/>
        <v>0.14424493853620429</v>
      </c>
      <c r="AH16" s="382">
        <f>Inputs!C13</f>
        <v>0.15</v>
      </c>
      <c r="AI16" s="384" t="s">
        <v>0</v>
      </c>
      <c r="AJ16" s="385"/>
      <c r="AK16" s="386"/>
      <c r="AL16" s="387"/>
    </row>
    <row r="17" spans="1:37" s="281" customFormat="1">
      <c r="A17" s="281" t="s">
        <v>115</v>
      </c>
      <c r="B17" s="282"/>
      <c r="C17" s="337"/>
      <c r="D17" s="332">
        <f>D16/C16-1</f>
        <v>7.0163109747119368E-2</v>
      </c>
      <c r="E17" s="332">
        <f t="shared" ref="E17:M17" si="4">E16/D16-1</f>
        <v>7.3766591052143005E-2</v>
      </c>
      <c r="F17" s="332">
        <f t="shared" si="4"/>
        <v>6.6679722591942658E-2</v>
      </c>
      <c r="G17" s="332">
        <f t="shared" si="4"/>
        <v>7.0162053896394072E-2</v>
      </c>
      <c r="H17" s="284"/>
      <c r="I17" s="284">
        <f t="shared" si="4"/>
        <v>7.0442897780287339E-2</v>
      </c>
      <c r="J17" s="284">
        <f t="shared" si="4"/>
        <v>7.0372288423230511E-2</v>
      </c>
      <c r="K17" s="284">
        <f t="shared" si="4"/>
        <v>7.0377278650286312E-2</v>
      </c>
      <c r="L17" s="284">
        <f t="shared" si="4"/>
        <v>7.033265339119521E-2</v>
      </c>
      <c r="M17" s="284">
        <f t="shared" si="4"/>
        <v>7.0291680090694753E-2</v>
      </c>
      <c r="N17" s="284">
        <f>N16/M16-1</f>
        <v>6.8780663349837123E-2</v>
      </c>
      <c r="O17" s="284">
        <f>O16/N16-1</f>
        <v>7.3332563689428198E-2</v>
      </c>
      <c r="P17" s="284">
        <f t="shared" ref="P17:X17" si="5">P16/O16-1</f>
        <v>7.1826677834686325E-2</v>
      </c>
      <c r="Q17" s="284">
        <f t="shared" si="5"/>
        <v>7.1789481447493975E-2</v>
      </c>
      <c r="R17" s="284">
        <f t="shared" si="5"/>
        <v>7.1787920704348807E-2</v>
      </c>
      <c r="S17" s="284">
        <f t="shared" si="5"/>
        <v>7.177781316616394E-2</v>
      </c>
      <c r="T17" s="284">
        <f t="shared" si="5"/>
        <v>7.1773796990168615E-2</v>
      </c>
      <c r="U17" s="284">
        <f t="shared" si="5"/>
        <v>7.1765167207701319E-2</v>
      </c>
      <c r="V17" s="284">
        <f t="shared" si="5"/>
        <v>7.1754849751872962E-2</v>
      </c>
      <c r="W17" s="284">
        <f t="shared" si="5"/>
        <v>7.1748435333672589E-2</v>
      </c>
      <c r="X17" s="283">
        <f t="shared" si="5"/>
        <v>7.0180239540023504E-2</v>
      </c>
      <c r="Y17" s="288">
        <v>2.9000000000000001E-2</v>
      </c>
      <c r="Z17" s="288">
        <v>2.9000000000000001E-2</v>
      </c>
      <c r="AA17" s="288">
        <v>2.9000000000000001E-2</v>
      </c>
      <c r="AB17" s="288">
        <v>2.9000000000000001E-2</v>
      </c>
      <c r="AC17" s="288">
        <v>2.9000000000000001E-2</v>
      </c>
      <c r="AD17" s="288">
        <v>2.9000000000000001E-2</v>
      </c>
      <c r="AE17" s="288">
        <v>2.9000000000000001E-2</v>
      </c>
      <c r="AF17" s="288">
        <v>2.9000000000000001E-2</v>
      </c>
      <c r="AG17" s="288">
        <v>2.9000000000000001E-2</v>
      </c>
      <c r="AH17" s="372">
        <v>2.9000000000000001E-2</v>
      </c>
    </row>
    <row r="18" spans="1:37" s="20" customFormat="1">
      <c r="A18" s="20" t="s">
        <v>135</v>
      </c>
      <c r="B18" s="33"/>
      <c r="C18" s="332">
        <f>C32/C14</f>
        <v>0.18695274380054813</v>
      </c>
      <c r="D18" s="332">
        <f t="shared" ref="D18:G18" si="6">($N$18-$C$18)/($N$11-$C$11)+C18</f>
        <v>0.18751506691075071</v>
      </c>
      <c r="E18" s="332">
        <f t="shared" si="6"/>
        <v>0.18807739002095328</v>
      </c>
      <c r="F18" s="332">
        <f t="shared" si="6"/>
        <v>0.18863971313115585</v>
      </c>
      <c r="G18" s="332">
        <f t="shared" si="6"/>
        <v>0.18920203624135842</v>
      </c>
      <c r="H18" s="284">
        <f>H32/H14</f>
        <v>0.18546198497014715</v>
      </c>
      <c r="I18" s="172">
        <f>($N$18-$H$18)/($N$11-$H$11)+H18</f>
        <v>0.18674137047725203</v>
      </c>
      <c r="J18" s="172">
        <f t="shared" ref="J18:M18" si="7">($N$18-$H$18)/($N$11-$H$11)+I18</f>
        <v>0.18802075598435691</v>
      </c>
      <c r="K18" s="172">
        <f t="shared" si="7"/>
        <v>0.18930014149146179</v>
      </c>
      <c r="L18" s="172">
        <f t="shared" si="7"/>
        <v>0.19057952699856667</v>
      </c>
      <c r="M18" s="172">
        <f t="shared" si="7"/>
        <v>0.19185891250567155</v>
      </c>
      <c r="N18" s="180">
        <f>Inputs!C36</f>
        <v>0.19313829801277643</v>
      </c>
      <c r="O18" s="91">
        <f t="shared" ref="O18:W18" si="8">($X$18-$N$18)/($X$11-$N$11)+N18</f>
        <v>0.19067840508977113</v>
      </c>
      <c r="P18" s="91">
        <f t="shared" si="8"/>
        <v>0.18821851216676583</v>
      </c>
      <c r="Q18" s="91">
        <f t="shared" si="8"/>
        <v>0.18575861924376053</v>
      </c>
      <c r="R18" s="91">
        <f t="shared" si="8"/>
        <v>0.18329872632075522</v>
      </c>
      <c r="S18" s="22">
        <f t="shared" si="8"/>
        <v>0.18083883339774992</v>
      </c>
      <c r="T18" s="91">
        <f t="shared" si="8"/>
        <v>0.17837894047474462</v>
      </c>
      <c r="U18" s="91">
        <f t="shared" si="8"/>
        <v>0.17591904755173932</v>
      </c>
      <c r="V18" s="91">
        <f t="shared" si="8"/>
        <v>0.17345915462873401</v>
      </c>
      <c r="W18" s="91">
        <f t="shared" si="8"/>
        <v>0.17099926170572871</v>
      </c>
      <c r="X18" s="185">
        <f>Inputs!F36</f>
        <v>0.16853936878272355</v>
      </c>
      <c r="Y18" s="172">
        <f>($AH$18-$X$18)/($AH$11-$X$11)+X18</f>
        <v>0.16702977244994327</v>
      </c>
      <c r="Z18" s="172">
        <f t="shared" ref="Z18:AG18" si="9">($AH$18-$X$18)/($AH$11-$X$11)+Y18</f>
        <v>0.16552017611716299</v>
      </c>
      <c r="AA18" s="172">
        <f t="shared" si="9"/>
        <v>0.16401057978438272</v>
      </c>
      <c r="AB18" s="172">
        <f t="shared" si="9"/>
        <v>0.16250098345160244</v>
      </c>
      <c r="AC18" s="172">
        <f t="shared" si="9"/>
        <v>0.16099138711882216</v>
      </c>
      <c r="AD18" s="172">
        <f t="shared" si="9"/>
        <v>0.15948179078604188</v>
      </c>
      <c r="AE18" s="172">
        <f t="shared" si="9"/>
        <v>0.15797219445326161</v>
      </c>
      <c r="AF18" s="172">
        <f t="shared" si="9"/>
        <v>0.15646259812048133</v>
      </c>
      <c r="AG18" s="172">
        <f t="shared" si="9"/>
        <v>0.15495300178770105</v>
      </c>
      <c r="AH18" s="185">
        <f>Inputs!H36</f>
        <v>0.15344340545492072</v>
      </c>
      <c r="AK18"/>
    </row>
    <row r="19" spans="1:37" s="281" customFormat="1">
      <c r="A19" s="281" t="s">
        <v>114</v>
      </c>
      <c r="B19" s="285"/>
      <c r="C19" s="330">
        <f t="shared" ref="C19:AH19" si="10">C16*C14</f>
        <v>2297.0100000000002</v>
      </c>
      <c r="D19" s="330">
        <f t="shared" si="10"/>
        <v>2774.6826265502832</v>
      </c>
      <c r="E19" s="330">
        <f t="shared" si="10"/>
        <v>2742.4969146402955</v>
      </c>
      <c r="F19" s="330">
        <f t="shared" si="10"/>
        <v>3057.8027171541407</v>
      </c>
      <c r="G19" s="330">
        <f t="shared" si="10"/>
        <v>3092.9252732152358</v>
      </c>
      <c r="H19" s="286">
        <f t="shared" si="10"/>
        <v>3019.0802578637617</v>
      </c>
      <c r="I19" s="286">
        <f t="shared" si="10"/>
        <v>3348.8847430012361</v>
      </c>
      <c r="J19" s="286">
        <f t="shared" si="10"/>
        <v>3763.3401964171817</v>
      </c>
      <c r="K19" s="286">
        <f t="shared" si="10"/>
        <v>3993.5607988406846</v>
      </c>
      <c r="L19" s="286">
        <f t="shared" si="10"/>
        <v>4295.1000950356556</v>
      </c>
      <c r="M19" s="286">
        <f t="shared" si="10"/>
        <v>4658.1690437906136</v>
      </c>
      <c r="N19" s="287">
        <f t="shared" si="10"/>
        <v>5065.6588882584274</v>
      </c>
      <c r="O19" s="286">
        <f t="shared" si="10"/>
        <v>5507.4428572209272</v>
      </c>
      <c r="P19" s="286">
        <f t="shared" si="10"/>
        <v>5991.3851861166831</v>
      </c>
      <c r="Q19" s="286">
        <f t="shared" si="10"/>
        <v>6591.6089024277571</v>
      </c>
      <c r="R19" s="286">
        <f t="shared" si="10"/>
        <v>7186.9608189973842</v>
      </c>
      <c r="S19" s="286">
        <f t="shared" si="10"/>
        <v>7819.6137567574542</v>
      </c>
      <c r="T19" s="286">
        <f t="shared" si="10"/>
        <v>8469.5286286641549</v>
      </c>
      <c r="U19" s="286">
        <f t="shared" si="10"/>
        <v>9167.1858315793397</v>
      </c>
      <c r="V19" s="286">
        <f t="shared" si="10"/>
        <v>9934.7873151548756</v>
      </c>
      <c r="W19" s="286">
        <f t="shared" si="10"/>
        <v>10763.324054912902</v>
      </c>
      <c r="X19" s="287">
        <f>Inputs!C12*'Output -Jobs vs Yr'!X14</f>
        <v>11633.642279680447</v>
      </c>
      <c r="Y19" s="286">
        <f t="shared" si="10"/>
        <v>12187.154956765364</v>
      </c>
      <c r="Z19" s="286">
        <f t="shared" si="10"/>
        <v>12777.77475597677</v>
      </c>
      <c r="AA19" s="286">
        <f t="shared" si="10"/>
        <v>13374.175839767904</v>
      </c>
      <c r="AB19" s="286">
        <f t="shared" si="10"/>
        <v>14023.810611898205</v>
      </c>
      <c r="AC19" s="286">
        <f t="shared" si="10"/>
        <v>14753.792306511221</v>
      </c>
      <c r="AD19" s="286">
        <f t="shared" si="10"/>
        <v>15509.472132522755</v>
      </c>
      <c r="AE19" s="286">
        <f t="shared" si="10"/>
        <v>16382.497141371012</v>
      </c>
      <c r="AF19" s="286">
        <f t="shared" si="10"/>
        <v>17328.908863362856</v>
      </c>
      <c r="AG19" s="286">
        <f t="shared" si="10"/>
        <v>18271.002451222554</v>
      </c>
      <c r="AH19" s="287">
        <f t="shared" si="10"/>
        <v>19185.541666754722</v>
      </c>
    </row>
    <row r="20" spans="1:37" s="20" customFormat="1">
      <c r="A20" s="20" t="s">
        <v>211</v>
      </c>
      <c r="B20" s="33"/>
      <c r="C20" s="330">
        <f>'Output - Jobs vs Yr (BAU)'!C18</f>
        <v>2297.0100000000002</v>
      </c>
      <c r="D20" s="330">
        <f>'Output - Jobs vs Yr (BAU)'!D18</f>
        <v>2393.0100000000002</v>
      </c>
      <c r="E20" s="330">
        <f>'Output - Jobs vs Yr (BAU)'!E18</f>
        <v>2742.4961648832054</v>
      </c>
      <c r="F20" s="330">
        <f>'Output - Jobs vs Yr (BAU)'!F18</f>
        <v>2648.3302239766927</v>
      </c>
      <c r="G20" s="330">
        <f>'Output - Jobs vs Yr (BAU)'!G18</f>
        <v>2933.4198148075066</v>
      </c>
      <c r="H20" s="286">
        <f>'Output - Jobs vs Yr (BAU)'!H18</f>
        <v>3018.0802578637631</v>
      </c>
      <c r="I20" s="83">
        <f>'Output - Jobs vs Yr (BAU)'!I18</f>
        <v>3128.8786286993595</v>
      </c>
      <c r="J20" s="83">
        <f>'Output - Jobs vs Yr (BAU)'!J18</f>
        <v>3310.5194770974026</v>
      </c>
      <c r="K20" s="83">
        <f>'Output - Jobs vs Yr (BAU)'!K18</f>
        <v>3590.2071643139734</v>
      </c>
      <c r="L20" s="83">
        <f>'Output - Jobs vs Yr (BAU)'!L18</f>
        <v>3750.9122442066323</v>
      </c>
      <c r="M20" s="83">
        <f>'Output - Jobs vs Yr (BAU)'!M18</f>
        <v>3901.6259455018803</v>
      </c>
      <c r="N20" s="177">
        <f>'Output - Jobs vs Yr (BAU)'!N18</f>
        <v>4093.4892768075892</v>
      </c>
      <c r="O20" s="83">
        <f>'Output - Jobs vs Yr (BAU)'!O18</f>
        <v>4389.6235584177903</v>
      </c>
      <c r="P20" s="83">
        <f>'Output - Jobs vs Yr (BAU)'!P18</f>
        <v>4590.5291138184211</v>
      </c>
      <c r="Q20" s="83">
        <f>'Output - Jobs vs Yr (BAU)'!Q18</f>
        <v>5166.6025878343626</v>
      </c>
      <c r="R20" s="83">
        <f>'Output - Jobs vs Yr (BAU)'!R18</f>
        <v>5391.1230632201032</v>
      </c>
      <c r="S20" s="83">
        <f>'Output - Jobs vs Yr (BAU)'!S18</f>
        <v>6087.4816756507425</v>
      </c>
      <c r="T20" s="83">
        <f>'Output - Jobs vs Yr (BAU)'!T18</f>
        <v>6292.318304701148</v>
      </c>
      <c r="U20" s="83">
        <f>'Output - Jobs vs Yr (BAU)'!U18</f>
        <v>6431.7786756615396</v>
      </c>
      <c r="V20" s="83">
        <f>'Output - Jobs vs Yr (BAU)'!V18</f>
        <v>6561.846047830214</v>
      </c>
      <c r="W20" s="83">
        <f>'Output - Jobs vs Yr (BAU)'!W18</f>
        <v>7349.1733228560524</v>
      </c>
      <c r="X20" s="184">
        <f>'Output - Jobs vs Yr (BAU)'!X18</f>
        <v>7468.5855214348285</v>
      </c>
      <c r="Y20" s="174">
        <f>'Output - Jobs vs Yr (BAU)'!Y18</f>
        <v>7568.617149739659</v>
      </c>
      <c r="Z20" s="174">
        <f>'Output - Jobs vs Yr (BAU)'!Z18</f>
        <v>7643.6914500707335</v>
      </c>
      <c r="AA20" s="174">
        <f>'Output - Jobs vs Yr (BAU)'!AA18</f>
        <v>7744.3296503694173</v>
      </c>
      <c r="AB20" s="174">
        <f>'Output - Jobs vs Yr (BAU)'!AB18</f>
        <v>7860.0721521382447</v>
      </c>
      <c r="AC20" s="174">
        <f>'Output - Jobs vs Yr (BAU)'!AC18</f>
        <v>7958.7725786835435</v>
      </c>
      <c r="AD20" s="174">
        <f>'Output - Jobs vs Yr (BAU)'!AD18</f>
        <v>8096.2006637839831</v>
      </c>
      <c r="AE20" s="174">
        <f>'Output - Jobs vs Yr (BAU)'!AE18</f>
        <v>8244.6010637798699</v>
      </c>
      <c r="AF20" s="174">
        <f>'Output - Jobs vs Yr (BAU)'!AF18</f>
        <v>8415.4885051372457</v>
      </c>
      <c r="AG20" s="174">
        <f>'Output - Jobs vs Yr (BAU)'!AG18</f>
        <v>8593.4859128232256</v>
      </c>
      <c r="AH20" s="184">
        <f>'Output - Jobs vs Yr (BAU)'!AH18</f>
        <v>8753.5035171412219</v>
      </c>
    </row>
    <row r="21" spans="1:37" s="20" customFormat="1">
      <c r="A21" s="20" t="s">
        <v>116</v>
      </c>
      <c r="B21" s="33"/>
      <c r="C21" s="330">
        <f t="shared" ref="C21:AH21" si="11">MAX(C19:C20)</f>
        <v>2297.0100000000002</v>
      </c>
      <c r="D21" s="330">
        <f t="shared" si="11"/>
        <v>2774.6826265502832</v>
      </c>
      <c r="E21" s="330">
        <f t="shared" si="11"/>
        <v>2742.4969146402955</v>
      </c>
      <c r="F21" s="330">
        <f t="shared" si="11"/>
        <v>3057.8027171541407</v>
      </c>
      <c r="G21" s="330">
        <f t="shared" si="11"/>
        <v>3092.9252732152358</v>
      </c>
      <c r="H21" s="286">
        <f t="shared" si="11"/>
        <v>3019.0802578637617</v>
      </c>
      <c r="I21" s="83">
        <f t="shared" si="11"/>
        <v>3348.8847430012361</v>
      </c>
      <c r="J21" s="83">
        <f t="shared" si="11"/>
        <v>3763.3401964171817</v>
      </c>
      <c r="K21" s="83">
        <f t="shared" si="11"/>
        <v>3993.5607988406846</v>
      </c>
      <c r="L21" s="83">
        <f t="shared" si="11"/>
        <v>4295.1000950356556</v>
      </c>
      <c r="M21" s="83">
        <f t="shared" si="11"/>
        <v>4658.1690437906136</v>
      </c>
      <c r="N21" s="177">
        <f t="shared" si="11"/>
        <v>5065.6588882584274</v>
      </c>
      <c r="O21" s="83">
        <f t="shared" si="11"/>
        <v>5507.4428572209272</v>
      </c>
      <c r="P21" s="83">
        <f t="shared" si="11"/>
        <v>5991.3851861166831</v>
      </c>
      <c r="Q21" s="83">
        <f t="shared" si="11"/>
        <v>6591.6089024277571</v>
      </c>
      <c r="R21" s="83">
        <f t="shared" si="11"/>
        <v>7186.9608189973842</v>
      </c>
      <c r="S21" s="83">
        <f t="shared" si="11"/>
        <v>7819.6137567574542</v>
      </c>
      <c r="T21" s="83">
        <f t="shared" si="11"/>
        <v>8469.5286286641549</v>
      </c>
      <c r="U21" s="83">
        <f t="shared" si="11"/>
        <v>9167.1858315793397</v>
      </c>
      <c r="V21" s="83">
        <f t="shared" si="11"/>
        <v>9934.7873151548756</v>
      </c>
      <c r="W21" s="83">
        <f t="shared" si="11"/>
        <v>10763.324054912902</v>
      </c>
      <c r="X21" s="184">
        <f t="shared" si="11"/>
        <v>11633.642279680447</v>
      </c>
      <c r="Y21" s="174">
        <f t="shared" si="11"/>
        <v>12187.154956765364</v>
      </c>
      <c r="Z21" s="174">
        <f t="shared" si="11"/>
        <v>12777.77475597677</v>
      </c>
      <c r="AA21" s="174">
        <f t="shared" si="11"/>
        <v>13374.175839767904</v>
      </c>
      <c r="AB21" s="174">
        <f t="shared" si="11"/>
        <v>14023.810611898205</v>
      </c>
      <c r="AC21" s="174">
        <f t="shared" si="11"/>
        <v>14753.792306511221</v>
      </c>
      <c r="AD21" s="174">
        <f t="shared" si="11"/>
        <v>15509.472132522755</v>
      </c>
      <c r="AE21" s="174">
        <f t="shared" si="11"/>
        <v>16382.497141371012</v>
      </c>
      <c r="AF21" s="174">
        <f t="shared" si="11"/>
        <v>17328.908863362856</v>
      </c>
      <c r="AG21" s="174">
        <f t="shared" si="11"/>
        <v>18271.002451222554</v>
      </c>
      <c r="AH21" s="184">
        <f t="shared" si="11"/>
        <v>19185.541666754722</v>
      </c>
      <c r="AI21" s="99"/>
    </row>
    <row r="22" spans="1:37" s="20" customFormat="1">
      <c r="A22" s="20" t="s">
        <v>379</v>
      </c>
      <c r="B22" s="33"/>
      <c r="C22" s="330" t="s">
        <v>0</v>
      </c>
      <c r="D22" s="330"/>
      <c r="E22" s="330"/>
      <c r="F22" s="330"/>
      <c r="G22" s="330"/>
      <c r="H22" s="286"/>
      <c r="I22" s="83"/>
      <c r="J22" s="83"/>
      <c r="K22" s="83"/>
      <c r="L22" s="83"/>
      <c r="M22" s="83"/>
      <c r="N22" s="177"/>
      <c r="O22" s="83"/>
      <c r="P22" s="83"/>
      <c r="Q22" s="83"/>
      <c r="R22" s="83"/>
      <c r="S22" s="83"/>
      <c r="T22" s="83"/>
      <c r="U22" s="83"/>
      <c r="V22" s="83"/>
      <c r="W22" s="173" t="s">
        <v>0</v>
      </c>
      <c r="X22" s="184"/>
      <c r="Y22"/>
      <c r="Z22"/>
      <c r="AA22"/>
      <c r="AB22"/>
      <c r="AC22"/>
      <c r="AD22"/>
      <c r="AE22"/>
      <c r="AF22"/>
      <c r="AG22"/>
      <c r="AH22" s="280"/>
      <c r="AI22" s="99"/>
    </row>
    <row r="23" spans="1:37" s="20" customFormat="1">
      <c r="A23" t="s">
        <v>538</v>
      </c>
      <c r="B23" s="33"/>
      <c r="C23" s="330">
        <v>0</v>
      </c>
      <c r="D23" s="332">
        <f t="shared" ref="D23:G23" si="12">C23+($N$23-$C$23)/($N$11-$C$11)</f>
        <v>0</v>
      </c>
      <c r="E23" s="332">
        <f t="shared" si="12"/>
        <v>0</v>
      </c>
      <c r="F23" s="332">
        <f t="shared" si="12"/>
        <v>0</v>
      </c>
      <c r="G23" s="332">
        <f t="shared" si="12"/>
        <v>0</v>
      </c>
      <c r="H23" s="286">
        <v>0</v>
      </c>
      <c r="I23" s="91">
        <f>H23+($N$23-$H$23)/($N$11-$H$11)</f>
        <v>0</v>
      </c>
      <c r="J23" s="172">
        <f t="shared" ref="J23:M23" si="13">I23+($N$23-$H$23)/($N$11-$H$11)</f>
        <v>0</v>
      </c>
      <c r="K23" s="172">
        <f t="shared" si="13"/>
        <v>0</v>
      </c>
      <c r="L23" s="172">
        <f t="shared" si="13"/>
        <v>0</v>
      </c>
      <c r="M23" s="172">
        <f t="shared" si="13"/>
        <v>0</v>
      </c>
      <c r="N23" s="180">
        <f>Inputs!C34</f>
        <v>0</v>
      </c>
      <c r="O23" s="172">
        <f>N23+($X$23-$N$23)/($X$11-$N$11)</f>
        <v>0</v>
      </c>
      <c r="P23" s="172">
        <f t="shared" ref="P23:W23" si="14">O23+($X$23-$N$23)/($X$11-$N$11)</f>
        <v>0</v>
      </c>
      <c r="Q23" s="172">
        <f t="shared" si="14"/>
        <v>0</v>
      </c>
      <c r="R23" s="172">
        <f t="shared" si="14"/>
        <v>0</v>
      </c>
      <c r="S23" s="172">
        <f t="shared" si="14"/>
        <v>0</v>
      </c>
      <c r="T23" s="172">
        <f t="shared" si="14"/>
        <v>0</v>
      </c>
      <c r="U23" s="172">
        <f t="shared" si="14"/>
        <v>0</v>
      </c>
      <c r="V23" s="172">
        <f t="shared" si="14"/>
        <v>0</v>
      </c>
      <c r="W23" s="172">
        <f t="shared" si="14"/>
        <v>0</v>
      </c>
      <c r="X23" s="185">
        <f>Inputs!F34</f>
        <v>0</v>
      </c>
      <c r="Y23" s="172">
        <f>X23+($AH$23-$X$23)/($AH$11-$X$11)</f>
        <v>0</v>
      </c>
      <c r="Z23" s="172">
        <f t="shared" ref="Z23:AG23" si="15">Y23+($AH$23-$X$23)/($AH$11-$X$11)</f>
        <v>0</v>
      </c>
      <c r="AA23" s="172">
        <f t="shared" si="15"/>
        <v>0</v>
      </c>
      <c r="AB23" s="172">
        <f t="shared" si="15"/>
        <v>0</v>
      </c>
      <c r="AC23" s="172">
        <f t="shared" si="15"/>
        <v>0</v>
      </c>
      <c r="AD23" s="172">
        <f t="shared" si="15"/>
        <v>0</v>
      </c>
      <c r="AE23" s="172">
        <f t="shared" si="15"/>
        <v>0</v>
      </c>
      <c r="AF23" s="172">
        <f t="shared" si="15"/>
        <v>0</v>
      </c>
      <c r="AG23" s="172">
        <f t="shared" si="15"/>
        <v>0</v>
      </c>
      <c r="AH23" s="185">
        <f>Inputs!H34</f>
        <v>0</v>
      </c>
      <c r="AI23" s="99"/>
    </row>
    <row r="24" spans="1:37" s="20" customFormat="1">
      <c r="A24" t="s">
        <v>539</v>
      </c>
      <c r="B24" s="33"/>
      <c r="C24" s="330">
        <v>0</v>
      </c>
      <c r="D24" s="332">
        <f t="shared" ref="D24:G24" si="16">C24+($N$24-$C$24)/($N$11-$C$11)</f>
        <v>0</v>
      </c>
      <c r="E24" s="332">
        <f t="shared" si="16"/>
        <v>0</v>
      </c>
      <c r="F24" s="332">
        <f t="shared" si="16"/>
        <v>0</v>
      </c>
      <c r="G24" s="332">
        <f t="shared" si="16"/>
        <v>0</v>
      </c>
      <c r="H24" s="109">
        <v>0</v>
      </c>
      <c r="I24" s="172">
        <f>H24+($N$24-$H$24)/($N$11-$H$11)</f>
        <v>0</v>
      </c>
      <c r="J24" s="172">
        <f t="shared" ref="J24:M24" si="17">I24+($N$24-$H$24)/($N$11-$H$11)</f>
        <v>0</v>
      </c>
      <c r="K24" s="172">
        <f t="shared" si="17"/>
        <v>0</v>
      </c>
      <c r="L24" s="172">
        <f t="shared" si="17"/>
        <v>0</v>
      </c>
      <c r="M24" s="172">
        <f t="shared" si="17"/>
        <v>0</v>
      </c>
      <c r="N24" s="185">
        <f>Inputs!C34</f>
        <v>0</v>
      </c>
      <c r="O24" s="125">
        <f t="shared" ref="O24:W24" si="18">N$24+($X$24-$N$24)/($X$11-$N$11)</f>
        <v>0</v>
      </c>
      <c r="P24" s="125">
        <f t="shared" si="18"/>
        <v>0</v>
      </c>
      <c r="Q24" s="125">
        <f t="shared" si="18"/>
        <v>0</v>
      </c>
      <c r="R24" s="125">
        <f t="shared" si="18"/>
        <v>0</v>
      </c>
      <c r="S24" s="22">
        <f t="shared" si="18"/>
        <v>0</v>
      </c>
      <c r="T24" s="125">
        <f t="shared" si="18"/>
        <v>0</v>
      </c>
      <c r="U24" s="125">
        <f t="shared" si="18"/>
        <v>0</v>
      </c>
      <c r="V24" s="125">
        <f t="shared" si="18"/>
        <v>0</v>
      </c>
      <c r="W24" s="125">
        <f t="shared" si="18"/>
        <v>0</v>
      </c>
      <c r="X24" s="185">
        <f>Inputs!F34</f>
        <v>0</v>
      </c>
      <c r="Y24" s="172">
        <f>X$24+($AH$24-$X$24)/($AH$11-$X$11)</f>
        <v>0</v>
      </c>
      <c r="Z24" s="172">
        <f t="shared" ref="Z24:AG24" si="19">Y$24+($AH$24-$X$24)/($AH$11-$X$11)</f>
        <v>0</v>
      </c>
      <c r="AA24" s="172">
        <f t="shared" si="19"/>
        <v>0</v>
      </c>
      <c r="AB24" s="172">
        <f t="shared" si="19"/>
        <v>0</v>
      </c>
      <c r="AC24" s="172">
        <f t="shared" si="19"/>
        <v>0</v>
      </c>
      <c r="AD24" s="172">
        <f t="shared" si="19"/>
        <v>0</v>
      </c>
      <c r="AE24" s="172">
        <f t="shared" si="19"/>
        <v>0</v>
      </c>
      <c r="AF24" s="172">
        <f t="shared" si="19"/>
        <v>0</v>
      </c>
      <c r="AG24" s="172">
        <f t="shared" si="19"/>
        <v>0</v>
      </c>
      <c r="AH24" s="185">
        <f>Inputs!H34</f>
        <v>0</v>
      </c>
      <c r="AI24" s="99"/>
    </row>
    <row r="25" spans="1:37" s="20" customFormat="1">
      <c r="A25" t="s">
        <v>540</v>
      </c>
      <c r="B25" s="33"/>
      <c r="C25" s="330"/>
      <c r="D25" s="332">
        <f t="shared" ref="D25:AH25" si="20">D30/(D30+D47)</f>
        <v>0</v>
      </c>
      <c r="E25" s="332">
        <f t="shared" si="20"/>
        <v>0</v>
      </c>
      <c r="F25" s="332">
        <f t="shared" si="20"/>
        <v>0</v>
      </c>
      <c r="G25" s="332">
        <f t="shared" si="20"/>
        <v>0</v>
      </c>
      <c r="H25" s="284"/>
      <c r="I25" s="125">
        <f t="shared" si="20"/>
        <v>0</v>
      </c>
      <c r="J25" s="125">
        <f t="shared" si="20"/>
        <v>0</v>
      </c>
      <c r="K25" s="125">
        <f t="shared" si="20"/>
        <v>0</v>
      </c>
      <c r="L25" s="125">
        <f t="shared" si="20"/>
        <v>0</v>
      </c>
      <c r="M25" s="125">
        <f t="shared" si="20"/>
        <v>0</v>
      </c>
      <c r="N25" s="180">
        <f t="shared" si="20"/>
        <v>0</v>
      </c>
      <c r="O25" s="125">
        <f t="shared" si="20"/>
        <v>0</v>
      </c>
      <c r="P25" s="125">
        <f t="shared" si="20"/>
        <v>0</v>
      </c>
      <c r="Q25" s="125">
        <f t="shared" si="20"/>
        <v>0</v>
      </c>
      <c r="R25" s="125">
        <f t="shared" si="20"/>
        <v>0</v>
      </c>
      <c r="S25" s="125">
        <f t="shared" si="20"/>
        <v>0</v>
      </c>
      <c r="T25" s="125">
        <f t="shared" si="20"/>
        <v>0</v>
      </c>
      <c r="U25" s="125">
        <f t="shared" si="20"/>
        <v>0</v>
      </c>
      <c r="V25" s="125">
        <f t="shared" si="20"/>
        <v>0</v>
      </c>
      <c r="W25" s="125">
        <f t="shared" si="20"/>
        <v>0</v>
      </c>
      <c r="X25" s="185">
        <f t="shared" si="20"/>
        <v>0</v>
      </c>
      <c r="Y25" s="172">
        <f t="shared" si="20"/>
        <v>0</v>
      </c>
      <c r="Z25" s="172">
        <f t="shared" si="20"/>
        <v>0</v>
      </c>
      <c r="AA25" s="172">
        <f t="shared" si="20"/>
        <v>0</v>
      </c>
      <c r="AB25" s="172">
        <f t="shared" si="20"/>
        <v>0</v>
      </c>
      <c r="AC25" s="172">
        <f t="shared" si="20"/>
        <v>0</v>
      </c>
      <c r="AD25" s="172">
        <f t="shared" si="20"/>
        <v>0</v>
      </c>
      <c r="AE25" s="172">
        <f t="shared" si="20"/>
        <v>0</v>
      </c>
      <c r="AF25" s="172">
        <f t="shared" si="20"/>
        <v>0</v>
      </c>
      <c r="AG25" s="172">
        <f t="shared" si="20"/>
        <v>0</v>
      </c>
      <c r="AH25" s="185">
        <f t="shared" si="20"/>
        <v>0</v>
      </c>
      <c r="AI25" s="99"/>
    </row>
    <row r="26" spans="1:37" s="20" customFormat="1">
      <c r="A26" s="20" t="s">
        <v>382</v>
      </c>
      <c r="B26" s="33"/>
      <c r="C26" s="332">
        <f>C31/C14</f>
        <v>1.3769021678586549E-2</v>
      </c>
      <c r="D26" s="332">
        <f t="shared" ref="D26:G26" si="21">C26+($N$26-$C$26)/($N$11-$C$11)</f>
        <v>1.3761387460574568E-2</v>
      </c>
      <c r="E26" s="332">
        <f t="shared" si="21"/>
        <v>1.3753753242562587E-2</v>
      </c>
      <c r="F26" s="332">
        <f t="shared" si="21"/>
        <v>1.3746119024550606E-2</v>
      </c>
      <c r="G26" s="332">
        <f t="shared" si="21"/>
        <v>1.3738484806538625E-2</v>
      </c>
      <c r="H26" s="284">
        <f>H31/H14</f>
        <v>1.4552900148822868E-2</v>
      </c>
      <c r="I26" s="91">
        <f>H26+($N$26-$H$26)/($N$11-$H$11)</f>
        <v>1.4408257670761516E-2</v>
      </c>
      <c r="J26" s="172">
        <f t="shared" ref="J26:M26" si="22">I26+($N$26-$H$26)/($N$11-$H$11)</f>
        <v>1.4263615192700165E-2</v>
      </c>
      <c r="K26" s="172">
        <f t="shared" si="22"/>
        <v>1.4118972714638814E-2</v>
      </c>
      <c r="L26" s="172">
        <f t="shared" si="22"/>
        <v>1.3974330236577463E-2</v>
      </c>
      <c r="M26" s="172">
        <f t="shared" si="22"/>
        <v>1.3829687758516111E-2</v>
      </c>
      <c r="N26" s="180">
        <f>Inputs!C35</f>
        <v>1.3685045280454765E-2</v>
      </c>
      <c r="O26" s="91">
        <f t="shared" ref="O26:W26" si="23">N26+($X$26-$N$26)/($X$11-$N$11)</f>
        <v>1.3510746623053472E-2</v>
      </c>
      <c r="P26" s="91">
        <f t="shared" si="23"/>
        <v>1.3336447965652179E-2</v>
      </c>
      <c r="Q26" s="91">
        <f t="shared" si="23"/>
        <v>1.3162149308250886E-2</v>
      </c>
      <c r="R26" s="91">
        <f t="shared" si="23"/>
        <v>1.2987850650849593E-2</v>
      </c>
      <c r="S26" s="22">
        <f t="shared" si="23"/>
        <v>1.28135519934483E-2</v>
      </c>
      <c r="T26" s="91">
        <f t="shared" si="23"/>
        <v>1.2639253336047008E-2</v>
      </c>
      <c r="U26" s="91">
        <f t="shared" si="23"/>
        <v>1.2464954678645715E-2</v>
      </c>
      <c r="V26" s="91">
        <f t="shared" si="23"/>
        <v>1.2290656021244422E-2</v>
      </c>
      <c r="W26" s="91">
        <f t="shared" si="23"/>
        <v>1.2116357363843129E-2</v>
      </c>
      <c r="X26" s="185">
        <f>Inputs!F35</f>
        <v>1.1942058706441841E-2</v>
      </c>
      <c r="Y26" s="172">
        <f>X26+($AH$26-$X$26)/($AH$11-$X$11)</f>
        <v>1.1835094451387983E-2</v>
      </c>
      <c r="Z26" s="172">
        <f t="shared" ref="Z26:AG26" si="24">Y26+($AH$26-$X$26)/($AH$11-$X$11)</f>
        <v>1.1728130196334126E-2</v>
      </c>
      <c r="AA26" s="172">
        <f t="shared" si="24"/>
        <v>1.1621165941280268E-2</v>
      </c>
      <c r="AB26" s="172">
        <f t="shared" si="24"/>
        <v>1.1514201686226411E-2</v>
      </c>
      <c r="AC26" s="172">
        <f t="shared" si="24"/>
        <v>1.1407237431172553E-2</v>
      </c>
      <c r="AD26" s="172">
        <f t="shared" si="24"/>
        <v>1.1300273176118696E-2</v>
      </c>
      <c r="AE26" s="172">
        <f t="shared" si="24"/>
        <v>1.1193308921064838E-2</v>
      </c>
      <c r="AF26" s="172">
        <f t="shared" si="24"/>
        <v>1.108634466601098E-2</v>
      </c>
      <c r="AG26" s="172">
        <f t="shared" si="24"/>
        <v>1.0979380410957123E-2</v>
      </c>
      <c r="AH26" s="185">
        <f>Inputs!H35</f>
        <v>1.0872416155903262E-2</v>
      </c>
      <c r="AI26" s="99"/>
    </row>
    <row r="27" spans="1:37" s="1" customFormat="1">
      <c r="B27" s="33"/>
      <c r="C27" s="338"/>
      <c r="D27" s="329"/>
      <c r="E27" s="392"/>
      <c r="F27" s="392"/>
      <c r="G27" s="392"/>
      <c r="H27" s="401"/>
      <c r="I27" s="25"/>
      <c r="J27" s="25"/>
      <c r="K27" s="24"/>
      <c r="L27" s="24"/>
      <c r="M27" s="24"/>
      <c r="N27" s="181" t="s">
        <v>0</v>
      </c>
      <c r="O27" s="26"/>
      <c r="P27" s="13"/>
      <c r="Q27" s="13"/>
      <c r="R27" s="13"/>
      <c r="S27" s="169">
        <f>SUM(S18,S24,S26)</f>
        <v>0.19365238539119822</v>
      </c>
      <c r="T27" s="13"/>
      <c r="U27" s="13"/>
      <c r="V27" s="13"/>
      <c r="W27" s="13"/>
      <c r="X27" s="176"/>
      <c r="Y27"/>
      <c r="Z27"/>
      <c r="AA27"/>
      <c r="AB27"/>
      <c r="AC27"/>
      <c r="AD27"/>
      <c r="AE27"/>
      <c r="AF27"/>
      <c r="AG27"/>
      <c r="AH27" s="280"/>
      <c r="AI27" s="24"/>
    </row>
    <row r="28" spans="1:37" s="1" customFormat="1">
      <c r="A28" s="1" t="s">
        <v>378</v>
      </c>
      <c r="B28" s="33"/>
      <c r="C28" s="328">
        <v>2009</v>
      </c>
      <c r="D28" s="328">
        <v>2010</v>
      </c>
      <c r="E28" s="328">
        <v>2011</v>
      </c>
      <c r="F28" s="328">
        <v>2012</v>
      </c>
      <c r="G28" s="328">
        <v>2013</v>
      </c>
      <c r="H28" s="400">
        <v>2014</v>
      </c>
      <c r="I28" s="13">
        <v>2015</v>
      </c>
      <c r="J28" s="13">
        <v>2016</v>
      </c>
      <c r="K28" s="13">
        <v>2017</v>
      </c>
      <c r="L28" s="13">
        <v>2018</v>
      </c>
      <c r="M28" s="13">
        <v>2019</v>
      </c>
      <c r="N28" s="176">
        <v>2020</v>
      </c>
      <c r="O28" s="13">
        <v>2021</v>
      </c>
      <c r="P28" s="13">
        <v>2022</v>
      </c>
      <c r="Q28" s="13">
        <v>2023</v>
      </c>
      <c r="R28" s="13">
        <v>2024</v>
      </c>
      <c r="S28" s="13">
        <v>2025</v>
      </c>
      <c r="T28" s="13">
        <v>2026</v>
      </c>
      <c r="U28" s="13">
        <v>2027</v>
      </c>
      <c r="V28" s="13">
        <v>2028</v>
      </c>
      <c r="W28" s="13">
        <v>2029</v>
      </c>
      <c r="X28" s="176">
        <v>2030</v>
      </c>
      <c r="Y28" s="13">
        <v>2031</v>
      </c>
      <c r="Z28" s="13">
        <v>2032</v>
      </c>
      <c r="AA28" s="13">
        <v>2033</v>
      </c>
      <c r="AB28" s="13">
        <v>2034</v>
      </c>
      <c r="AC28" s="13">
        <v>2035</v>
      </c>
      <c r="AD28" s="13">
        <v>2036</v>
      </c>
      <c r="AE28" s="13">
        <v>2037</v>
      </c>
      <c r="AF28" s="13">
        <v>2038</v>
      </c>
      <c r="AG28" s="13">
        <v>2039</v>
      </c>
      <c r="AH28" s="176">
        <v>2040</v>
      </c>
      <c r="AK28" s="77"/>
    </row>
    <row r="29" spans="1:37">
      <c r="A29" s="9" t="s">
        <v>282</v>
      </c>
      <c r="B29" s="35">
        <v>0</v>
      </c>
      <c r="C29" s="330" t="s">
        <v>377</v>
      </c>
      <c r="D29" s="330">
        <f t="shared" ref="D29:AH29" si="25">D13-D14</f>
        <v>0</v>
      </c>
      <c r="E29" s="330">
        <f t="shared" si="25"/>
        <v>0</v>
      </c>
      <c r="F29" s="330">
        <f t="shared" si="25"/>
        <v>0</v>
      </c>
      <c r="G29" s="330">
        <f t="shared" si="25"/>
        <v>0</v>
      </c>
      <c r="H29" s="286">
        <f t="shared" si="25"/>
        <v>0</v>
      </c>
      <c r="I29" s="50">
        <f t="shared" si="25"/>
        <v>0</v>
      </c>
      <c r="J29" s="50">
        <f t="shared" si="25"/>
        <v>0</v>
      </c>
      <c r="K29" s="50">
        <f t="shared" si="25"/>
        <v>0</v>
      </c>
      <c r="L29" s="50">
        <f t="shared" si="25"/>
        <v>0</v>
      </c>
      <c r="M29" s="50">
        <f t="shared" si="25"/>
        <v>0</v>
      </c>
      <c r="N29" s="177">
        <f t="shared" si="25"/>
        <v>0</v>
      </c>
      <c r="O29" s="50">
        <f t="shared" si="25"/>
        <v>0</v>
      </c>
      <c r="P29" s="50">
        <f t="shared" si="25"/>
        <v>0</v>
      </c>
      <c r="Q29" s="50">
        <f t="shared" si="25"/>
        <v>0</v>
      </c>
      <c r="R29" s="50">
        <f t="shared" si="25"/>
        <v>0</v>
      </c>
      <c r="S29" s="50">
        <f t="shared" si="25"/>
        <v>0</v>
      </c>
      <c r="T29" s="50">
        <f t="shared" si="25"/>
        <v>0</v>
      </c>
      <c r="U29" s="50">
        <f t="shared" si="25"/>
        <v>0</v>
      </c>
      <c r="V29" s="50">
        <f t="shared" si="25"/>
        <v>0</v>
      </c>
      <c r="W29" s="50">
        <f t="shared" si="25"/>
        <v>0</v>
      </c>
      <c r="X29" s="184">
        <f t="shared" si="25"/>
        <v>0</v>
      </c>
      <c r="Y29" s="174">
        <f t="shared" si="25"/>
        <v>0</v>
      </c>
      <c r="Z29" s="174">
        <f t="shared" si="25"/>
        <v>0</v>
      </c>
      <c r="AA29" s="174">
        <f t="shared" si="25"/>
        <v>0</v>
      </c>
      <c r="AB29" s="174">
        <f t="shared" si="25"/>
        <v>0</v>
      </c>
      <c r="AC29" s="174">
        <f t="shared" si="25"/>
        <v>0</v>
      </c>
      <c r="AD29" s="174">
        <f t="shared" si="25"/>
        <v>0</v>
      </c>
      <c r="AE29" s="174">
        <f t="shared" si="25"/>
        <v>0</v>
      </c>
      <c r="AF29" s="174">
        <f t="shared" si="25"/>
        <v>0</v>
      </c>
      <c r="AG29" s="174">
        <f t="shared" si="25"/>
        <v>0</v>
      </c>
      <c r="AH29" s="184">
        <f t="shared" si="25"/>
        <v>0</v>
      </c>
      <c r="AI29" s="127"/>
    </row>
    <row r="30" spans="1:37" s="20" customFormat="1">
      <c r="A30" s="20" t="s">
        <v>122</v>
      </c>
      <c r="B30" s="35">
        <v>0</v>
      </c>
      <c r="C30" s="330">
        <f>C23*C47</f>
        <v>0</v>
      </c>
      <c r="D30" s="330">
        <f t="shared" ref="D30:AH30" si="26">D24*D14</f>
        <v>0</v>
      </c>
      <c r="E30" s="330">
        <f t="shared" si="26"/>
        <v>0</v>
      </c>
      <c r="F30" s="330">
        <f t="shared" si="26"/>
        <v>0</v>
      </c>
      <c r="G30" s="330">
        <f t="shared" si="26"/>
        <v>0</v>
      </c>
      <c r="H30" s="286">
        <f t="shared" si="26"/>
        <v>0</v>
      </c>
      <c r="I30" s="118">
        <f t="shared" si="26"/>
        <v>0</v>
      </c>
      <c r="J30" s="118">
        <f t="shared" si="26"/>
        <v>0</v>
      </c>
      <c r="K30" s="118">
        <f t="shared" si="26"/>
        <v>0</v>
      </c>
      <c r="L30" s="118">
        <f t="shared" si="26"/>
        <v>0</v>
      </c>
      <c r="M30" s="118">
        <f t="shared" si="26"/>
        <v>0</v>
      </c>
      <c r="N30" s="177">
        <f t="shared" si="26"/>
        <v>0</v>
      </c>
      <c r="O30" s="118">
        <f t="shared" si="26"/>
        <v>0</v>
      </c>
      <c r="P30" s="118">
        <f t="shared" si="26"/>
        <v>0</v>
      </c>
      <c r="Q30" s="118">
        <f t="shared" si="26"/>
        <v>0</v>
      </c>
      <c r="R30" s="118">
        <f t="shared" si="26"/>
        <v>0</v>
      </c>
      <c r="S30" s="118">
        <f t="shared" si="26"/>
        <v>0</v>
      </c>
      <c r="T30" s="118">
        <f t="shared" si="26"/>
        <v>0</v>
      </c>
      <c r="U30" s="118">
        <f t="shared" si="26"/>
        <v>0</v>
      </c>
      <c r="V30" s="118">
        <f t="shared" si="26"/>
        <v>0</v>
      </c>
      <c r="W30" s="118">
        <f t="shared" si="26"/>
        <v>0</v>
      </c>
      <c r="X30" s="184">
        <f t="shared" si="26"/>
        <v>0</v>
      </c>
      <c r="Y30" s="174">
        <f t="shared" si="26"/>
        <v>0</v>
      </c>
      <c r="Z30" s="174">
        <f t="shared" si="26"/>
        <v>0</v>
      </c>
      <c r="AA30" s="174">
        <f t="shared" si="26"/>
        <v>0</v>
      </c>
      <c r="AB30" s="174">
        <f t="shared" si="26"/>
        <v>0</v>
      </c>
      <c r="AC30" s="174">
        <f t="shared" si="26"/>
        <v>0</v>
      </c>
      <c r="AD30" s="174">
        <f t="shared" si="26"/>
        <v>0</v>
      </c>
      <c r="AE30" s="174">
        <f t="shared" si="26"/>
        <v>0</v>
      </c>
      <c r="AF30" s="174">
        <f t="shared" si="26"/>
        <v>0</v>
      </c>
      <c r="AG30" s="174">
        <f t="shared" si="26"/>
        <v>0</v>
      </c>
      <c r="AH30" s="184">
        <f t="shared" si="26"/>
        <v>0</v>
      </c>
      <c r="AI30" s="127"/>
    </row>
    <row r="31" spans="1:37">
      <c r="A31" s="9" t="s">
        <v>49</v>
      </c>
      <c r="B31" s="35">
        <v>0</v>
      </c>
      <c r="C31" s="330">
        <f>'Output - Jobs vs Yr (BAU)'!C7</f>
        <v>1235.99</v>
      </c>
      <c r="D31" s="330">
        <f t="shared" ref="D31:AH31" si="27">D26*D14</f>
        <v>1394.3588230552575</v>
      </c>
      <c r="E31" s="330">
        <f t="shared" si="27"/>
        <v>1282.7927598664778</v>
      </c>
      <c r="F31" s="330">
        <f t="shared" si="27"/>
        <v>1340.1229573424857</v>
      </c>
      <c r="G31" s="330">
        <f t="shared" si="27"/>
        <v>1265.941981573822</v>
      </c>
      <c r="H31" s="286">
        <f>'Output - Jobs vs Yr (BAU)'!H7</f>
        <v>1319.4682949267435</v>
      </c>
      <c r="I31" s="174">
        <f t="shared" si="27"/>
        <v>1353.7015114143014</v>
      </c>
      <c r="J31" s="174">
        <f t="shared" si="27"/>
        <v>1406.9526523029986</v>
      </c>
      <c r="K31" s="174">
        <f t="shared" si="27"/>
        <v>1380.7113898113689</v>
      </c>
      <c r="L31" s="174">
        <f t="shared" si="27"/>
        <v>1373.1722691483942</v>
      </c>
      <c r="M31" s="174">
        <f t="shared" si="27"/>
        <v>1377.0388825055072</v>
      </c>
      <c r="N31" s="184">
        <f t="shared" si="27"/>
        <v>1386.4754252230944</v>
      </c>
      <c r="O31" s="174">
        <f t="shared" si="27"/>
        <v>1386.516490827129</v>
      </c>
      <c r="P31" s="174">
        <f t="shared" si="27"/>
        <v>1389.1160964592736</v>
      </c>
      <c r="Q31" s="174">
        <f t="shared" si="27"/>
        <v>1407.2779460031982</v>
      </c>
      <c r="R31" s="174">
        <f t="shared" si="27"/>
        <v>1412.6524992016873</v>
      </c>
      <c r="S31" s="174">
        <f t="shared" si="27"/>
        <v>1414.8254192824741</v>
      </c>
      <c r="T31" s="174">
        <f t="shared" si="27"/>
        <v>1410.3455757206318</v>
      </c>
      <c r="U31" s="174">
        <f t="shared" si="27"/>
        <v>1404.6624801315991</v>
      </c>
      <c r="V31" s="174">
        <f t="shared" si="27"/>
        <v>1400.5010028693762</v>
      </c>
      <c r="W31" s="174">
        <f t="shared" si="27"/>
        <v>1395.6464576870778</v>
      </c>
      <c r="X31" s="184">
        <f t="shared" si="27"/>
        <v>1389.2963907368778</v>
      </c>
      <c r="Y31" s="174">
        <f t="shared" si="27"/>
        <v>1383.0026859821839</v>
      </c>
      <c r="Z31" s="174">
        <f t="shared" si="27"/>
        <v>1379.8106641221</v>
      </c>
      <c r="AA31" s="174">
        <f t="shared" si="27"/>
        <v>1374.1666849275066</v>
      </c>
      <c r="AB31" s="174">
        <f t="shared" si="27"/>
        <v>1370.9213621829124</v>
      </c>
      <c r="AC31" s="174">
        <f t="shared" si="27"/>
        <v>1372.1147689816623</v>
      </c>
      <c r="AD31" s="174">
        <f t="shared" si="27"/>
        <v>1372.1029002186453</v>
      </c>
      <c r="AE31" s="174">
        <f t="shared" si="27"/>
        <v>1378.5991646531941</v>
      </c>
      <c r="AF31" s="174">
        <f t="shared" si="27"/>
        <v>1386.9461143668918</v>
      </c>
      <c r="AG31" s="174">
        <f t="shared" si="27"/>
        <v>1390.7197606878417</v>
      </c>
      <c r="AH31" s="184">
        <f t="shared" si="27"/>
        <v>1390.6212878491949</v>
      </c>
      <c r="AI31" s="127"/>
    </row>
    <row r="32" spans="1:37">
      <c r="A32" s="9" t="s">
        <v>59</v>
      </c>
      <c r="B32" s="35">
        <v>0</v>
      </c>
      <c r="C32" s="330">
        <f>EIA_electricity_aeo2014!E52*1000</f>
        <v>16782</v>
      </c>
      <c r="D32" s="330">
        <f t="shared" ref="D32:AH32" si="28">D18*D14</f>
        <v>18999.776639664906</v>
      </c>
      <c r="E32" s="330">
        <f t="shared" si="28"/>
        <v>17541.707340425604</v>
      </c>
      <c r="F32" s="330">
        <f t="shared" si="28"/>
        <v>18390.675199455243</v>
      </c>
      <c r="G32" s="330">
        <f t="shared" si="28"/>
        <v>17434.149693362986</v>
      </c>
      <c r="H32" s="286">
        <f>EIA_electricity_aeo2014!J52*1000</f>
        <v>16815.288126750682</v>
      </c>
      <c r="I32" s="174">
        <f t="shared" si="28"/>
        <v>17544.944103243073</v>
      </c>
      <c r="J32" s="174">
        <f t="shared" si="28"/>
        <v>18546.23093418773</v>
      </c>
      <c r="K32" s="174">
        <f t="shared" si="28"/>
        <v>18511.889408155941</v>
      </c>
      <c r="L32" s="174">
        <f t="shared" si="28"/>
        <v>18727.088676984324</v>
      </c>
      <c r="M32" s="174">
        <f t="shared" si="28"/>
        <v>19103.625988435149</v>
      </c>
      <c r="N32" s="184">
        <f t="shared" si="28"/>
        <v>19567.454719830515</v>
      </c>
      <c r="O32" s="174">
        <f t="shared" si="28"/>
        <v>19568.034282463126</v>
      </c>
      <c r="P32" s="174">
        <f t="shared" si="28"/>
        <v>19604.72275495316</v>
      </c>
      <c r="Q32" s="174">
        <f t="shared" si="28"/>
        <v>19861.04260174881</v>
      </c>
      <c r="R32" s="174">
        <f t="shared" si="28"/>
        <v>19936.894163512938</v>
      </c>
      <c r="S32" s="174">
        <f t="shared" si="28"/>
        <v>19967.560783719178</v>
      </c>
      <c r="T32" s="174">
        <f t="shared" si="28"/>
        <v>19904.336341039882</v>
      </c>
      <c r="U32" s="174">
        <f t="shared" si="28"/>
        <v>19824.130292246071</v>
      </c>
      <c r="V32" s="174">
        <f t="shared" si="28"/>
        <v>19765.398982325412</v>
      </c>
      <c r="W32" s="174">
        <f t="shared" si="28"/>
        <v>19696.886341342459</v>
      </c>
      <c r="X32" s="184">
        <f t="shared" si="28"/>
        <v>19607.267264613474</v>
      </c>
      <c r="Y32" s="174">
        <f t="shared" si="28"/>
        <v>19518.443632714167</v>
      </c>
      <c r="Z32" s="174">
        <f t="shared" si="28"/>
        <v>19473.394335715733</v>
      </c>
      <c r="AA32" s="174">
        <f t="shared" si="28"/>
        <v>19393.740340180906</v>
      </c>
      <c r="AB32" s="174">
        <f t="shared" si="28"/>
        <v>19347.938802915385</v>
      </c>
      <c r="AC32" s="174">
        <f t="shared" si="28"/>
        <v>19364.781462418792</v>
      </c>
      <c r="AD32" s="174">
        <f t="shared" si="28"/>
        <v>19364.613957478792</v>
      </c>
      <c r="AE32" s="174">
        <f t="shared" si="28"/>
        <v>19456.296332700571</v>
      </c>
      <c r="AF32" s="174">
        <f t="shared" si="28"/>
        <v>19574.097598846489</v>
      </c>
      <c r="AG32" s="174">
        <f t="shared" si="28"/>
        <v>19627.355415155755</v>
      </c>
      <c r="AH32" s="184">
        <f t="shared" si="28"/>
        <v>19625.965658960802</v>
      </c>
      <c r="AI32" s="128"/>
    </row>
    <row r="33" spans="1:36">
      <c r="A33" s="9"/>
      <c r="B33" s="35"/>
      <c r="C33" s="330"/>
      <c r="D33" s="330"/>
      <c r="E33" s="330"/>
      <c r="F33" s="330"/>
      <c r="G33" s="330"/>
      <c r="H33" s="286"/>
      <c r="I33" s="118"/>
      <c r="J33" s="118"/>
      <c r="K33" s="118"/>
      <c r="L33" s="118"/>
      <c r="M33" s="118"/>
      <c r="N33" s="184"/>
      <c r="O33" s="118"/>
      <c r="P33" s="118"/>
      <c r="Q33" s="118"/>
      <c r="R33" s="118"/>
      <c r="S33" s="118"/>
      <c r="T33" s="118"/>
      <c r="U33" s="118"/>
      <c r="V33" s="118"/>
      <c r="W33" s="118"/>
      <c r="X33" s="184"/>
      <c r="AI33" s="128"/>
    </row>
    <row r="34" spans="1:36">
      <c r="A34" s="9" t="s">
        <v>121</v>
      </c>
      <c r="B34" s="35">
        <v>1</v>
      </c>
      <c r="C34" s="330">
        <f>EIA_RE_aeo2014!E76*1000</f>
        <v>2297</v>
      </c>
      <c r="D34" s="330">
        <f>MAX(D58*D$14,'Output - Jobs vs Yr (BAU)'!D10)</f>
        <v>2774.6711453292201</v>
      </c>
      <c r="E34" s="330">
        <f>MAX(E58*E$14,'Output - Jobs vs Yr (BAU)'!E10)</f>
        <v>2742.1769152551055</v>
      </c>
      <c r="F34" s="330">
        <f>MAX(F58*F$14,'Output - Jobs vs Yr (BAU)'!F10)</f>
        <v>3057.4817823302205</v>
      </c>
      <c r="G34" s="330">
        <f>MAX(G58*G$14,'Output - Jobs vs Yr (BAU)'!G10)</f>
        <v>3092.60437018833</v>
      </c>
      <c r="H34" s="286">
        <f>'Output - Jobs vs Yr (BAU)'!H10</f>
        <v>3017.7602309434628</v>
      </c>
      <c r="I34" s="286">
        <f>MAX(I58*I$14,'Output - Jobs vs Yr (BAU)'!I10)</f>
        <v>3346.5463026785806</v>
      </c>
      <c r="J34" s="286">
        <f>MAX(J58*J$14,'Output - Jobs vs Yr (BAU)'!J10)</f>
        <v>3759.9782219413178</v>
      </c>
      <c r="K34" s="286">
        <f>MAX(K58*K$14,'Output - Jobs vs Yr (BAU)'!K10)</f>
        <v>3989.1956703699666</v>
      </c>
      <c r="L34" s="286">
        <f>MAX(L58*L$14,'Output - Jobs vs Yr (BAU)'!L10)</f>
        <v>4289.7266845188979</v>
      </c>
      <c r="M34" s="286">
        <f>MAX(M58*M$14,'Output - Jobs vs Yr (BAU)'!M10)</f>
        <v>4651.7835475260072</v>
      </c>
      <c r="N34" s="287">
        <f>MAX(Inputs!$E17*N$21,'Output - Jobs vs Yr (BAU)'!N10)</f>
        <v>5065.2592366786384</v>
      </c>
      <c r="O34" s="286">
        <f>MAX(O58*O$14,'Output - Jobs vs Yr (BAU)'!O10)</f>
        <v>5499.0089825613159</v>
      </c>
      <c r="P34" s="286">
        <f>MAX(P58*P$14,'Output - Jobs vs Yr (BAU)'!P10)</f>
        <v>5981.9132100631659</v>
      </c>
      <c r="Q34" s="286">
        <f>MAX(Q58*Q$14,'Output - Jobs vs Yr (BAU)'!Q10)</f>
        <v>6581.0896510424118</v>
      </c>
      <c r="R34" s="286">
        <f>MAX(R58*R$14,'Output - Jobs vs Yr (BAU)'!R10)</f>
        <v>7175.3946766374111</v>
      </c>
      <c r="S34" s="286">
        <f>MAX(S58*S$14,'Output - Jobs vs Yr (BAU)'!S10)</f>
        <v>7806.9977805851322</v>
      </c>
      <c r="T34" s="286">
        <f>MAX(T58*T$14,'Output - Jobs vs Yr (BAU)'!T10)</f>
        <v>8455.8614568113826</v>
      </c>
      <c r="U34" s="286">
        <f>MAX(U58*U$14,'Output - Jobs vs Yr (BAU)'!U10)</f>
        <v>9152.4636974486366</v>
      </c>
      <c r="V34" s="286">
        <f>MAX(V58*V$14,'Output - Jobs vs Yr (BAU)'!V10)</f>
        <v>9919.0047005416272</v>
      </c>
      <c r="W34" s="286">
        <f>MAX(W58*W$14,'Output - Jobs vs Yr (BAU)'!W10)</f>
        <v>10746.476152373112</v>
      </c>
      <c r="X34" s="287">
        <f>Inputs!F17*'Output -Jobs vs Yr'!$X$14</f>
        <v>11632.724451690379</v>
      </c>
      <c r="Y34" s="286">
        <f>MAX(Y58*Y$14,'Output - Jobs vs Yr (BAU)'!Y10)</f>
        <v>12168.194879880903</v>
      </c>
      <c r="Z34" s="286">
        <f>MAX(Z58*Z$14,'Output - Jobs vs Yr (BAU)'!Z10)</f>
        <v>12757.768161454735</v>
      </c>
      <c r="AA34" s="286">
        <f>MAX(AA58*AA$14,'Output - Jobs vs Yr (BAU)'!AA10)</f>
        <v>13353.122271497938</v>
      </c>
      <c r="AB34" s="286">
        <f>MAX(AB58*AB$14,'Output - Jobs vs Yr (BAU)'!AB10)</f>
        <v>14001.705870046062</v>
      </c>
      <c r="AC34" s="286">
        <f>MAX(AC58*AC$14,'Output - Jobs vs Yr (BAU)'!AC10)</f>
        <v>14730.630052163207</v>
      </c>
      <c r="AD34" s="286">
        <f>MAX(AD58*AD$14,'Output - Jobs vs Yr (BAU)'!AD10)</f>
        <v>15485.250338242944</v>
      </c>
      <c r="AE34" s="286">
        <f>MAX(AE58*AE$14,'Output - Jobs vs Yr (BAU)'!AE10)</f>
        <v>16357.206549294095</v>
      </c>
      <c r="AF34" s="286">
        <f>MAX(AF58*AF$14,'Output - Jobs vs Yr (BAU)'!AF10)</f>
        <v>17302.543683695938</v>
      </c>
      <c r="AG34" s="286">
        <f>MAX(AG58*AG$14,'Output - Jobs vs Yr (BAU)'!AG10)</f>
        <v>18243.563024641775</v>
      </c>
      <c r="AH34" s="287">
        <f>Inputs!I17*'Output -Jobs vs Yr'!$AH$14</f>
        <v>19184.0280369969</v>
      </c>
      <c r="AI34" s="127"/>
    </row>
    <row r="35" spans="1:36" s="20" customFormat="1">
      <c r="A35" s="9" t="s">
        <v>50</v>
      </c>
      <c r="B35" s="35">
        <v>1</v>
      </c>
      <c r="C35" s="330">
        <f>EIA_RE_aeo2014!E74*1000</f>
        <v>0</v>
      </c>
      <c r="D35" s="330">
        <f>MAX(D59*D$14,'Output - Jobs vs Yr (BAU)'!D11)</f>
        <v>0</v>
      </c>
      <c r="E35" s="330">
        <f>MAX(E59*E$14,'Output - Jobs vs Yr (BAU)'!E11)</f>
        <v>4.0118829999999999E-3</v>
      </c>
      <c r="F35" s="330">
        <f>MAX(F59*F$14,'Output - Jobs vs Yr (BAU)'!F11)</f>
        <v>3.7581989999999998E-3</v>
      </c>
      <c r="G35" s="330">
        <f>MAX(G59*G$14,'Output - Jobs vs Yr (BAU)'!G11)</f>
        <v>4.109054E-3</v>
      </c>
      <c r="H35" s="286">
        <f>'Output - Jobs vs Yr (BAU)'!H11</f>
        <v>4.1090699999999994E-3</v>
      </c>
      <c r="I35" s="286">
        <f>MAX(I59*I$14,'Output - Jobs vs Yr (BAU)'!I11)</f>
        <v>4.4621761480240522E-3</v>
      </c>
      <c r="J35" s="286">
        <f>MAX(J59*J$14,'Output - Jobs vs Yr (BAU)'!J11)</f>
        <v>4.909375658732393E-3</v>
      </c>
      <c r="K35" s="286">
        <f>MAX(K59*K$14,'Output - Jobs vs Yr (BAU)'!K11)</f>
        <v>5.1005538598487337E-3</v>
      </c>
      <c r="L35" s="286">
        <f>MAX(L59*L$14,'Output - Jobs vs Yr (BAU)'!L11)</f>
        <v>5.3709694819923919E-3</v>
      </c>
      <c r="M35" s="286">
        <f>MAX(M59*M$14,'Output - Jobs vs Yr (BAU)'!M11)</f>
        <v>5.703397277400029E-3</v>
      </c>
      <c r="N35" s="287">
        <f>MAX(Inputs!$E19*N$21,'Output - Jobs vs Yr (BAU)'!N11)</f>
        <v>6.0814461594794218E-3</v>
      </c>
      <c r="O35" s="286">
        <f>MAX(O59*O$14,'Output - Jobs vs Yr (BAU)'!O11)</f>
        <v>6.6022143182287926E-3</v>
      </c>
      <c r="P35" s="286">
        <f>MAX(P59*P$14,'Output - Jobs vs Yr (BAU)'!P11)</f>
        <v>7.1819982784399137E-3</v>
      </c>
      <c r="Q35" s="286">
        <f>MAX(Q59*Q$14,'Output - Jobs vs Yr (BAU)'!Q11)</f>
        <v>7.9013808599784473E-3</v>
      </c>
      <c r="R35" s="286">
        <f>MAX(R59*R$14,'Output - Jobs vs Yr (BAU)'!R11)</f>
        <v>8.6149147279575185E-3</v>
      </c>
      <c r="S35" s="286">
        <f>MAX(S59*S$14,'Output - Jobs vs Yr (BAU)'!S11)</f>
        <v>9.3732293751140148E-3</v>
      </c>
      <c r="T35" s="286">
        <f>MAX(T59*T$14,'Output - Jobs vs Yr (BAU)'!T11)</f>
        <v>1.0152267392208533E-2</v>
      </c>
      <c r="U35" s="286">
        <f>MAX(U59*U$14,'Output - Jobs vs Yr (BAU)'!U11)</f>
        <v>1.0988621233751699E-2</v>
      </c>
      <c r="V35" s="286">
        <f>MAX(V59*V$14,'Output - Jobs vs Yr (BAU)'!V11)</f>
        <v>1.1908944877917263E-2</v>
      </c>
      <c r="W35" s="286">
        <f>MAX(W59*W$14,'Output - Jobs vs Yr (BAU)'!W11)</f>
        <v>1.2902422772667453E-2</v>
      </c>
      <c r="X35" s="287">
        <f>Inputs!F19*'Output -Jobs vs Yr'!$X$14</f>
        <v>1.39664692635559E-2</v>
      </c>
      <c r="Y35" s="286">
        <f>MAX(Y59*Y$14,'Output - Jobs vs Yr (BAU)'!Y11)</f>
        <v>1.4609365199750738E-2</v>
      </c>
      <c r="Z35" s="286">
        <f>MAX(Z59*Z$14,'Output - Jobs vs Yr (BAU)'!Z11)</f>
        <v>1.5317218046253789E-2</v>
      </c>
      <c r="AA35" s="286">
        <f>MAX(AA59*AA$14,'Output - Jobs vs Yr (BAU)'!AA11)</f>
        <v>1.6032011464887704E-2</v>
      </c>
      <c r="AB35" s="286">
        <f>MAX(AB59*AB$14,'Output - Jobs vs Yr (BAU)'!AB11)</f>
        <v>1.6810713215418084E-2</v>
      </c>
      <c r="AC35" s="286">
        <f>MAX(AC59*AC$14,'Output - Jobs vs Yr (BAU)'!AC11)</f>
        <v>1.7685873391976928E-2</v>
      </c>
      <c r="AD35" s="286">
        <f>MAX(AD59*AD$14,'Output - Jobs vs Yr (BAU)'!AD11)</f>
        <v>1.8591884797555861E-2</v>
      </c>
      <c r="AE35" s="286">
        <f>MAX(AE59*AE$14,'Output - Jobs vs Yr (BAU)'!AE11)</f>
        <v>1.9638771936625242E-2</v>
      </c>
      <c r="AF35" s="286">
        <f>MAX(AF59*AF$14,'Output - Jobs vs Yr (BAU)'!AF11)</f>
        <v>2.0773761601871096E-2</v>
      </c>
      <c r="AG35" s="286">
        <f>MAX(AG59*AG$14,'Output - Jobs vs Yr (BAU)'!AG11)</f>
        <v>2.1903567242528382E-2</v>
      </c>
      <c r="AH35" s="287">
        <f>Inputs!I19*'Output -Jobs vs Yr'!$AH$14</f>
        <v>2.3032707345782426E-2</v>
      </c>
      <c r="AI35" s="127"/>
    </row>
    <row r="36" spans="1:36">
      <c r="A36" s="9" t="s">
        <v>119</v>
      </c>
      <c r="B36" s="35">
        <v>1</v>
      </c>
      <c r="C36" s="330">
        <v>0</v>
      </c>
      <c r="D36" s="330">
        <v>0</v>
      </c>
      <c r="E36" s="330">
        <v>0</v>
      </c>
      <c r="F36" s="330">
        <v>0</v>
      </c>
      <c r="G36" s="330">
        <v>0</v>
      </c>
      <c r="H36" s="286">
        <v>0</v>
      </c>
      <c r="I36" s="118">
        <v>0</v>
      </c>
      <c r="J36" s="118">
        <v>0</v>
      </c>
      <c r="K36" s="118">
        <v>0</v>
      </c>
      <c r="L36" s="118">
        <v>0</v>
      </c>
      <c r="M36" s="118">
        <v>0</v>
      </c>
      <c r="N36" s="184">
        <v>0</v>
      </c>
      <c r="O36" s="118">
        <v>0</v>
      </c>
      <c r="P36" s="118">
        <v>0</v>
      </c>
      <c r="Q36" s="118">
        <v>0</v>
      </c>
      <c r="R36" s="118">
        <v>0</v>
      </c>
      <c r="S36" s="118">
        <v>0</v>
      </c>
      <c r="T36" s="118">
        <v>0</v>
      </c>
      <c r="U36" s="118">
        <v>0</v>
      </c>
      <c r="V36" s="118">
        <v>0</v>
      </c>
      <c r="W36" s="118">
        <v>0</v>
      </c>
      <c r="X36" s="184">
        <v>0</v>
      </c>
      <c r="Y36" s="174">
        <v>0</v>
      </c>
      <c r="Z36" s="174">
        <v>0</v>
      </c>
      <c r="AA36" s="174">
        <v>0</v>
      </c>
      <c r="AB36" s="174">
        <v>0</v>
      </c>
      <c r="AC36" s="174">
        <v>0</v>
      </c>
      <c r="AD36" s="174">
        <v>0</v>
      </c>
      <c r="AE36" s="174">
        <v>0</v>
      </c>
      <c r="AF36" s="174">
        <v>0</v>
      </c>
      <c r="AG36" s="174">
        <v>0</v>
      </c>
      <c r="AH36" s="184">
        <v>0</v>
      </c>
      <c r="AI36" s="127"/>
    </row>
    <row r="37" spans="1:36">
      <c r="A37" s="9" t="s">
        <v>51</v>
      </c>
      <c r="B37" s="35">
        <v>1</v>
      </c>
      <c r="C37" s="330">
        <f>EIA_RE_aeo2014!E75*1000</f>
        <v>0</v>
      </c>
      <c r="D37" s="330">
        <f>MAX(D61*D$14,'Output - Jobs vs Yr (BAU)'!D12)</f>
        <v>0</v>
      </c>
      <c r="E37" s="330">
        <f>MAX(E61*E$14,'Output - Jobs vs Yr (BAU)'!E12)</f>
        <v>1.3393529999999999E-3</v>
      </c>
      <c r="F37" s="330">
        <f>MAX(F61*F$14,'Output - Jobs vs Yr (BAU)'!F12)</f>
        <v>1.3868399999999999E-3</v>
      </c>
      <c r="G37" s="330">
        <f>MAX(G61*G$14,'Output - Jobs vs Yr (BAU)'!G12)</f>
        <v>1.1280109999999999E-3</v>
      </c>
      <c r="H37" s="286">
        <f>'Output - Jobs vs Yr (BAU)'!H12</f>
        <v>1.2137750000000001E-3</v>
      </c>
      <c r="I37" s="118">
        <f>MAX(I61*I$14,'Output - Jobs vs Yr (BAU)'!I12)</f>
        <v>1.2940401484982282E-3</v>
      </c>
      <c r="J37" s="118">
        <f>MAX(J61*J$14,'Output - Jobs vs Yr (BAU)'!J12)</f>
        <v>1.39776350628109E-3</v>
      </c>
      <c r="K37" s="118">
        <f>MAX(K61*K$14,'Output - Jobs vs Yr (BAU)'!K12)</f>
        <v>1.4257098903881567E-3</v>
      </c>
      <c r="L37" s="118">
        <f>MAX(L61*L$14,'Output - Jobs vs Yr (BAU)'!L12)</f>
        <v>1.4739165697782235E-3</v>
      </c>
      <c r="M37" s="118">
        <f>MAX(M61*M$14,'Output - Jobs vs Yr (BAU)'!M12)</f>
        <v>1.5365978900901797E-3</v>
      </c>
      <c r="N37" s="184">
        <f>MAX(Inputs!$E20*N$21,'Output - Jobs vs Yr (BAU)'!N12)</f>
        <v>1.6085696368559879E-3</v>
      </c>
      <c r="O37" s="174">
        <f>MAX(O61*O$14,'Output - Jobs vs Yr (BAU)'!O12)</f>
        <v>1.7463151378500047E-3</v>
      </c>
      <c r="P37" s="174">
        <f>MAX(P61*P$14,'Output - Jobs vs Yr (BAU)'!P12)</f>
        <v>1.8996705815840591E-3</v>
      </c>
      <c r="Q37" s="174">
        <f>MAX(Q61*Q$14,'Output - Jobs vs Yr (BAU)'!Q12)</f>
        <v>2.0899504833706132E-3</v>
      </c>
      <c r="R37" s="174">
        <f>MAX(R61*R$14,'Output - Jobs vs Yr (BAU)'!R12)</f>
        <v>2.2786833743311725E-3</v>
      </c>
      <c r="S37" s="174">
        <f>MAX(S61*S$14,'Output - Jobs vs Yr (BAU)'!S12)</f>
        <v>2.4792609811390108E-3</v>
      </c>
      <c r="T37" s="174">
        <f>MAX(T61*T$14,'Output - Jobs vs Yr (BAU)'!T12)</f>
        <v>2.6853200117367606E-3</v>
      </c>
      <c r="U37" s="174">
        <f>MAX(U61*U$14,'Output - Jobs vs Yr (BAU)'!U12)</f>
        <v>2.9065393335714479E-3</v>
      </c>
      <c r="V37" s="174">
        <f>MAX(V61*V$14,'Output - Jobs vs Yr (BAU)'!V12)</f>
        <v>3.1499690427661611E-3</v>
      </c>
      <c r="W37" s="174">
        <f>MAX(W61*W$14,'Output - Jobs vs Yr (BAU)'!W12)</f>
        <v>3.4127483775616796E-3</v>
      </c>
      <c r="X37" s="184">
        <f>Inputs!F20*'Output -Jobs vs Yr'!$X$14</f>
        <v>3.694193420823041E-3</v>
      </c>
      <c r="Y37" s="174">
        <f>MAX(Y61*Y$14,'Output - Jobs vs Yr (BAU)'!Y12)</f>
        <v>3.864242263730111E-3</v>
      </c>
      <c r="Z37" s="174">
        <f>MAX(Z61*Z$14,'Output - Jobs vs Yr (BAU)'!Z12)</f>
        <v>4.0514724991687762E-3</v>
      </c>
      <c r="AA37" s="174">
        <f>MAX(AA61*AA$14,'Output - Jobs vs Yr (BAU)'!AA12)</f>
        <v>4.2405385468960539E-3</v>
      </c>
      <c r="AB37" s="174">
        <f>MAX(AB61*AB$14,'Output - Jobs vs Yr (BAU)'!AB12)</f>
        <v>4.4465086334875958E-3</v>
      </c>
      <c r="AC37" s="174">
        <f>MAX(AC61*AC$14,'Output - Jobs vs Yr (BAU)'!AC12)</f>
        <v>4.6779924040384127E-3</v>
      </c>
      <c r="AD37" s="174">
        <f>MAX(AD61*AD$14,'Output - Jobs vs Yr (BAU)'!AD12)</f>
        <v>4.9176364622839667E-3</v>
      </c>
      <c r="AE37" s="174">
        <f>MAX(AE61*AE$14,'Output - Jobs vs Yr (BAU)'!AE12)</f>
        <v>5.1945427804459916E-3</v>
      </c>
      <c r="AF37" s="174">
        <f>MAX(AF61*AF$14,'Output - Jobs vs Yr (BAU)'!AF12)</f>
        <v>5.4947526097830499E-3</v>
      </c>
      <c r="AG37" s="174">
        <f>MAX(AG61*AG$14,'Output - Jobs vs Yr (BAU)'!AG12)</f>
        <v>5.7935912414919096E-3</v>
      </c>
      <c r="AH37" s="184">
        <f>Inputs!I20*'Output -Jobs vs Yr'!$AH$14</f>
        <v>6.092253835588834E-3</v>
      </c>
      <c r="AI37" s="127"/>
    </row>
    <row r="38" spans="1:36" s="20" customFormat="1">
      <c r="A38" s="9" t="s">
        <v>347</v>
      </c>
      <c r="B38" s="35">
        <v>1</v>
      </c>
      <c r="C38" s="330">
        <f>'Output - Jobs vs Yr (BAU)'!C13</f>
        <v>0</v>
      </c>
      <c r="D38" s="330">
        <f>MAX(D62*D$14,'Output - Jobs vs Yr (BAU)'!D13)</f>
        <v>0</v>
      </c>
      <c r="E38" s="330">
        <f>MAX(E62*E$14,'Output - Jobs vs Yr (BAU)'!E13)</f>
        <v>0.2</v>
      </c>
      <c r="F38" s="330">
        <f>MAX(F62*F$14,'Output - Jobs vs Yr (BAU)'!F13)</f>
        <v>0.2</v>
      </c>
      <c r="G38" s="330">
        <f>MAX(G62*G$14,'Output - Jobs vs Yr (BAU)'!G13)</f>
        <v>0.2</v>
      </c>
      <c r="H38" s="286">
        <f>'Output - Jobs vs Yr (BAU)'!H13</f>
        <v>0.2</v>
      </c>
      <c r="I38" s="118">
        <f>MAX(I62*I$14,'Output - Jobs vs Yr (BAU)'!I13)</f>
        <v>0.21080439416699612</v>
      </c>
      <c r="J38" s="118">
        <f>MAX(J62*J$14,'Output - Jobs vs Yr (BAU)'!J13)</f>
        <v>0.22511565980578707</v>
      </c>
      <c r="K38" s="118">
        <f>MAX(K62*K$14,'Output - Jobs vs Yr (BAU)'!K13)</f>
        <v>0.22700910320479001</v>
      </c>
      <c r="L38" s="118">
        <f>MAX(L62*L$14,'Output - Jobs vs Yr (BAU)'!L13)</f>
        <v>0.23201983461303741</v>
      </c>
      <c r="M38" s="118">
        <f>MAX(M62*M$14,'Output - Jobs vs Yr (BAU)'!M13)</f>
        <v>0.23914017637370291</v>
      </c>
      <c r="N38" s="184">
        <f>MAX(Inputs!$E21*N$21,'Output - Jobs vs Yr (BAU)'!N13)</f>
        <v>0.24749833434077101</v>
      </c>
      <c r="O38" s="174">
        <f>MAX(O62*O$14,'Output - Jobs vs Yr (BAU)'!O13)</f>
        <v>0.26869218338394191</v>
      </c>
      <c r="P38" s="174">
        <f>MAX(P62*P$14,'Output - Jobs vs Yr (BAU)'!P13)</f>
        <v>0.29228781519037911</v>
      </c>
      <c r="Q38" s="174">
        <f>MAX(Q62*Q$14,'Output - Jobs vs Yr (BAU)'!Q13)</f>
        <v>0.32156473157103677</v>
      </c>
      <c r="R38" s="174">
        <f>MAX(R62*R$14,'Output - Jobs vs Yr (BAU)'!R13)</f>
        <v>0.35060362120179928</v>
      </c>
      <c r="S38" s="174">
        <f>MAX(S62*S$14,'Output - Jobs vs Yr (BAU)'!S13)</f>
        <v>0.38146496686789461</v>
      </c>
      <c r="T38" s="174">
        <f>MAX(T62*T$14,'Output - Jobs vs Yr (BAU)'!T13)</f>
        <v>0.41316969738145642</v>
      </c>
      <c r="U38" s="174">
        <f>MAX(U62*U$14,'Output - Jobs vs Yr (BAU)'!U13)</f>
        <v>0.44720702621298519</v>
      </c>
      <c r="V38" s="174">
        <f>MAX(V62*V$14,'Output - Jobs vs Yr (BAU)'!V13)</f>
        <v>0.48466169785064439</v>
      </c>
      <c r="W38" s="174">
        <f>MAX(W62*W$14,'Output - Jobs vs Yr (BAU)'!W13)</f>
        <v>0.5250935487142383</v>
      </c>
      <c r="X38" s="184">
        <f>Inputs!F21*'Output -Jobs vs Yr'!$X$14</f>
        <v>0.568397349693474</v>
      </c>
      <c r="Y38" s="174">
        <f>MAX(Y62*Y$14,'Output - Jobs vs Yr (BAU)'!Y13)</f>
        <v>0.59456146743620075</v>
      </c>
      <c r="Z38" s="174">
        <f>MAX(Z62*Z$14,'Output - Jobs vs Yr (BAU)'!Z13)</f>
        <v>0.62336915492921563</v>
      </c>
      <c r="AA38" s="174">
        <f>MAX(AA62*AA$14,'Output - Jobs vs Yr (BAU)'!AA13)</f>
        <v>0.65245930484921144</v>
      </c>
      <c r="AB38" s="174">
        <f>MAX(AB62*AB$14,'Output - Jobs vs Yr (BAU)'!AB13)</f>
        <v>0.68415035022730786</v>
      </c>
      <c r="AC38" s="174">
        <f>MAX(AC62*AC$14,'Output - Jobs vs Yr (BAU)'!AC13)</f>
        <v>0.71976699145039313</v>
      </c>
      <c r="AD38" s="174">
        <f>MAX(AD62*AD$14,'Output - Jobs vs Yr (BAU)'!AD13)</f>
        <v>0.7566391938664252</v>
      </c>
      <c r="AE38" s="174">
        <f>MAX(AE62*AE$14,'Output - Jobs vs Yr (BAU)'!AE13)</f>
        <v>0.79924465585157689</v>
      </c>
      <c r="AF38" s="174">
        <f>MAX(AF62*AF$14,'Output - Jobs vs Yr (BAU)'!AF13)</f>
        <v>0.84543565126217901</v>
      </c>
      <c r="AG38" s="174">
        <f>MAX(AG62*AG$14,'Output - Jobs vs Yr (BAU)'!AG13)</f>
        <v>0.8914156709579254</v>
      </c>
      <c r="AH38" s="184">
        <f>Inputs!I21*'Output -Jobs vs Yr'!$AH$14</f>
        <v>0.93736860508974129</v>
      </c>
      <c r="AI38" s="127"/>
    </row>
    <row r="39" spans="1:36" s="20" customFormat="1">
      <c r="A39" s="9" t="s">
        <v>348</v>
      </c>
      <c r="B39" s="35">
        <v>1</v>
      </c>
      <c r="C39" s="330">
        <f>'Output - Jobs vs Yr (BAU)'!C14</f>
        <v>0</v>
      </c>
      <c r="D39" s="330">
        <f>MAX(D63*D$14,'Output - Jobs vs Yr (BAU)'!D14)</f>
        <v>0</v>
      </c>
      <c r="E39" s="330">
        <f>MAX(E63*E$14,'Output - Jobs vs Yr (BAU)'!E14)</f>
        <v>0.1</v>
      </c>
      <c r="F39" s="330">
        <f>MAX(F63*F$14,'Output - Jobs vs Yr (BAU)'!F14)</f>
        <v>0.1</v>
      </c>
      <c r="G39" s="330">
        <f>MAX(G63*G$14,'Output - Jobs vs Yr (BAU)'!G14)</f>
        <v>0.1</v>
      </c>
      <c r="H39" s="286">
        <f>'Output - Jobs vs Yr (BAU)'!H14</f>
        <v>0.1</v>
      </c>
      <c r="I39" s="118">
        <f>MAX(I63*I$14,'Output - Jobs vs Yr (BAU)'!I14)</f>
        <v>0.10540219708349806</v>
      </c>
      <c r="J39" s="118">
        <f>MAX(J63*J$14,'Output - Jobs vs Yr (BAU)'!J14)</f>
        <v>0.11255782990289354</v>
      </c>
      <c r="K39" s="118">
        <f>MAX(K63*K$14,'Output - Jobs vs Yr (BAU)'!K14)</f>
        <v>0.113504551602395</v>
      </c>
      <c r="L39" s="118">
        <f>MAX(L63*L$14,'Output - Jobs vs Yr (BAU)'!L14)</f>
        <v>0.1160099173065187</v>
      </c>
      <c r="M39" s="118">
        <f>MAX(M63*M$14,'Output - Jobs vs Yr (BAU)'!M14)</f>
        <v>0.11957008818685146</v>
      </c>
      <c r="N39" s="184">
        <f>MAX(Inputs!$E22*N$21,'Output - Jobs vs Yr (BAU)'!N14)</f>
        <v>0.1237491671703855</v>
      </c>
      <c r="O39" s="174">
        <f>MAX(O63*O$14,'Output - Jobs vs Yr (BAU)'!O14)</f>
        <v>0.13434609169197095</v>
      </c>
      <c r="P39" s="174">
        <f>MAX(P63*P$14,'Output - Jobs vs Yr (BAU)'!P14)</f>
        <v>0.14614390759518955</v>
      </c>
      <c r="Q39" s="174">
        <f>MAX(Q63*Q$14,'Output - Jobs vs Yr (BAU)'!Q14)</f>
        <v>0.16078236578551838</v>
      </c>
      <c r="R39" s="174">
        <f>MAX(R63*R$14,'Output - Jobs vs Yr (BAU)'!R14)</f>
        <v>0.17530181060089964</v>
      </c>
      <c r="S39" s="174">
        <f>MAX(S63*S$14,'Output - Jobs vs Yr (BAU)'!S14)</f>
        <v>0.1907324834339473</v>
      </c>
      <c r="T39" s="174">
        <f>MAX(T63*T$14,'Output - Jobs vs Yr (BAU)'!T14)</f>
        <v>0.20658484869072821</v>
      </c>
      <c r="U39" s="174">
        <f>MAX(U63*U$14,'Output - Jobs vs Yr (BAU)'!U14)</f>
        <v>0.2236035131064926</v>
      </c>
      <c r="V39" s="174">
        <f>MAX(V63*V$14,'Output - Jobs vs Yr (BAU)'!V14)</f>
        <v>0.2423308489253222</v>
      </c>
      <c r="W39" s="174">
        <f>MAX(W63*W$14,'Output - Jobs vs Yr (BAU)'!W14)</f>
        <v>0.26254677435711915</v>
      </c>
      <c r="X39" s="184">
        <f>Inputs!F22*'Output -Jobs vs Yr'!$X$14</f>
        <v>0.284198674846737</v>
      </c>
      <c r="Y39" s="174">
        <f>MAX(Y63*Y$14,'Output - Jobs vs Yr (BAU)'!Y14)</f>
        <v>0.29728073371810038</v>
      </c>
      <c r="Z39" s="174">
        <f>MAX(Z63*Z$14,'Output - Jobs vs Yr (BAU)'!Z14)</f>
        <v>0.31168457746460781</v>
      </c>
      <c r="AA39" s="174">
        <f>MAX(AA63*AA$14,'Output - Jobs vs Yr (BAU)'!AA14)</f>
        <v>0.32622965242460572</v>
      </c>
      <c r="AB39" s="174">
        <f>MAX(AB63*AB$14,'Output - Jobs vs Yr (BAU)'!AB14)</f>
        <v>0.34207517511365393</v>
      </c>
      <c r="AC39" s="174">
        <f>MAX(AC63*AC$14,'Output - Jobs vs Yr (BAU)'!AC14)</f>
        <v>0.35988349572519657</v>
      </c>
      <c r="AD39" s="174">
        <f>MAX(AD63*AD$14,'Output - Jobs vs Yr (BAU)'!AD14)</f>
        <v>0.3783195969332126</v>
      </c>
      <c r="AE39" s="174">
        <f>MAX(AE63*AE$14,'Output - Jobs vs Yr (BAU)'!AE14)</f>
        <v>0.39962232792578845</v>
      </c>
      <c r="AF39" s="174">
        <f>MAX(AF63*AF$14,'Output - Jobs vs Yr (BAU)'!AF14)</f>
        <v>0.42271782563108951</v>
      </c>
      <c r="AG39" s="174">
        <f>MAX(AG63*AG$14,'Output - Jobs vs Yr (BAU)'!AG14)</f>
        <v>0.4457078354789627</v>
      </c>
      <c r="AH39" s="184">
        <f>Inputs!I22*'Output -Jobs vs Yr'!$AH$14</f>
        <v>0.46868430254487065</v>
      </c>
      <c r="AI39" s="127"/>
    </row>
    <row r="40" spans="1:36" s="20" customFormat="1">
      <c r="A40" s="9" t="s">
        <v>344</v>
      </c>
      <c r="B40" s="35">
        <v>1</v>
      </c>
      <c r="C40" s="330">
        <f>'Output - Jobs vs Yr (BAU)'!C15</f>
        <v>0.01</v>
      </c>
      <c r="D40" s="330">
        <f>MAX(D64*D$14,'Output - Jobs vs Yr (BAU)'!D15)</f>
        <v>1.148122106298906E-2</v>
      </c>
      <c r="E40" s="330">
        <f>MAX(E64*E$14,'Output - Jobs vs Yr (BAU)'!E15)</f>
        <v>1.0749757090101354E-2</v>
      </c>
      <c r="F40" s="330">
        <f>MAX(F64*F$14,'Output - Jobs vs Yr (BAU)'!F15)</f>
        <v>1.1429192621109792E-2</v>
      </c>
      <c r="G40" s="330">
        <f>MAX(G64*G$14,'Output - Jobs vs Yr (BAU)'!G15)</f>
        <v>1.098787210646833E-2</v>
      </c>
      <c r="H40" s="286">
        <f>'Output - Jobs vs Yr (BAU)'!H15</f>
        <v>0.01</v>
      </c>
      <c r="I40" s="118">
        <f>MAX(I64*I$14,'Output - Jobs vs Yr (BAU)'!I15)</f>
        <v>1.0540219708349806E-2</v>
      </c>
      <c r="J40" s="118">
        <f>MAX(J64*J$14,'Output - Jobs vs Yr (BAU)'!J15)</f>
        <v>1.1255782990289355E-2</v>
      </c>
      <c r="K40" s="118">
        <f>MAX(K64*K$14,'Output - Jobs vs Yr (BAU)'!K15)</f>
        <v>1.1350455160239501E-2</v>
      </c>
      <c r="L40" s="118">
        <f>MAX(L64*L$14,'Output - Jobs vs Yr (BAU)'!L15)</f>
        <v>1.160099173065187E-2</v>
      </c>
      <c r="M40" s="118">
        <f>MAX(M64*M$14,'Output - Jobs vs Yr (BAU)'!M15)</f>
        <v>1.1957008818685144E-2</v>
      </c>
      <c r="N40" s="184">
        <f>MAX(Inputs!$E18*N$21,'Output - Jobs vs Yr (BAU)'!N15)</f>
        <v>1.2374916717038548E-2</v>
      </c>
      <c r="O40" s="174">
        <f>MAX(O64*O$14,'Output - Jobs vs Yr (BAU)'!O15)</f>
        <v>1.3434609169197096E-2</v>
      </c>
      <c r="P40" s="174">
        <f>MAX(P64*P$14,'Output - Jobs vs Yr (BAU)'!P15)</f>
        <v>1.4614390759518958E-2</v>
      </c>
      <c r="Q40" s="174">
        <f>MAX(Q64*Q$14,'Output - Jobs vs Yr (BAU)'!Q15)</f>
        <v>1.6078236578551841E-2</v>
      </c>
      <c r="R40" s="174">
        <f>MAX(R64*R$14,'Output - Jobs vs Yr (BAU)'!R15)</f>
        <v>1.7530181060089967E-2</v>
      </c>
      <c r="S40" s="174">
        <f>MAX(S64*S$14,'Output - Jobs vs Yr (BAU)'!S15)</f>
        <v>1.907324834339473E-2</v>
      </c>
      <c r="T40" s="174">
        <f>MAX(T64*T$14,'Output - Jobs vs Yr (BAU)'!T15)</f>
        <v>2.0658484869072822E-2</v>
      </c>
      <c r="U40" s="174">
        <f>MAX(U64*U$14,'Output - Jobs vs Yr (BAU)'!U15)</f>
        <v>2.236035131064926E-2</v>
      </c>
      <c r="V40" s="174">
        <f>MAX(V64*V$14,'Output - Jobs vs Yr (BAU)'!V15)</f>
        <v>2.423308489253222E-2</v>
      </c>
      <c r="W40" s="174">
        <f>MAX(W64*W$14,'Output - Jobs vs Yr (BAU)'!W15)</f>
        <v>2.6254677435711915E-2</v>
      </c>
      <c r="X40" s="184">
        <f>Inputs!F18*'Output -Jobs vs Yr'!$X$14</f>
        <v>2.8419867484673702E-2</v>
      </c>
      <c r="Y40" s="174">
        <f>MAX(Y64*Y$14,'Output - Jobs vs Yr (BAU)'!Y15)</f>
        <v>2.9728073371810038E-2</v>
      </c>
      <c r="Z40" s="174">
        <f>MAX(Z64*Z$14,'Output - Jobs vs Yr (BAU)'!Z15)</f>
        <v>3.1168457746460786E-2</v>
      </c>
      <c r="AA40" s="174">
        <f>MAX(AA64*AA$14,'Output - Jobs vs Yr (BAU)'!AA15)</f>
        <v>3.2622965242460576E-2</v>
      </c>
      <c r="AB40" s="174">
        <f>MAX(AB64*AB$14,'Output - Jobs vs Yr (BAU)'!AB15)</f>
        <v>3.4207517511365394E-2</v>
      </c>
      <c r="AC40" s="174">
        <f>MAX(AC64*AC$14,'Output - Jobs vs Yr (BAU)'!AC15)</f>
        <v>3.5988349572519666E-2</v>
      </c>
      <c r="AD40" s="174">
        <f>MAX(AD64*AD$14,'Output - Jobs vs Yr (BAU)'!AD15)</f>
        <v>3.7831959693321274E-2</v>
      </c>
      <c r="AE40" s="174">
        <f>MAX(AE64*AE$14,'Output - Jobs vs Yr (BAU)'!AE15)</f>
        <v>3.9962232792578857E-2</v>
      </c>
      <c r="AF40" s="174">
        <f>MAX(AF64*AF$14,'Output - Jobs vs Yr (BAU)'!AF15)</f>
        <v>4.2271782563108963E-2</v>
      </c>
      <c r="AG40" s="174">
        <f>MAX(AG64*AG$14,'Output - Jobs vs Yr (BAU)'!AG15)</f>
        <v>4.4570783547896287E-2</v>
      </c>
      <c r="AH40" s="184">
        <f>Inputs!I18*'Output -Jobs vs Yr'!$AH$14</f>
        <v>4.686843025448708E-2</v>
      </c>
      <c r="AI40" s="127"/>
    </row>
    <row r="41" spans="1:36" s="252" customFormat="1">
      <c r="A41" s="10" t="s">
        <v>120</v>
      </c>
      <c r="B41" s="37">
        <v>1</v>
      </c>
      <c r="C41" s="330">
        <v>0</v>
      </c>
      <c r="D41" s="330">
        <v>0</v>
      </c>
      <c r="E41" s="330">
        <v>0</v>
      </c>
      <c r="F41" s="330">
        <v>0</v>
      </c>
      <c r="G41" s="330">
        <v>0</v>
      </c>
      <c r="H41" s="286">
        <v>1</v>
      </c>
      <c r="I41" s="286">
        <v>2</v>
      </c>
      <c r="J41" s="286">
        <v>3</v>
      </c>
      <c r="K41" s="286">
        <v>4</v>
      </c>
      <c r="L41" s="286">
        <v>5</v>
      </c>
      <c r="M41" s="286">
        <v>6</v>
      </c>
      <c r="N41" s="287">
        <v>7</v>
      </c>
      <c r="O41" s="286">
        <v>8</v>
      </c>
      <c r="P41" s="286">
        <v>9</v>
      </c>
      <c r="Q41" s="286">
        <v>10</v>
      </c>
      <c r="R41" s="286">
        <v>11</v>
      </c>
      <c r="S41" s="286">
        <v>12</v>
      </c>
      <c r="T41" s="286">
        <v>13</v>
      </c>
      <c r="U41" s="286">
        <v>14</v>
      </c>
      <c r="V41" s="286">
        <v>15</v>
      </c>
      <c r="W41" s="286">
        <v>16</v>
      </c>
      <c r="X41" s="287">
        <v>17</v>
      </c>
      <c r="Y41" s="252">
        <v>18</v>
      </c>
      <c r="Z41" s="252">
        <v>19</v>
      </c>
      <c r="AA41" s="252">
        <v>20</v>
      </c>
      <c r="AB41" s="252">
        <v>21</v>
      </c>
      <c r="AC41" s="252">
        <v>22</v>
      </c>
      <c r="AD41" s="197">
        <v>23</v>
      </c>
      <c r="AE41" s="252">
        <v>24</v>
      </c>
      <c r="AF41" s="252">
        <v>25</v>
      </c>
      <c r="AG41" s="252">
        <v>26</v>
      </c>
      <c r="AH41" s="287">
        <v>27</v>
      </c>
      <c r="AI41" s="252">
        <f>EXP(0.01)</f>
        <v>1.0100501670841679</v>
      </c>
      <c r="AJ41" s="482">
        <v>0.01</v>
      </c>
    </row>
    <row r="42" spans="1:36" s="20" customFormat="1">
      <c r="A42" s="9" t="s">
        <v>53</v>
      </c>
      <c r="B42" s="35">
        <v>1</v>
      </c>
      <c r="C42" s="330">
        <f>EIA_RE_aeo2014!E78*1000</f>
        <v>0</v>
      </c>
      <c r="D42" s="330">
        <f>MAX(D66*D$14,'Output - Jobs vs Yr (BAU)'!D16)</f>
        <v>0</v>
      </c>
      <c r="E42" s="330">
        <f>MAX(E66*E$14,'Output - Jobs vs Yr (BAU)'!E16)</f>
        <v>3.8983921000000006E-3</v>
      </c>
      <c r="F42" s="330">
        <f>MAX(F66*F$14,'Output - Jobs vs Yr (BAU)'!F16)</f>
        <v>4.3605922999999996E-3</v>
      </c>
      <c r="G42" s="330">
        <f>MAX(G66*G$14,'Output - Jobs vs Yr (BAU)'!G16)</f>
        <v>4.6780897999999984E-3</v>
      </c>
      <c r="H42" s="286">
        <f>'Output - Jobs vs Yr (BAU)'!H16</f>
        <v>4.7040752999999999E-3</v>
      </c>
      <c r="I42" s="118">
        <f>MAX(I66*I$14,'Output - Jobs vs Yr (BAU)'!I16)</f>
        <v>5.9372954000000006E-3</v>
      </c>
      <c r="J42" s="118">
        <f>MAX(J66*J$14,'Output - Jobs vs Yr (BAU)'!J16)</f>
        <v>6.7380639999999993E-3</v>
      </c>
      <c r="K42" s="118">
        <f>MAX(K66*K$14,'Output - Jobs vs Yr (BAU)'!K16)</f>
        <v>6.7380969999999984E-3</v>
      </c>
      <c r="L42" s="118">
        <f>MAX(L66*L$14,'Output - Jobs vs Yr (BAU)'!L16)</f>
        <v>6.9348870576348351E-3</v>
      </c>
      <c r="M42" s="118">
        <f>MAX(M66*M$14,'Output - Jobs vs Yr (BAU)'!M16)</f>
        <v>7.5889960605387049E-3</v>
      </c>
      <c r="N42" s="184">
        <f>MAX(Inputs!$E23*N$21,'Output - Jobs vs Yr (BAU)'!N16)</f>
        <v>8.3391457652026799E-3</v>
      </c>
      <c r="O42" s="174">
        <f>MAX(O66*O$14,'Output - Jobs vs Yr (BAU)'!O16)</f>
        <v>9.0532459104317748E-3</v>
      </c>
      <c r="P42" s="174">
        <f>MAX(P66*P$14,'Output - Jobs vs Yr (BAU)'!P16)</f>
        <v>9.8482711116317581E-3</v>
      </c>
      <c r="Q42" s="174">
        <f>MAX(Q66*Q$14,'Output - Jobs vs Yr (BAU)'!Q16)</f>
        <v>1.0834720066547962E-2</v>
      </c>
      <c r="R42" s="174">
        <f>MAX(R66*R$14,'Output - Jobs vs Yr (BAU)'!R16)</f>
        <v>1.1813149008850018E-2</v>
      </c>
      <c r="S42" s="174">
        <f>MAX(S66*S$14,'Output - Jobs vs Yr (BAU)'!S16)</f>
        <v>1.2852983320080289E-2</v>
      </c>
      <c r="T42" s="174">
        <f>MAX(T66*T$14,'Output - Jobs vs Yr (BAU)'!T16)</f>
        <v>1.3921234425297959E-2</v>
      </c>
      <c r="U42" s="174">
        <f>MAX(U66*U$14,'Output - Jobs vs Yr (BAU)'!U16)</f>
        <v>1.5068079503428637E-2</v>
      </c>
      <c r="V42" s="174">
        <f>MAX(V66*V$14,'Output - Jobs vs Yr (BAU)'!V16)</f>
        <v>1.6330067658646655E-2</v>
      </c>
      <c r="W42" s="174">
        <f>MAX(W66*W$14,'Output - Jobs vs Yr (BAU)'!W16)</f>
        <v>1.7692368131522619E-2</v>
      </c>
      <c r="X42" s="184">
        <f>Inputs!F23*'Output -Jobs vs Yr'!$X$14</f>
        <v>1.9151435359247744E-2</v>
      </c>
      <c r="Y42" s="174">
        <f>MAX(Y66*Y$14,'Output - Jobs vs Yr (BAU)'!Y16)</f>
        <v>2.0033002470621154E-2</v>
      </c>
      <c r="Z42" s="174">
        <f>MAX(Z66*Z$14,'Output - Jobs vs Yr (BAU)'!Z16)</f>
        <v>2.1003641347050489E-2</v>
      </c>
      <c r="AA42" s="174">
        <f>MAX(AA66*AA$14,'Output - Jobs vs Yr (BAU)'!AA16)</f>
        <v>2.19837974404666E-2</v>
      </c>
      <c r="AB42" s="174">
        <f>MAX(AB66*AB$14,'Output - Jobs vs Yr (BAU)'!AB16)</f>
        <v>2.3051587442219607E-2</v>
      </c>
      <c r="AC42" s="174">
        <f>MAX(AC66*AC$14,'Output - Jobs vs Yr (BAU)'!AC16)</f>
        <v>2.425164546934673E-2</v>
      </c>
      <c r="AD42" s="174">
        <f>MAX(AD66*AD$14,'Output - Jobs vs Yr (BAU)'!AD16)</f>
        <v>2.5494008055140901E-2</v>
      </c>
      <c r="AE42" s="174">
        <f>MAX(AE66*AE$14,'Output - Jobs vs Yr (BAU)'!AE16)</f>
        <v>2.6929545626875794E-2</v>
      </c>
      <c r="AF42" s="174">
        <f>MAX(AF66*AF$14,'Output - Jobs vs Yr (BAU)'!AF16)</f>
        <v>2.8485893247536791E-2</v>
      </c>
      <c r="AG42" s="174">
        <f>MAX(AG66*AG$14,'Output - Jobs vs Yr (BAU)'!AG16)</f>
        <v>3.0035132306260252E-2</v>
      </c>
      <c r="AH42" s="184">
        <f>Inputs!I23*'Output -Jobs vs Yr'!$AH$14</f>
        <v>3.1583458750899455E-2</v>
      </c>
      <c r="AI42" s="127"/>
    </row>
    <row r="43" spans="1:36">
      <c r="A43" s="10" t="s">
        <v>332</v>
      </c>
      <c r="B43" s="37"/>
      <c r="C43" s="330">
        <f>SUM(C31:C42)</f>
        <v>20315</v>
      </c>
      <c r="D43" s="330">
        <f t="shared" ref="D43:AG43" si="29">SUM(D31:D42)</f>
        <v>23168.818089270444</v>
      </c>
      <c r="E43" s="330">
        <f t="shared" si="29"/>
        <v>21566.997014932378</v>
      </c>
      <c r="F43" s="330">
        <f t="shared" si="29"/>
        <v>22788.600873951869</v>
      </c>
      <c r="G43" s="330">
        <f t="shared" si="29"/>
        <v>21793.016948152042</v>
      </c>
      <c r="H43" s="286">
        <f t="shared" si="29"/>
        <v>21153.836679541189</v>
      </c>
      <c r="I43" s="83">
        <f t="shared" si="29"/>
        <v>22247.530357658612</v>
      </c>
      <c r="J43" s="83">
        <f t="shared" si="29"/>
        <v>23716.523782907909</v>
      </c>
      <c r="K43" s="83">
        <f t="shared" si="29"/>
        <v>23886.16159680799</v>
      </c>
      <c r="L43" s="83">
        <f t="shared" si="29"/>
        <v>24395.361041168373</v>
      </c>
      <c r="M43" s="83">
        <f t="shared" si="29"/>
        <v>25138.833914731273</v>
      </c>
      <c r="N43" s="184">
        <f t="shared" si="29"/>
        <v>26026.589033312044</v>
      </c>
      <c r="O43" s="83">
        <f t="shared" si="29"/>
        <v>26461.993630511184</v>
      </c>
      <c r="P43" s="83">
        <f t="shared" si="29"/>
        <v>26985.224037529111</v>
      </c>
      <c r="Q43" s="83">
        <f t="shared" si="29"/>
        <v>27859.929450179767</v>
      </c>
      <c r="R43" s="83">
        <f t="shared" si="29"/>
        <v>28536.507481712008</v>
      </c>
      <c r="S43" s="83">
        <f t="shared" si="29"/>
        <v>29201.999959759105</v>
      </c>
      <c r="T43" s="83">
        <f t="shared" si="29"/>
        <v>29784.210545424667</v>
      </c>
      <c r="U43" s="83">
        <f t="shared" si="29"/>
        <v>30395.97860395701</v>
      </c>
      <c r="V43" s="83">
        <f t="shared" si="29"/>
        <v>31100.687300349662</v>
      </c>
      <c r="W43" s="83">
        <f t="shared" si="29"/>
        <v>31855.856853942434</v>
      </c>
      <c r="X43" s="184">
        <f t="shared" si="29"/>
        <v>32647.205935030801</v>
      </c>
      <c r="Y43" s="174">
        <f t="shared" si="29"/>
        <v>33088.601275461719</v>
      </c>
      <c r="Z43" s="174">
        <f t="shared" si="29"/>
        <v>33630.979755814595</v>
      </c>
      <c r="AA43" s="174">
        <f t="shared" si="29"/>
        <v>34142.082864876327</v>
      </c>
      <c r="AB43" s="174">
        <f t="shared" si="29"/>
        <v>34742.6707769965</v>
      </c>
      <c r="AC43" s="174">
        <f t="shared" si="29"/>
        <v>35490.688537911665</v>
      </c>
      <c r="AD43" s="174">
        <f t="shared" si="29"/>
        <v>36246.188990220187</v>
      </c>
      <c r="AE43" s="174">
        <f t="shared" si="29"/>
        <v>37217.392638724763</v>
      </c>
      <c r="AF43" s="174">
        <f t="shared" si="29"/>
        <v>38289.952576576237</v>
      </c>
      <c r="AG43" s="174">
        <f t="shared" si="29"/>
        <v>39289.077627066137</v>
      </c>
      <c r="AH43" s="184">
        <f>SUM(AH31:AH42)</f>
        <v>40229.128613564717</v>
      </c>
      <c r="AI43" s="127"/>
    </row>
    <row r="44" spans="1:36">
      <c r="A44" s="10" t="s">
        <v>124</v>
      </c>
      <c r="B44" s="37"/>
      <c r="C44" s="331">
        <f>SUMPRODUCT($B34:$B42,C34:C42)</f>
        <v>2297.0100000000002</v>
      </c>
      <c r="D44" s="331">
        <f>SUMPRODUCT($B34:$B42,D34:D42)</f>
        <v>2774.6826265502832</v>
      </c>
      <c r="E44" s="331">
        <f t="shared" ref="E44:AG44" si="30">SUMPRODUCT($B34:$B42*E34:E42)</f>
        <v>2742.4969146402955</v>
      </c>
      <c r="F44" s="331">
        <f t="shared" si="30"/>
        <v>3057.8027171541416</v>
      </c>
      <c r="G44" s="331">
        <f t="shared" si="30"/>
        <v>3092.9252732152363</v>
      </c>
      <c r="H44" s="402">
        <f t="shared" si="30"/>
        <v>3019.0802578637631</v>
      </c>
      <c r="I44" s="14">
        <f>SUMPRODUCT($B34:$B42*I34:I42)</f>
        <v>3348.8847430012361</v>
      </c>
      <c r="J44" s="14">
        <f t="shared" si="30"/>
        <v>3763.3401964171817</v>
      </c>
      <c r="K44" s="14">
        <f t="shared" si="30"/>
        <v>3993.5607988406841</v>
      </c>
      <c r="L44" s="14">
        <f t="shared" si="30"/>
        <v>4295.1000950356583</v>
      </c>
      <c r="M44" s="14">
        <f t="shared" si="30"/>
        <v>4658.1690437906145</v>
      </c>
      <c r="N44" s="182">
        <f t="shared" si="30"/>
        <v>5072.6588882584283</v>
      </c>
      <c r="O44" s="14">
        <f t="shared" si="30"/>
        <v>5507.4428572209281</v>
      </c>
      <c r="P44" s="14">
        <f t="shared" si="30"/>
        <v>5991.3851861166831</v>
      </c>
      <c r="Q44" s="14">
        <f t="shared" si="30"/>
        <v>6591.6089024277571</v>
      </c>
      <c r="R44" s="14">
        <f t="shared" si="30"/>
        <v>7186.960818997386</v>
      </c>
      <c r="S44" s="14">
        <f t="shared" si="30"/>
        <v>7819.6137567574533</v>
      </c>
      <c r="T44" s="14">
        <f t="shared" si="30"/>
        <v>8469.5286286641549</v>
      </c>
      <c r="U44" s="14">
        <f t="shared" si="30"/>
        <v>9167.1858315793379</v>
      </c>
      <c r="V44" s="14">
        <f t="shared" si="30"/>
        <v>9934.7873151548756</v>
      </c>
      <c r="W44" s="14">
        <f t="shared" si="30"/>
        <v>10763.324054912902</v>
      </c>
      <c r="X44" s="187">
        <f t="shared" si="30"/>
        <v>11650.642279680449</v>
      </c>
      <c r="Y44" s="14">
        <f t="shared" si="30"/>
        <v>12187.154956765364</v>
      </c>
      <c r="Z44" s="14">
        <f t="shared" si="30"/>
        <v>12777.774755976767</v>
      </c>
      <c r="AA44" s="14">
        <f t="shared" si="30"/>
        <v>13374.175839767904</v>
      </c>
      <c r="AB44" s="14">
        <f t="shared" si="30"/>
        <v>14023.810611898207</v>
      </c>
      <c r="AC44" s="14">
        <f t="shared" si="30"/>
        <v>14753.792306511221</v>
      </c>
      <c r="AD44" s="14">
        <f t="shared" si="30"/>
        <v>15509.472132522755</v>
      </c>
      <c r="AE44" s="14">
        <f t="shared" si="30"/>
        <v>16382.49714137101</v>
      </c>
      <c r="AF44" s="14">
        <f t="shared" si="30"/>
        <v>17328.908863362853</v>
      </c>
      <c r="AG44" s="14">
        <f t="shared" si="30"/>
        <v>18271.002451222546</v>
      </c>
      <c r="AH44" s="187">
        <f>SUMPRODUCT($B34:$B42*AH34:AH42)</f>
        <v>19212.541666754718</v>
      </c>
      <c r="AI44" s="127"/>
    </row>
    <row r="45" spans="1:36">
      <c r="A45" s="10" t="s">
        <v>117</v>
      </c>
      <c r="B45" s="37"/>
      <c r="C45" s="332">
        <f t="shared" ref="C45:AG45" si="31">C44/C14</f>
        <v>2.558886438072322E-2</v>
      </c>
      <c r="D45" s="332">
        <f t="shared" si="31"/>
        <v>2.7384258680572059E-2</v>
      </c>
      <c r="E45" s="332">
        <f t="shared" si="31"/>
        <v>2.9404302091927913E-2</v>
      </c>
      <c r="F45" s="332">
        <f t="shared" si="31"/>
        <v>3.136497279842735E-2</v>
      </c>
      <c r="G45" s="332">
        <f t="shared" si="31"/>
        <v>3.356560371036954E-2</v>
      </c>
      <c r="H45" s="284">
        <f t="shared" si="31"/>
        <v>3.3298544347678379E-2</v>
      </c>
      <c r="I45" s="23">
        <f t="shared" si="31"/>
        <v>3.5644190303394239E-2</v>
      </c>
      <c r="J45" s="23">
        <f t="shared" si="31"/>
        <v>3.8152553544037217E-2</v>
      </c>
      <c r="K45" s="23">
        <f t="shared" si="31"/>
        <v>4.0837626436025884E-2</v>
      </c>
      <c r="L45" s="23">
        <f t="shared" si="31"/>
        <v>4.3709845061470028E-2</v>
      </c>
      <c r="M45" s="23">
        <f t="shared" si="31"/>
        <v>4.6782283507344695E-2</v>
      </c>
      <c r="N45" s="178">
        <f t="shared" si="31"/>
        <v>5.0069092690155532E-2</v>
      </c>
      <c r="O45" s="23">
        <f t="shared" si="31"/>
        <v>5.3666628184471425E-2</v>
      </c>
      <c r="P45" s="23">
        <f t="shared" si="31"/>
        <v>5.7521323797551344E-2</v>
      </c>
      <c r="Q45" s="207">
        <f t="shared" si="31"/>
        <v>6.1650749805150944E-2</v>
      </c>
      <c r="R45" s="207">
        <f t="shared" si="31"/>
        <v>6.607652894352678E-2</v>
      </c>
      <c r="S45" s="207">
        <f t="shared" si="31"/>
        <v>7.0819357692703838E-2</v>
      </c>
      <c r="T45" s="207">
        <f t="shared" si="31"/>
        <v>7.5902331894714112E-2</v>
      </c>
      <c r="U45" s="207">
        <f t="shared" si="31"/>
        <v>8.1349475434592686E-2</v>
      </c>
      <c r="V45" s="207">
        <f t="shared" si="31"/>
        <v>8.7186694821795599E-2</v>
      </c>
      <c r="W45" s="207">
        <f t="shared" si="31"/>
        <v>9.3442203757173853E-2</v>
      </c>
      <c r="X45" s="185">
        <f t="shared" si="31"/>
        <v>0.10014612792443942</v>
      </c>
      <c r="Y45" s="172">
        <f t="shared" si="31"/>
        <v>0.10429201003654261</v>
      </c>
      <c r="Z45" s="172">
        <f t="shared" si="31"/>
        <v>0.10860867353338988</v>
      </c>
      <c r="AA45" s="172">
        <f t="shared" si="31"/>
        <v>0.11310383119206785</v>
      </c>
      <c r="AB45" s="172">
        <f t="shared" si="31"/>
        <v>0.11778427869686516</v>
      </c>
      <c r="AC45" s="172">
        <f t="shared" si="31"/>
        <v>0.12265738672537362</v>
      </c>
      <c r="AD45" s="172">
        <f t="shared" si="31"/>
        <v>0.12773187192227298</v>
      </c>
      <c r="AE45" s="172">
        <f t="shared" si="31"/>
        <v>0.13301498804255965</v>
      </c>
      <c r="AF45" s="172">
        <f t="shared" si="31"/>
        <v>0.1385160204532018</v>
      </c>
      <c r="AG45" s="172">
        <f t="shared" si="31"/>
        <v>0.14424493853620424</v>
      </c>
      <c r="AH45" s="185">
        <f>AH44/AH14</f>
        <v>0.15021109646369887</v>
      </c>
      <c r="AI45" s="127"/>
    </row>
    <row r="46" spans="1:36" s="252" customFormat="1">
      <c r="A46" s="10" t="s">
        <v>333</v>
      </c>
      <c r="B46" s="37"/>
      <c r="C46" s="330">
        <f>SUM(EIA_electricity_aeo2014!E50,EIA_electricity_aeo2014!E55)*1000</f>
        <v>2314</v>
      </c>
      <c r="D46" s="330">
        <f>SUM(EIA_electricity_aeo2014!F50,EIA_electricity_aeo2014!F55)*1000</f>
        <v>3840.0000000000005</v>
      </c>
      <c r="E46" s="330">
        <f>SUM(EIA_electricity_aeo2014!G50,EIA_electricity_aeo2014!G55)*1000</f>
        <v>2711.9533932460067</v>
      </c>
      <c r="F46" s="330">
        <f>SUM(EIA_electricity_aeo2014!H50,EIA_electricity_aeo2014!H55)*1000</f>
        <v>1876.4882301495713</v>
      </c>
      <c r="G46" s="330">
        <f>SUM(EIA_electricity_aeo2014!I50,EIA_electricity_aeo2014!I55)*1000</f>
        <v>768.26682970247236</v>
      </c>
      <c r="H46" s="286">
        <f>SUM(EIA_electricity_aeo2014!J50,EIA_electricity_aeo2014!J55)*1000</f>
        <v>785.96364035238423</v>
      </c>
      <c r="I46" s="286">
        <f>SUM(EIA_electricity_aeo2014!K50,EIA_electricity_aeo2014!K55)*1000</f>
        <v>749.15211955339669</v>
      </c>
      <c r="J46" s="286">
        <f>SUM(EIA_electricity_aeo2014!L50,EIA_electricity_aeo2014!L55)*1000</f>
        <v>697.26657271120575</v>
      </c>
      <c r="K46" s="286">
        <f>SUM(EIA_electricity_aeo2014!M50,EIA_electricity_aeo2014!M55)*1000</f>
        <v>252.98376132925799</v>
      </c>
      <c r="L46" s="286">
        <f>SUM(EIA_electricity_aeo2014!N50,EIA_electricity_aeo2014!N55)*1000</f>
        <v>264.73655050902175</v>
      </c>
      <c r="M46" s="286">
        <f>SUM(EIA_electricity_aeo2014!O50,EIA_electricity_aeo2014!O55)*1000</f>
        <v>271.15482619284671</v>
      </c>
      <c r="N46" s="286">
        <f>SUM(EIA_electricity_aeo2014!P50,EIA_electricity_aeo2014!P55)*1000</f>
        <v>270.92148323049707</v>
      </c>
      <c r="O46" s="286">
        <f>SUM(EIA_electricity_aeo2014!Q50,EIA_electricity_aeo2014!Q55)*1000</f>
        <v>277.89844534126803</v>
      </c>
      <c r="P46" s="286">
        <f>SUM(EIA_electricity_aeo2014!R50,EIA_electricity_aeo2014!R55)*1000</f>
        <v>283.11515847946674</v>
      </c>
      <c r="Q46" s="286">
        <f>SUM(EIA_electricity_aeo2014!S50,EIA_electricity_aeo2014!S55)*1000</f>
        <v>286.40030686373422</v>
      </c>
      <c r="R46" s="286">
        <f>SUM(EIA_electricity_aeo2014!T50,EIA_electricity_aeo2014!T55)*1000</f>
        <v>295.45835062164508</v>
      </c>
      <c r="S46" s="286">
        <f>SUM(EIA_electricity_aeo2014!U50,EIA_electricity_aeo2014!U55)*1000</f>
        <v>307.0241891294998</v>
      </c>
      <c r="T46" s="286">
        <f>SUM(EIA_electricity_aeo2014!V50,EIA_electricity_aeo2014!V55)*1000</f>
        <v>300.7548058895768</v>
      </c>
      <c r="U46" s="286">
        <f>SUM(EIA_electricity_aeo2014!W50,EIA_electricity_aeo2014!W55)*1000</f>
        <v>299.70037490830447</v>
      </c>
      <c r="V46" s="286">
        <f>SUM(EIA_electricity_aeo2014!X50,EIA_electricity_aeo2014!X55)*1000</f>
        <v>301.59175413445848</v>
      </c>
      <c r="W46" s="286">
        <f>SUM(EIA_electricity_aeo2014!Y50,EIA_electricity_aeo2014!Y55)*1000</f>
        <v>301.90089357416383</v>
      </c>
      <c r="X46" s="286">
        <f>SUM(EIA_electricity_aeo2014!Z50,EIA_electricity_aeo2014!Z55)*1000</f>
        <v>303.12462158810325</v>
      </c>
      <c r="Y46" s="286">
        <f>SUM(EIA_electricity_aeo2014!AA50,EIA_electricity_aeo2014!AA55)*1000</f>
        <v>303.36766309684737</v>
      </c>
      <c r="Z46" s="286">
        <f>SUM(EIA_electricity_aeo2014!AB50,EIA_electricity_aeo2014!AB55)*1000</f>
        <v>303.4418321855195</v>
      </c>
      <c r="AA46" s="286">
        <f>SUM(EIA_electricity_aeo2014!AC50,EIA_electricity_aeo2014!AC55)*1000</f>
        <v>302.91554957179289</v>
      </c>
      <c r="AB46" s="286">
        <f>SUM(EIA_electricity_aeo2014!AD50,EIA_electricity_aeo2014!AD55)*1000</f>
        <v>302.61853381467654</v>
      </c>
      <c r="AC46" s="286">
        <f>SUM(EIA_electricity_aeo2014!AE50,EIA_electricity_aeo2014!AE55)*1000</f>
        <v>302.19910187565551</v>
      </c>
      <c r="AD46" s="286">
        <f>SUM(EIA_electricity_aeo2014!AF50,EIA_electricity_aeo2014!AF55)*1000</f>
        <v>301.81273520879455</v>
      </c>
      <c r="AE46" s="286">
        <f>SUM(EIA_electricity_aeo2014!AG50,EIA_electricity_aeo2014!AG55)*1000</f>
        <v>301.68927699925604</v>
      </c>
      <c r="AF46" s="286">
        <f>SUM(EIA_electricity_aeo2014!AH50,EIA_electricity_aeo2014!AH55)*1000</f>
        <v>301.24542032000033</v>
      </c>
      <c r="AG46" s="286">
        <f>SUM(EIA_electricity_aeo2014!AI50,EIA_electricity_aeo2014!AI55)*1000</f>
        <v>301.3614489270218</v>
      </c>
      <c r="AH46" s="286">
        <f>SUM(EIA_electricity_aeo2014!AJ50,EIA_electricity_aeo2014!AJ55)*1000</f>
        <v>301.74172873298505</v>
      </c>
      <c r="AI46" s="292"/>
    </row>
    <row r="47" spans="1:36" s="252" customFormat="1">
      <c r="A47" s="10" t="s">
        <v>142</v>
      </c>
      <c r="B47" s="37"/>
      <c r="C47" s="330">
        <f>(C$14-C$43-C$46)*0.7</f>
        <v>46995.899999999987</v>
      </c>
      <c r="D47" s="330">
        <f>(D$14-D$30-D$43-D$46)*EIA_electricity_aeo2014!F60</f>
        <v>23621.145932299172</v>
      </c>
      <c r="E47" s="330">
        <f>(E$14-E$30-E$43-E$46)*EIA_electricity_aeo2014!G60</f>
        <v>22970.52995899642</v>
      </c>
      <c r="F47" s="330">
        <f>(F$14-F$30-F$43-F$46)*EIA_electricity_aeo2014!H60</f>
        <v>19343.630019210075</v>
      </c>
      <c r="G47" s="330">
        <f>(G$14-G$30-G$43-G$46)*EIA_electricity_aeo2014!I60</f>
        <v>21033.314063977788</v>
      </c>
      <c r="H47" s="286">
        <f>(H$14-H$30-H$43-H$46)*EIA_electricity_aeo2014!J60</f>
        <v>21917.120350836787</v>
      </c>
      <c r="I47" s="286">
        <f>(I$14-I$30-I$43-I$46)*EIA_electricity_aeo2014!K60</f>
        <v>20677.974280371302</v>
      </c>
      <c r="J47" s="286">
        <f>(J$14-J$30-J$43-J$46)*EIA_electricity_aeo2014!L60</f>
        <v>19732.670063560126</v>
      </c>
      <c r="K47" s="286">
        <f>(K$14-K$30-K$43-K$46)*EIA_electricity_aeo2014!M60</f>
        <v>21009.62168379538</v>
      </c>
      <c r="L47" s="286">
        <f>(L$14-L$30-L$43-L$46)*EIA_electricity_aeo2014!N60</f>
        <v>21449.587607609006</v>
      </c>
      <c r="M47" s="286">
        <f>(M$14-M$30-M$43-M$46)*EIA_electricity_aeo2014!O60</f>
        <v>21501.111734523551</v>
      </c>
      <c r="N47" s="287">
        <f>(N$14-N$43-N$46)*EIA_electricity_aeo2014!P60 - N30</f>
        <v>21250.668668294402</v>
      </c>
      <c r="O47" s="286">
        <f>(O$14-O$43-O$46)*EIA_electricity_aeo2014!Q60 - O30</f>
        <v>21393.095762303961</v>
      </c>
      <c r="P47" s="286">
        <f>(P$14-P$43-P$46)*EIA_electricity_aeo2014!R60 - P30</f>
        <v>21474.367140271024</v>
      </c>
      <c r="Q47" s="286">
        <f>(Q$14-Q$43-Q$46)*EIA_electricity_aeo2014!S60 - Q30</f>
        <v>21415.341711399811</v>
      </c>
      <c r="R47" s="286">
        <f>(R$14-R$43-R$46)*EIA_electricity_aeo2014!T60 - R30</f>
        <v>21579.784720146632</v>
      </c>
      <c r="S47" s="286">
        <f>(S$14-S$43-S$46)*EIA_electricity_aeo2014!U60 - S30</f>
        <v>21806.928955663589</v>
      </c>
      <c r="T47" s="286">
        <f>(T$14-T$43-T$46)*EIA_electricity_aeo2014!V60 - T30</f>
        <v>21698.442467282232</v>
      </c>
      <c r="U47" s="286">
        <f>(U$14-U$43-U$46)*EIA_electricity_aeo2014!W60 - U30</f>
        <v>21586.7467632724</v>
      </c>
      <c r="V47" s="286">
        <f>(V$14-V$43-V$46)*EIA_electricity_aeo2014!X60 - V30</f>
        <v>21447.193560985947</v>
      </c>
      <c r="W47" s="286">
        <f>(W$14-W$43-W$46)*EIA_electricity_aeo2014!Y60 - W30</f>
        <v>21383.50586338104</v>
      </c>
      <c r="X47" s="287">
        <f>(X$14-X$43-X$46)*EIA_electricity_aeo2014!Z60 - X30</f>
        <v>21243.154735703869</v>
      </c>
      <c r="Y47" s="286">
        <f>(Y$14-Y$43-Y$46)*EIA_electricity_aeo2014!AA60 - Y30</f>
        <v>21152.287335940113</v>
      </c>
      <c r="Z47" s="286">
        <f>(Z$14-Z$43-Z$46)*EIA_electricity_aeo2014!AB60 - Z30</f>
        <v>21038.566472199203</v>
      </c>
      <c r="AA47" s="286">
        <f>(AA$14-AA$43-AA$46)*EIA_electricity_aeo2014!AC60 - AA30</f>
        <v>20921.9635825238</v>
      </c>
      <c r="AB47" s="286">
        <f>(AB$14-AB$43-AB$46)*EIA_electricity_aeo2014!AD60 - AB30</f>
        <v>20795.234068126647</v>
      </c>
      <c r="AC47" s="286">
        <f>(AC$14-AC$43-AC$46)*EIA_electricity_aeo2014!AE60 - AC30</f>
        <v>20637.299349690133</v>
      </c>
      <c r="AD47" s="286">
        <f>(AD$14-AD$43-AD$46)*EIA_electricity_aeo2014!AF60 - AD30</f>
        <v>20487.969824282274</v>
      </c>
      <c r="AE47" s="286">
        <f>(AE$14-AE$43-AE$46)*EIA_electricity_aeo2014!AG60 - AE30</f>
        <v>20305.082925939147</v>
      </c>
      <c r="AF47" s="286">
        <f>(AF$14-AF$43-AF$46)*EIA_electricity_aeo2014!AH60 - AF30</f>
        <v>20114.136296661924</v>
      </c>
      <c r="AG47" s="286">
        <f>(AG$14-AG$43-AG$46)*EIA_electricity_aeo2014!AI60 - AG30</f>
        <v>19955.265932866245</v>
      </c>
      <c r="AH47" s="287">
        <f>(AH$14-AH$43-AH$46)*EIA_electricity_aeo2014!AJ60 - AH30</f>
        <v>19802.667603777929</v>
      </c>
      <c r="AI47" s="292"/>
      <c r="AJ47" s="398"/>
    </row>
    <row r="48" spans="1:36" s="252" customFormat="1">
      <c r="A48" s="10" t="s">
        <v>222</v>
      </c>
      <c r="B48" s="37"/>
      <c r="C48" s="330">
        <f>(C$14-C$43-C$46)* 0.3</f>
        <v>20141.099999999995</v>
      </c>
      <c r="D48" s="330">
        <f t="shared" ref="D48:AH48" si="32">(D$14-SUM(D30:D42,D46:D47))</f>
        <v>50694.035978430387</v>
      </c>
      <c r="E48" s="330">
        <f t="shared" si="32"/>
        <v>46019.079657351918</v>
      </c>
      <c r="F48" s="330">
        <f>(F$14-SUM(F30:F42,F46:F47))</f>
        <v>53482.285788621986</v>
      </c>
      <c r="G48" s="330">
        <f t="shared" si="32"/>
        <v>48551.07902140636</v>
      </c>
      <c r="H48" s="286">
        <f t="shared" si="32"/>
        <v>46810.113489706077</v>
      </c>
      <c r="I48" s="286">
        <f t="shared" si="32"/>
        <v>50278.515259970874</v>
      </c>
      <c r="J48" s="286">
        <f t="shared" si="32"/>
        <v>54492.813936949562</v>
      </c>
      <c r="K48" s="286">
        <f t="shared" si="32"/>
        <v>52642.440414670898</v>
      </c>
      <c r="L48" s="286">
        <f t="shared" si="32"/>
        <v>52154.220540836293</v>
      </c>
      <c r="M48" s="286">
        <f t="shared" si="32"/>
        <v>52660.119536916493</v>
      </c>
      <c r="N48" s="287">
        <f t="shared" si="32"/>
        <v>53764.998580331594</v>
      </c>
      <c r="O48" s="286">
        <f t="shared" si="32"/>
        <v>54490.244579014914</v>
      </c>
      <c r="P48" s="286">
        <f t="shared" si="32"/>
        <v>55416.669536285655</v>
      </c>
      <c r="Q48" s="286">
        <f t="shared" si="32"/>
        <v>57356.880589086184</v>
      </c>
      <c r="R48" s="286">
        <f t="shared" si="32"/>
        <v>58355.476387358241</v>
      </c>
      <c r="S48" s="286">
        <f t="shared" si="32"/>
        <v>59100.379541219147</v>
      </c>
      <c r="T48" s="286">
        <f t="shared" si="32"/>
        <v>59801.156413401492</v>
      </c>
      <c r="U48" s="286">
        <f t="shared" si="32"/>
        <v>60406.510266429643</v>
      </c>
      <c r="V48" s="286">
        <f t="shared" si="32"/>
        <v>61098.961092918456</v>
      </c>
      <c r="W48" s="286">
        <f t="shared" si="32"/>
        <v>61645.703542438241</v>
      </c>
      <c r="X48" s="287">
        <f t="shared" si="32"/>
        <v>62142.937504481684</v>
      </c>
      <c r="Y48" s="286">
        <f t="shared" si="32"/>
        <v>62311.818821715671</v>
      </c>
      <c r="Z48" s="286">
        <f t="shared" si="32"/>
        <v>62676.683372795931</v>
      </c>
      <c r="AA48" s="286">
        <f t="shared" si="32"/>
        <v>62879.92406170172</v>
      </c>
      <c r="AB48" s="286">
        <f t="shared" si="32"/>
        <v>63222.994834647441</v>
      </c>
      <c r="AC48" s="286">
        <f t="shared" si="32"/>
        <v>63854.393502560422</v>
      </c>
      <c r="AD48" s="286">
        <f t="shared" si="32"/>
        <v>64386.128503441738</v>
      </c>
      <c r="AE48" s="286">
        <f t="shared" si="32"/>
        <v>65338.625926917332</v>
      </c>
      <c r="AF48" s="286">
        <f t="shared" si="32"/>
        <v>66398.670331072921</v>
      </c>
      <c r="AG48" s="286">
        <f t="shared" si="32"/>
        <v>67120.801536440849</v>
      </c>
      <c r="AH48" s="287">
        <f t="shared" si="32"/>
        <v>67570.073165622511</v>
      </c>
      <c r="AI48" s="292"/>
    </row>
    <row r="49" spans="1:35" s="252" customFormat="1">
      <c r="A49" s="10" t="s">
        <v>334</v>
      </c>
      <c r="B49" s="37"/>
      <c r="C49" s="330">
        <f>SUM(C43,C46:C48)</f>
        <v>89765.999999999985</v>
      </c>
      <c r="D49" s="330">
        <f t="shared" ref="D49:M49" si="33">SUM(D43,D46:D48)+D30</f>
        <v>101324</v>
      </c>
      <c r="E49" s="330">
        <f t="shared" si="33"/>
        <v>93268.560024526727</v>
      </c>
      <c r="F49" s="330">
        <f t="shared" si="33"/>
        <v>97491.004911933502</v>
      </c>
      <c r="G49" s="330">
        <f t="shared" si="33"/>
        <v>92145.676863238667</v>
      </c>
      <c r="H49" s="286">
        <f>SUM(H43,H46:H48)+H30</f>
        <v>90667.034160436437</v>
      </c>
      <c r="I49" s="286">
        <f t="shared" si="33"/>
        <v>93953.172017554185</v>
      </c>
      <c r="J49" s="286">
        <f t="shared" si="33"/>
        <v>98639.274356128808</v>
      </c>
      <c r="K49" s="286">
        <f t="shared" si="33"/>
        <v>97791.20745660353</v>
      </c>
      <c r="L49" s="286">
        <f t="shared" si="33"/>
        <v>98263.905740122689</v>
      </c>
      <c r="M49" s="286">
        <f t="shared" si="33"/>
        <v>99571.220012364167</v>
      </c>
      <c r="N49" s="287">
        <f t="shared" ref="N49:AH49" si="34">SUM(N43,N46:N48)+N30</f>
        <v>101313.17776516854</v>
      </c>
      <c r="O49" s="286">
        <f t="shared" si="34"/>
        <v>102623.23241717133</v>
      </c>
      <c r="P49" s="286">
        <f t="shared" si="34"/>
        <v>104159.37587256526</v>
      </c>
      <c r="Q49" s="286">
        <f t="shared" si="34"/>
        <v>106918.55205752949</v>
      </c>
      <c r="R49" s="286">
        <f t="shared" si="34"/>
        <v>108767.22693983853</v>
      </c>
      <c r="S49" s="286">
        <f t="shared" si="34"/>
        <v>110416.33264577134</v>
      </c>
      <c r="T49" s="286">
        <f t="shared" si="34"/>
        <v>111584.56423199797</v>
      </c>
      <c r="U49" s="286">
        <f t="shared" si="34"/>
        <v>112688.93600856735</v>
      </c>
      <c r="V49" s="286">
        <f t="shared" si="34"/>
        <v>113948.43370838852</v>
      </c>
      <c r="W49" s="286">
        <f t="shared" si="34"/>
        <v>115186.96715333588</v>
      </c>
      <c r="X49" s="287">
        <f t="shared" si="34"/>
        <v>116336.42279680446</v>
      </c>
      <c r="Y49" s="286">
        <f t="shared" si="34"/>
        <v>116856.07509621435</v>
      </c>
      <c r="Z49" s="286">
        <f t="shared" si="34"/>
        <v>117649.67143299525</v>
      </c>
      <c r="AA49" s="286">
        <f t="shared" si="34"/>
        <v>118246.88605867364</v>
      </c>
      <c r="AB49" s="286">
        <f t="shared" si="34"/>
        <v>119063.51821358527</v>
      </c>
      <c r="AC49" s="286">
        <f t="shared" si="34"/>
        <v>120284.58049203787</v>
      </c>
      <c r="AD49" s="286">
        <f t="shared" si="34"/>
        <v>121422.100053153</v>
      </c>
      <c r="AE49" s="286">
        <f t="shared" si="34"/>
        <v>123162.7907685805</v>
      </c>
      <c r="AF49" s="286">
        <f t="shared" si="34"/>
        <v>125104.00462463108</v>
      </c>
      <c r="AG49" s="286">
        <f t="shared" si="34"/>
        <v>126666.50654530025</v>
      </c>
      <c r="AH49" s="287">
        <f t="shared" si="34"/>
        <v>127903.61111169815</v>
      </c>
      <c r="AI49" s="292"/>
    </row>
    <row r="50" spans="1:35">
      <c r="A50" s="10"/>
      <c r="B50" s="37"/>
      <c r="C50" s="332" t="b">
        <f t="shared" ref="C50:AH50" si="35">(C49=C14)</f>
        <v>1</v>
      </c>
      <c r="D50" s="332" t="b">
        <f t="shared" si="35"/>
        <v>1</v>
      </c>
      <c r="E50" s="332" t="b">
        <f t="shared" si="35"/>
        <v>1</v>
      </c>
      <c r="F50" s="332" t="b">
        <f t="shared" si="35"/>
        <v>1</v>
      </c>
      <c r="G50" s="332" t="b">
        <f t="shared" si="35"/>
        <v>1</v>
      </c>
      <c r="H50" s="284" t="b">
        <f t="shared" si="35"/>
        <v>1</v>
      </c>
      <c r="I50" s="91" t="b">
        <f t="shared" si="35"/>
        <v>1</v>
      </c>
      <c r="J50" s="91" t="b">
        <f t="shared" si="35"/>
        <v>1</v>
      </c>
      <c r="K50" s="91" t="b">
        <f t="shared" si="35"/>
        <v>1</v>
      </c>
      <c r="L50" s="91" t="b">
        <f t="shared" si="35"/>
        <v>1</v>
      </c>
      <c r="M50" s="91" t="b">
        <f t="shared" si="35"/>
        <v>1</v>
      </c>
      <c r="N50" s="185" t="b">
        <f t="shared" si="35"/>
        <v>1</v>
      </c>
      <c r="O50" s="91" t="b">
        <f t="shared" si="35"/>
        <v>1</v>
      </c>
      <c r="P50" s="91" t="b">
        <f t="shared" si="35"/>
        <v>1</v>
      </c>
      <c r="Q50" s="91" t="b">
        <f t="shared" si="35"/>
        <v>1</v>
      </c>
      <c r="R50" s="91" t="b">
        <f t="shared" si="35"/>
        <v>1</v>
      </c>
      <c r="S50" s="91" t="b">
        <f t="shared" si="35"/>
        <v>1</v>
      </c>
      <c r="T50" s="91" t="b">
        <f t="shared" si="35"/>
        <v>1</v>
      </c>
      <c r="U50" s="91" t="b">
        <f t="shared" si="35"/>
        <v>1</v>
      </c>
      <c r="V50" s="91" t="b">
        <f t="shared" si="35"/>
        <v>1</v>
      </c>
      <c r="W50" s="91" t="b">
        <f t="shared" si="35"/>
        <v>1</v>
      </c>
      <c r="X50" s="185" t="b">
        <f t="shared" si="35"/>
        <v>1</v>
      </c>
      <c r="Y50" s="172" t="b">
        <f t="shared" si="35"/>
        <v>1</v>
      </c>
      <c r="Z50" s="172" t="b">
        <f t="shared" si="35"/>
        <v>1</v>
      </c>
      <c r="AA50" s="172" t="b">
        <f t="shared" si="35"/>
        <v>1</v>
      </c>
      <c r="AB50" s="172" t="b">
        <f t="shared" si="35"/>
        <v>1</v>
      </c>
      <c r="AC50" s="172" t="b">
        <f t="shared" si="35"/>
        <v>1</v>
      </c>
      <c r="AD50" s="172" t="b">
        <f t="shared" si="35"/>
        <v>1</v>
      </c>
      <c r="AE50" s="172" t="b">
        <f t="shared" si="35"/>
        <v>1</v>
      </c>
      <c r="AF50" s="172" t="b">
        <f t="shared" si="35"/>
        <v>1</v>
      </c>
      <c r="AG50" s="172" t="b">
        <f t="shared" si="35"/>
        <v>1</v>
      </c>
      <c r="AH50" s="185" t="b">
        <f t="shared" si="35"/>
        <v>1</v>
      </c>
      <c r="AI50" s="127"/>
    </row>
    <row r="51" spans="1:35">
      <c r="A51" s="10" t="s">
        <v>543</v>
      </c>
      <c r="B51" s="37"/>
      <c r="C51" s="332"/>
      <c r="D51" s="332">
        <f>D44/C44-1</f>
        <v>0.20795409099232609</v>
      </c>
      <c r="E51" s="332">
        <f t="shared" ref="E51:X51" si="36">E44/D44-1</f>
        <v>-1.1599781395540631E-2</v>
      </c>
      <c r="F51" s="332">
        <f t="shared" si="36"/>
        <v>0.11497033992295358</v>
      </c>
      <c r="G51" s="332">
        <f>G44/F44-1</f>
        <v>1.1486207355385858E-2</v>
      </c>
      <c r="H51" s="284"/>
      <c r="I51" s="164">
        <f t="shared" ref="I51:N51" si="37">I44/H44-1</f>
        <v>0.10924005225711864</v>
      </c>
      <c r="J51" s="172">
        <f t="shared" si="37"/>
        <v>0.12375924680062744</v>
      </c>
      <c r="K51" s="172">
        <f t="shared" si="37"/>
        <v>6.1174539214573276E-2</v>
      </c>
      <c r="L51" s="172">
        <f t="shared" si="37"/>
        <v>7.5506374231866014E-2</v>
      </c>
      <c r="M51" s="172">
        <f t="shared" si="37"/>
        <v>8.4530963358594668E-2</v>
      </c>
      <c r="N51" s="172">
        <f t="shared" si="37"/>
        <v>8.8981280106253946E-2</v>
      </c>
      <c r="O51" s="172">
        <f t="shared" ref="O51:R51" si="38">O44/N44-1</f>
        <v>8.5711256865484309E-2</v>
      </c>
      <c r="P51" s="172">
        <f t="shared" si="38"/>
        <v>8.7870603734226282E-2</v>
      </c>
      <c r="Q51" s="172">
        <f t="shared" si="38"/>
        <v>0.10018112634485932</v>
      </c>
      <c r="R51" s="172">
        <f t="shared" si="38"/>
        <v>9.0319666318545488E-2</v>
      </c>
      <c r="S51" s="164">
        <f t="shared" si="36"/>
        <v>8.8027881839534583E-2</v>
      </c>
      <c r="T51" s="164">
        <f t="shared" si="36"/>
        <v>8.3113423773017781E-2</v>
      </c>
      <c r="U51" s="164">
        <f t="shared" si="36"/>
        <v>8.2372612869391793E-2</v>
      </c>
      <c r="V51" s="164">
        <f t="shared" si="36"/>
        <v>8.3733601312115491E-2</v>
      </c>
      <c r="W51" s="164">
        <f t="shared" si="36"/>
        <v>8.339753167077335E-2</v>
      </c>
      <c r="X51" s="185">
        <f t="shared" si="36"/>
        <v>8.2439051378605743E-2</v>
      </c>
      <c r="Y51" s="172">
        <f t="shared" ref="Y51:AH51" si="39">Y44/X44-1</f>
        <v>4.6050051508373047E-2</v>
      </c>
      <c r="Z51" s="172">
        <f t="shared" si="39"/>
        <v>4.8462483763163755E-2</v>
      </c>
      <c r="AA51" s="172">
        <f t="shared" si="39"/>
        <v>4.667487846521734E-2</v>
      </c>
      <c r="AB51" s="172">
        <f t="shared" si="39"/>
        <v>4.8573817176728262E-2</v>
      </c>
      <c r="AC51" s="172">
        <f t="shared" si="39"/>
        <v>5.2053020025361496E-2</v>
      </c>
      <c r="AD51" s="172">
        <f t="shared" si="39"/>
        <v>5.1219361796087659E-2</v>
      </c>
      <c r="AE51" s="172">
        <f t="shared" si="39"/>
        <v>5.6289795125751274E-2</v>
      </c>
      <c r="AF51" s="172">
        <f t="shared" si="39"/>
        <v>5.7769686380829688E-2</v>
      </c>
      <c r="AG51" s="172">
        <f t="shared" si="39"/>
        <v>5.4365430350406418E-2</v>
      </c>
      <c r="AH51" s="185">
        <f t="shared" si="39"/>
        <v>5.1531886006023209E-2</v>
      </c>
      <c r="AI51" s="127"/>
    </row>
    <row r="52" spans="1:35">
      <c r="A52" s="10"/>
      <c r="B52" s="37"/>
      <c r="C52" s="332"/>
      <c r="D52" s="332"/>
      <c r="E52" s="332"/>
      <c r="F52" s="332"/>
      <c r="G52" s="332"/>
      <c r="H52" s="284"/>
      <c r="I52" s="172"/>
      <c r="J52" s="172"/>
      <c r="K52" s="172"/>
      <c r="L52" s="172"/>
      <c r="M52" s="172"/>
      <c r="N52" s="185"/>
      <c r="O52" s="172"/>
      <c r="P52" s="172"/>
      <c r="Q52" s="172"/>
      <c r="R52" s="172"/>
      <c r="S52" s="172"/>
      <c r="T52" s="172"/>
      <c r="U52" s="172"/>
      <c r="V52" s="172"/>
      <c r="W52" s="172"/>
      <c r="X52" s="185"/>
      <c r="Y52" s="20"/>
      <c r="Z52" s="20"/>
      <c r="AA52" s="20"/>
      <c r="AB52" s="20"/>
      <c r="AC52" s="20"/>
      <c r="AD52" s="20"/>
      <c r="AE52" s="20"/>
      <c r="AF52" s="20"/>
      <c r="AG52" s="20"/>
      <c r="AH52" s="279"/>
      <c r="AI52" s="127"/>
    </row>
    <row r="53" spans="1:35">
      <c r="A53" s="1" t="s">
        <v>542</v>
      </c>
      <c r="B53" s="37"/>
      <c r="C53" s="332"/>
      <c r="D53" s="332"/>
      <c r="E53" s="332"/>
      <c r="F53" s="332"/>
      <c r="G53" s="332"/>
      <c r="H53" s="284"/>
      <c r="I53" s="164"/>
      <c r="J53" s="164"/>
      <c r="K53" s="164"/>
      <c r="L53" s="164"/>
      <c r="M53" s="164"/>
      <c r="N53" s="184" t="s">
        <v>0</v>
      </c>
      <c r="O53" s="174" t="s">
        <v>0</v>
      </c>
      <c r="P53" s="164"/>
      <c r="Q53" s="164"/>
      <c r="R53" s="164"/>
      <c r="S53" s="164"/>
      <c r="T53" s="164"/>
      <c r="U53" s="164"/>
      <c r="V53" s="164"/>
      <c r="W53" s="164"/>
      <c r="X53" s="185"/>
      <c r="Y53" s="20"/>
      <c r="Z53" s="20"/>
      <c r="AA53" s="20"/>
      <c r="AB53" s="20"/>
      <c r="AC53" s="20"/>
      <c r="AD53" s="20"/>
      <c r="AE53" s="20"/>
      <c r="AF53" s="20"/>
      <c r="AG53" s="20"/>
      <c r="AH53" s="279"/>
      <c r="AI53" s="127"/>
    </row>
    <row r="54" spans="1:35">
      <c r="A54" s="9" t="s">
        <v>282</v>
      </c>
      <c r="B54" s="37"/>
      <c r="C54" s="332"/>
      <c r="D54" s="332"/>
      <c r="E54" s="332"/>
      <c r="F54" s="332"/>
      <c r="G54" s="332"/>
      <c r="H54" s="284"/>
      <c r="I54" s="164"/>
      <c r="J54" s="164"/>
      <c r="K54" s="164"/>
      <c r="L54" s="164"/>
      <c r="M54" s="164"/>
      <c r="N54" s="185" t="s">
        <v>0</v>
      </c>
      <c r="O54" s="164"/>
      <c r="P54" s="164"/>
      <c r="Q54" s="164"/>
      <c r="R54" s="164"/>
      <c r="S54" s="164"/>
      <c r="T54" s="164"/>
      <c r="U54" s="164"/>
      <c r="V54" s="164"/>
      <c r="W54" s="164"/>
      <c r="X54" s="185"/>
      <c r="Y54" s="20"/>
      <c r="Z54" s="20"/>
      <c r="AA54" s="20"/>
      <c r="AB54" s="20"/>
      <c r="AC54" s="20"/>
      <c r="AD54" s="20"/>
      <c r="AE54" s="20"/>
      <c r="AF54" s="20"/>
      <c r="AG54" s="20"/>
      <c r="AH54" s="279"/>
      <c r="AI54" s="127"/>
    </row>
    <row r="55" spans="1:35">
      <c r="A55" s="20" t="s">
        <v>122</v>
      </c>
      <c r="B55" s="37"/>
      <c r="C55" s="332"/>
      <c r="D55" s="332"/>
      <c r="E55" s="332"/>
      <c r="F55" s="332"/>
      <c r="G55" s="332"/>
      <c r="H55" s="284"/>
      <c r="I55" s="164"/>
      <c r="J55" s="164"/>
      <c r="K55" s="164"/>
      <c r="L55" s="164"/>
      <c r="M55" s="164"/>
      <c r="N55" s="185"/>
      <c r="O55" s="164"/>
      <c r="P55" s="164"/>
      <c r="Q55" s="164"/>
      <c r="R55" s="164"/>
      <c r="S55" s="164"/>
      <c r="T55" s="164"/>
      <c r="U55" s="164"/>
      <c r="V55" s="164"/>
      <c r="W55" s="164"/>
      <c r="X55" s="185"/>
      <c r="Y55" s="20"/>
      <c r="Z55" s="20"/>
      <c r="AA55" s="20"/>
      <c r="AB55" s="20"/>
      <c r="AC55" s="20"/>
      <c r="AD55" s="20"/>
      <c r="AE55" s="20"/>
      <c r="AF55" s="20"/>
      <c r="AG55" s="20"/>
      <c r="AH55" s="279"/>
      <c r="AI55" s="127"/>
    </row>
    <row r="56" spans="1:35">
      <c r="A56" s="9" t="s">
        <v>49</v>
      </c>
      <c r="B56" s="37"/>
      <c r="C56" s="336">
        <f t="shared" ref="C56:M56" si="40">C31/C$49</f>
        <v>1.3769021678586549E-2</v>
      </c>
      <c r="D56" s="336">
        <f t="shared" si="40"/>
        <v>1.3761387460574568E-2</v>
      </c>
      <c r="E56" s="336">
        <f t="shared" si="40"/>
        <v>1.3753753242562587E-2</v>
      </c>
      <c r="F56" s="336">
        <f t="shared" si="40"/>
        <v>1.3746119024550606E-2</v>
      </c>
      <c r="G56" s="336">
        <f t="shared" si="40"/>
        <v>1.3738484806538623E-2</v>
      </c>
      <c r="H56" s="396">
        <f t="shared" si="40"/>
        <v>1.4552900148822868E-2</v>
      </c>
      <c r="I56" s="173">
        <f t="shared" si="40"/>
        <v>1.4408257670761516E-2</v>
      </c>
      <c r="J56" s="173">
        <f t="shared" si="40"/>
        <v>1.4263615192700163E-2</v>
      </c>
      <c r="K56" s="173">
        <f t="shared" si="40"/>
        <v>1.4118972714638814E-2</v>
      </c>
      <c r="L56" s="173">
        <f t="shared" si="40"/>
        <v>1.3974330236577463E-2</v>
      </c>
      <c r="M56" s="173">
        <f t="shared" si="40"/>
        <v>1.3829687758516111E-2</v>
      </c>
      <c r="N56" s="178">
        <f>N26</f>
        <v>1.3685045280454765E-2</v>
      </c>
      <c r="O56" s="116">
        <f t="shared" ref="O56:AH56" si="41">O31/O$49</f>
        <v>1.351074662305347E-2</v>
      </c>
      <c r="P56" s="116">
        <f t="shared" si="41"/>
        <v>1.3336447965652179E-2</v>
      </c>
      <c r="Q56" s="116">
        <f t="shared" si="41"/>
        <v>1.3162149308250886E-2</v>
      </c>
      <c r="R56" s="116">
        <f t="shared" si="41"/>
        <v>1.2987850650849593E-2</v>
      </c>
      <c r="S56" s="116">
        <f t="shared" si="41"/>
        <v>1.28135519934483E-2</v>
      </c>
      <c r="T56" s="116">
        <f t="shared" si="41"/>
        <v>1.2639253336047008E-2</v>
      </c>
      <c r="U56" s="116">
        <f t="shared" si="41"/>
        <v>1.2464954678645713E-2</v>
      </c>
      <c r="V56" s="116">
        <f t="shared" si="41"/>
        <v>1.2290656021244422E-2</v>
      </c>
      <c r="W56" s="116">
        <f t="shared" si="41"/>
        <v>1.2116357363843129E-2</v>
      </c>
      <c r="X56" s="178">
        <f t="shared" si="41"/>
        <v>1.1942058706441841E-2</v>
      </c>
      <c r="Y56" s="173">
        <f t="shared" si="41"/>
        <v>1.1835094451387983E-2</v>
      </c>
      <c r="Z56" s="173">
        <f t="shared" si="41"/>
        <v>1.1728130196334126E-2</v>
      </c>
      <c r="AA56" s="173">
        <f t="shared" si="41"/>
        <v>1.1621165941280268E-2</v>
      </c>
      <c r="AB56" s="173">
        <f t="shared" si="41"/>
        <v>1.1514201686226411E-2</v>
      </c>
      <c r="AC56" s="173">
        <f t="shared" si="41"/>
        <v>1.1407237431172553E-2</v>
      </c>
      <c r="AD56" s="173">
        <f t="shared" si="41"/>
        <v>1.1300273176118696E-2</v>
      </c>
      <c r="AE56" s="173">
        <f t="shared" si="41"/>
        <v>1.1193308921064838E-2</v>
      </c>
      <c r="AF56" s="173">
        <f t="shared" si="41"/>
        <v>1.108634466601098E-2</v>
      </c>
      <c r="AG56" s="173">
        <f t="shared" si="41"/>
        <v>1.0979380410957123E-2</v>
      </c>
      <c r="AH56" s="178">
        <f t="shared" si="41"/>
        <v>1.0872416155903262E-2</v>
      </c>
      <c r="AI56" s="127"/>
    </row>
    <row r="57" spans="1:35">
      <c r="A57" s="9" t="s">
        <v>59</v>
      </c>
      <c r="B57" s="37"/>
      <c r="C57" s="336">
        <f t="shared" ref="C57:M57" si="42">C32/C$49</f>
        <v>0.18695274380054813</v>
      </c>
      <c r="D57" s="336">
        <f t="shared" si="42"/>
        <v>0.18751506691075071</v>
      </c>
      <c r="E57" s="336">
        <f t="shared" si="42"/>
        <v>0.18807739002095328</v>
      </c>
      <c r="F57" s="336">
        <f t="shared" si="42"/>
        <v>0.18863971313115588</v>
      </c>
      <c r="G57" s="336">
        <f t="shared" si="42"/>
        <v>0.18920203624135845</v>
      </c>
      <c r="H57" s="396">
        <f t="shared" si="42"/>
        <v>0.18546198497014715</v>
      </c>
      <c r="I57" s="116">
        <f t="shared" si="42"/>
        <v>0.18674137047725201</v>
      </c>
      <c r="J57" s="116">
        <f t="shared" si="42"/>
        <v>0.18802075598435691</v>
      </c>
      <c r="K57" s="116">
        <f t="shared" si="42"/>
        <v>0.18930014149146179</v>
      </c>
      <c r="L57" s="116">
        <f t="shared" si="42"/>
        <v>0.19057952699856667</v>
      </c>
      <c r="M57" s="116">
        <f t="shared" si="42"/>
        <v>0.19185891250567155</v>
      </c>
      <c r="N57" s="178">
        <f>N18</f>
        <v>0.19313829801277643</v>
      </c>
      <c r="O57" s="116">
        <f t="shared" ref="O57:AH57" si="43">O32/O$49</f>
        <v>0.19067840508977113</v>
      </c>
      <c r="P57" s="116">
        <f t="shared" si="43"/>
        <v>0.18821851216676583</v>
      </c>
      <c r="Q57" s="116">
        <f t="shared" si="43"/>
        <v>0.18575861924376053</v>
      </c>
      <c r="R57" s="116">
        <f t="shared" si="43"/>
        <v>0.18329872632075522</v>
      </c>
      <c r="S57" s="116">
        <f t="shared" si="43"/>
        <v>0.18083883339774992</v>
      </c>
      <c r="T57" s="116">
        <f t="shared" si="43"/>
        <v>0.17837894047474462</v>
      </c>
      <c r="U57" s="116">
        <f t="shared" si="43"/>
        <v>0.17591904755173934</v>
      </c>
      <c r="V57" s="116">
        <f t="shared" si="43"/>
        <v>0.17345915462873401</v>
      </c>
      <c r="W57" s="116">
        <f>W32/W$49</f>
        <v>0.17099926170572871</v>
      </c>
      <c r="X57" s="178">
        <f t="shared" si="43"/>
        <v>0.16853936878272355</v>
      </c>
      <c r="Y57" s="173">
        <f t="shared" si="43"/>
        <v>0.16702977244994327</v>
      </c>
      <c r="Z57" s="173">
        <f t="shared" si="43"/>
        <v>0.16552017611716299</v>
      </c>
      <c r="AA57" s="173">
        <f t="shared" si="43"/>
        <v>0.16401057978438272</v>
      </c>
      <c r="AB57" s="173">
        <f t="shared" si="43"/>
        <v>0.16250098345160244</v>
      </c>
      <c r="AC57" s="173">
        <f t="shared" si="43"/>
        <v>0.16099138711882216</v>
      </c>
      <c r="AD57" s="173">
        <f t="shared" si="43"/>
        <v>0.15948179078604188</v>
      </c>
      <c r="AE57" s="173">
        <f t="shared" si="43"/>
        <v>0.15797219445326161</v>
      </c>
      <c r="AF57" s="173">
        <f t="shared" si="43"/>
        <v>0.15646259812048133</v>
      </c>
      <c r="AG57" s="173">
        <f t="shared" si="43"/>
        <v>0.15495300178770105</v>
      </c>
      <c r="AH57" s="178">
        <f t="shared" si="43"/>
        <v>0.15344340545492072</v>
      </c>
      <c r="AI57" s="127"/>
    </row>
    <row r="58" spans="1:35">
      <c r="A58" s="9" t="s">
        <v>121</v>
      </c>
      <c r="B58" s="37"/>
      <c r="C58" s="336">
        <f>C34/C$49</f>
        <v>2.5588752979970149E-2</v>
      </c>
      <c r="D58" s="336">
        <f t="shared" ref="D58:G59" si="44">C58*($N71)</f>
        <v>2.7384145368611782E-2</v>
      </c>
      <c r="E58" s="336">
        <f t="shared" si="44"/>
        <v>2.9305508484772473E-2</v>
      </c>
      <c r="F58" s="336">
        <f t="shared" si="44"/>
        <v>3.1361680855501839E-2</v>
      </c>
      <c r="G58" s="336">
        <f t="shared" si="44"/>
        <v>3.3562121148432503E-2</v>
      </c>
      <c r="H58" s="396">
        <f>H34/H$49</f>
        <v>3.3283985286245259E-2</v>
      </c>
      <c r="I58" s="116">
        <f t="shared" ref="I58:N59" si="45">H58*($N71)</f>
        <v>3.5619300879520199E-2</v>
      </c>
      <c r="J58" s="116">
        <f t="shared" si="45"/>
        <v>3.8118470015971857E-2</v>
      </c>
      <c r="K58" s="116">
        <f t="shared" si="45"/>
        <v>4.0792989207544435E-2</v>
      </c>
      <c r="L58" s="116">
        <f t="shared" si="45"/>
        <v>4.3655161599864392E-2</v>
      </c>
      <c r="M58" s="116">
        <f t="shared" si="45"/>
        <v>4.6718153568354154E-2</v>
      </c>
      <c r="N58" s="178">
        <f t="shared" si="45"/>
        <v>4.9996055285318239E-2</v>
      </c>
      <c r="O58" s="116">
        <f t="shared" ref="O58:W58" si="46">N58*$X71</f>
        <v>5.358444528630147E-2</v>
      </c>
      <c r="P58" s="116">
        <f t="shared" si="46"/>
        <v>5.7430386462585879E-2</v>
      </c>
      <c r="Q58" s="116">
        <f t="shared" si="46"/>
        <v>6.1552364153803121E-2</v>
      </c>
      <c r="R58" s="116">
        <f t="shared" si="46"/>
        <v>6.5970190456416389E-2</v>
      </c>
      <c r="S58" s="116">
        <f t="shared" si="46"/>
        <v>7.0705099449652115E-2</v>
      </c>
      <c r="T58" s="116">
        <f t="shared" si="46"/>
        <v>7.5779849256126602E-2</v>
      </c>
      <c r="U58" s="116">
        <f t="shared" si="46"/>
        <v>8.1218831427717145E-2</v>
      </c>
      <c r="V58" s="116">
        <f t="shared" si="46"/>
        <v>8.7048188182435912E-2</v>
      </c>
      <c r="W58" s="116">
        <f t="shared" si="46"/>
        <v>9.3295938055800165E-2</v>
      </c>
      <c r="X58" s="178">
        <f t="shared" ref="X58:X66" si="47">X34/X$49</f>
        <v>9.9992110570636422E-2</v>
      </c>
      <c r="Y58" s="173">
        <f>X58*$AH71</f>
        <v>0.10412975850731017</v>
      </c>
      <c r="Z58" s="173">
        <f t="shared" ref="Z58:AG58" si="48">Y58*$AH71</f>
        <v>0.1084386212563342</v>
      </c>
      <c r="AA58" s="173">
        <f t="shared" si="48"/>
        <v>0.11292578364281129</v>
      </c>
      <c r="AB58" s="173">
        <f t="shared" si="48"/>
        <v>0.11759862366009317</v>
      </c>
      <c r="AC58" s="173">
        <f t="shared" si="48"/>
        <v>0.12246482460100767</v>
      </c>
      <c r="AD58" s="173">
        <f t="shared" si="48"/>
        <v>0.12753238769107283</v>
      </c>
      <c r="AE58" s="173">
        <f t="shared" si="48"/>
        <v>0.13280964524447028</v>
      </c>
      <c r="AF58" s="173">
        <f t="shared" si="48"/>
        <v>0.13830527436440934</v>
      </c>
      <c r="AG58" s="173">
        <f t="shared" si="48"/>
        <v>0.14402831121040871</v>
      </c>
      <c r="AH58" s="178">
        <f t="shared" ref="AH58:AH66" si="49">AH34/AH$49</f>
        <v>0.14998816585595462</v>
      </c>
      <c r="AI58" s="127"/>
    </row>
    <row r="59" spans="1:35">
      <c r="A59" s="9" t="s">
        <v>50</v>
      </c>
      <c r="B59" s="37"/>
      <c r="C59" s="336">
        <f t="shared" ref="C59:C65" si="50">C35/C$49</f>
        <v>0</v>
      </c>
      <c r="D59" s="336">
        <f t="shared" si="44"/>
        <v>0</v>
      </c>
      <c r="E59" s="336">
        <f t="shared" si="44"/>
        <v>0</v>
      </c>
      <c r="F59" s="336">
        <f t="shared" si="44"/>
        <v>0</v>
      </c>
      <c r="G59" s="336">
        <f t="shared" si="44"/>
        <v>0</v>
      </c>
      <c r="H59" s="396">
        <f>H35/H$49</f>
        <v>4.5320441305369595E-8</v>
      </c>
      <c r="I59" s="116">
        <f t="shared" si="45"/>
        <v>4.7493618918905048E-8</v>
      </c>
      <c r="J59" s="116">
        <f t="shared" si="45"/>
        <v>4.9771003393714202E-8</v>
      </c>
      <c r="K59" s="116">
        <f t="shared" si="45"/>
        <v>5.215759159239535E-8</v>
      </c>
      <c r="L59" s="116">
        <f t="shared" si="45"/>
        <v>5.4658619983994199E-8</v>
      </c>
      <c r="M59" s="116">
        <f t="shared" si="45"/>
        <v>5.7279576133463207E-8</v>
      </c>
      <c r="N59" s="178">
        <f t="shared" si="45"/>
        <v>6.0026210742056334E-8</v>
      </c>
      <c r="O59" s="116">
        <f t="shared" ref="O59:V59" si="51">N59*$X72</f>
        <v>6.4334499729946957E-8</v>
      </c>
      <c r="P59" s="116">
        <f t="shared" si="51"/>
        <v>6.895200953610547E-8</v>
      </c>
      <c r="Q59" s="116">
        <f t="shared" si="51"/>
        <v>7.3900934009347267E-8</v>
      </c>
      <c r="R59" s="116">
        <f t="shared" si="51"/>
        <v>7.9205059927864219E-8</v>
      </c>
      <c r="S59" s="116">
        <f t="shared" si="51"/>
        <v>8.4889881329281629E-8</v>
      </c>
      <c r="T59" s="116">
        <f t="shared" si="51"/>
        <v>9.0982722046579188E-8</v>
      </c>
      <c r="U59" s="116">
        <f t="shared" si="51"/>
        <v>9.7512867038839308E-8</v>
      </c>
      <c r="V59" s="116">
        <f t="shared" si="51"/>
        <v>1.0451170314805797E-7</v>
      </c>
      <c r="W59" s="116">
        <f>V59*$X72</f>
        <v>1.120128699585593E-7</v>
      </c>
      <c r="X59" s="178">
        <f t="shared" si="47"/>
        <v>1.2005242148411264E-7</v>
      </c>
      <c r="Y59" s="173">
        <f>X59*$AH72</f>
        <v>1.250201599507942E-7</v>
      </c>
      <c r="Z59" s="173">
        <f t="shared" ref="Z59:AG59" si="52">Y59*$AH72</f>
        <v>1.3019346216344828E-7</v>
      </c>
      <c r="AA59" s="173">
        <f t="shared" si="52"/>
        <v>1.3558083429725738E-7</v>
      </c>
      <c r="AB59" s="173">
        <f t="shared" si="52"/>
        <v>1.4119113451075533E-7</v>
      </c>
      <c r="AC59" s="173">
        <f t="shared" si="52"/>
        <v>1.4703358751080841E-7</v>
      </c>
      <c r="AD59" s="173">
        <f t="shared" si="52"/>
        <v>1.5311779972029137E-7</v>
      </c>
      <c r="AE59" s="173">
        <f t="shared" si="52"/>
        <v>1.5945377507339823E-7</v>
      </c>
      <c r="AF59" s="173">
        <f t="shared" si="52"/>
        <v>1.6605193146455887E-7</v>
      </c>
      <c r="AG59" s="173">
        <f t="shared" si="52"/>
        <v>1.7292311787800764E-7</v>
      </c>
      <c r="AH59" s="178">
        <f t="shared" si="49"/>
        <v>1.8007863222616894E-7</v>
      </c>
      <c r="AI59" s="127"/>
    </row>
    <row r="60" spans="1:35">
      <c r="A60" s="9" t="s">
        <v>119</v>
      </c>
      <c r="B60" s="37"/>
      <c r="C60" s="336">
        <f t="shared" si="50"/>
        <v>0</v>
      </c>
      <c r="D60" s="336">
        <v>0</v>
      </c>
      <c r="E60" s="336">
        <v>0</v>
      </c>
      <c r="F60" s="336">
        <v>0</v>
      </c>
      <c r="G60" s="336">
        <v>0</v>
      </c>
      <c r="H60" s="396">
        <f t="shared" ref="H60:H66" si="53">H36/H$49</f>
        <v>0</v>
      </c>
      <c r="I60" s="173">
        <v>0</v>
      </c>
      <c r="J60" s="173">
        <v>0</v>
      </c>
      <c r="K60" s="173">
        <v>0</v>
      </c>
      <c r="L60" s="173">
        <v>0</v>
      </c>
      <c r="M60" s="173">
        <v>0</v>
      </c>
      <c r="N60" s="178">
        <v>0</v>
      </c>
      <c r="O60" s="116">
        <f t="shared" ref="O60:W60" si="54">O36/O$49</f>
        <v>0</v>
      </c>
      <c r="P60" s="116">
        <f t="shared" si="54"/>
        <v>0</v>
      </c>
      <c r="Q60" s="116">
        <f t="shared" si="54"/>
        <v>0</v>
      </c>
      <c r="R60" s="116">
        <f t="shared" si="54"/>
        <v>0</v>
      </c>
      <c r="S60" s="116">
        <f t="shared" si="54"/>
        <v>0</v>
      </c>
      <c r="T60" s="116">
        <f t="shared" si="54"/>
        <v>0</v>
      </c>
      <c r="U60" s="116">
        <f t="shared" si="54"/>
        <v>0</v>
      </c>
      <c r="V60" s="116">
        <f t="shared" si="54"/>
        <v>0</v>
      </c>
      <c r="W60" s="116">
        <f t="shared" si="54"/>
        <v>0</v>
      </c>
      <c r="X60" s="178">
        <f t="shared" si="47"/>
        <v>0</v>
      </c>
      <c r="Y60" s="173">
        <f t="shared" ref="Y60:AG66" si="55">X60*$AH73</f>
        <v>0</v>
      </c>
      <c r="Z60" s="173">
        <f t="shared" si="55"/>
        <v>0</v>
      </c>
      <c r="AA60" s="173">
        <f t="shared" si="55"/>
        <v>0</v>
      </c>
      <c r="AB60" s="173">
        <f t="shared" si="55"/>
        <v>0</v>
      </c>
      <c r="AC60" s="173">
        <f t="shared" si="55"/>
        <v>0</v>
      </c>
      <c r="AD60" s="173">
        <f t="shared" si="55"/>
        <v>0</v>
      </c>
      <c r="AE60" s="173">
        <f t="shared" si="55"/>
        <v>0</v>
      </c>
      <c r="AF60" s="173">
        <f t="shared" si="55"/>
        <v>0</v>
      </c>
      <c r="AG60" s="173">
        <f t="shared" si="55"/>
        <v>0</v>
      </c>
      <c r="AH60" s="178">
        <f t="shared" si="49"/>
        <v>0</v>
      </c>
      <c r="AI60" s="127"/>
    </row>
    <row r="61" spans="1:35">
      <c r="A61" s="9" t="s">
        <v>51</v>
      </c>
      <c r="B61" s="37"/>
      <c r="C61" s="336">
        <f t="shared" si="50"/>
        <v>0</v>
      </c>
      <c r="D61" s="336">
        <f t="shared" ref="D61:M61" si="56">C61*($N74)</f>
        <v>0</v>
      </c>
      <c r="E61" s="336">
        <f t="shared" si="56"/>
        <v>0</v>
      </c>
      <c r="F61" s="336">
        <f t="shared" si="56"/>
        <v>0</v>
      </c>
      <c r="G61" s="336">
        <f t="shared" si="56"/>
        <v>0</v>
      </c>
      <c r="H61" s="396">
        <f t="shared" si="53"/>
        <v>1.3387170003291496E-8</v>
      </c>
      <c r="I61" s="116">
        <f t="shared" si="56"/>
        <v>1.3773245976798422E-8</v>
      </c>
      <c r="J61" s="116">
        <f t="shared" si="56"/>
        <v>1.4170456092718022E-8</v>
      </c>
      <c r="K61" s="116">
        <f t="shared" si="56"/>
        <v>1.4579121451392644E-8</v>
      </c>
      <c r="L61" s="116">
        <f t="shared" si="56"/>
        <v>1.4999572413458428E-8</v>
      </c>
      <c r="M61" s="116">
        <f t="shared" si="56"/>
        <v>1.5432148866905256E-8</v>
      </c>
      <c r="N61" s="178">
        <f>M61*($N74)</f>
        <v>1.5877200501838505E-8</v>
      </c>
      <c r="O61" s="116">
        <f t="shared" ref="O61:W61" si="57">N61*$X74</f>
        <v>1.7016762157238425E-8</v>
      </c>
      <c r="P61" s="116">
        <f t="shared" si="57"/>
        <v>1.8238114098419988E-8</v>
      </c>
      <c r="Q61" s="116">
        <f t="shared" si="57"/>
        <v>1.9547126697395574E-8</v>
      </c>
      <c r="R61" s="116">
        <f t="shared" si="57"/>
        <v>2.0950091663103271E-8</v>
      </c>
      <c r="S61" s="116">
        <f t="shared" si="57"/>
        <v>2.245375228221692E-8</v>
      </c>
      <c r="T61" s="116">
        <f t="shared" si="57"/>
        <v>2.4065335830443822E-8</v>
      </c>
      <c r="U61" s="116">
        <f t="shared" si="57"/>
        <v>2.5792588310093494E-8</v>
      </c>
      <c r="V61" s="116">
        <f t="shared" si="57"/>
        <v>2.764381168088202E-8</v>
      </c>
      <c r="W61" s="116">
        <f t="shared" si="57"/>
        <v>2.9627903762920148E-8</v>
      </c>
      <c r="X61" s="178">
        <f t="shared" si="47"/>
        <v>3.1754401003677016E-8</v>
      </c>
      <c r="Y61" s="173">
        <f t="shared" si="55"/>
        <v>3.3068389987841518E-8</v>
      </c>
      <c r="Z61" s="173">
        <f t="shared" si="55"/>
        <v>3.4436751499779597E-8</v>
      </c>
      <c r="AA61" s="173">
        <f t="shared" si="55"/>
        <v>3.5861735460770742E-8</v>
      </c>
      <c r="AB61" s="173">
        <f t="shared" si="55"/>
        <v>3.7345684893260989E-8</v>
      </c>
      <c r="AC61" s="173">
        <f t="shared" si="55"/>
        <v>3.8891039773365363E-8</v>
      </c>
      <c r="AD61" s="173">
        <f t="shared" si="55"/>
        <v>4.0500341042785882E-8</v>
      </c>
      <c r="AE61" s="173">
        <f t="shared" si="55"/>
        <v>4.217623478674168E-8</v>
      </c>
      <c r="AF61" s="173">
        <f t="shared" si="55"/>
        <v>4.3921476584780853E-8</v>
      </c>
      <c r="AG61" s="173">
        <f t="shared" si="55"/>
        <v>4.5738936041627742E-8</v>
      </c>
      <c r="AH61" s="178">
        <f t="shared" si="49"/>
        <v>4.7631601505515524E-8</v>
      </c>
      <c r="AI61" s="127"/>
    </row>
    <row r="62" spans="1:35">
      <c r="A62" s="9" t="s">
        <v>347</v>
      </c>
      <c r="B62" s="37"/>
      <c r="C62" s="339">
        <f t="shared" si="50"/>
        <v>0</v>
      </c>
      <c r="D62" s="339">
        <f t="shared" ref="D62:N62" si="58">C62*($N75)</f>
        <v>0</v>
      </c>
      <c r="E62" s="339">
        <f t="shared" si="58"/>
        <v>0</v>
      </c>
      <c r="F62" s="339">
        <f t="shared" si="58"/>
        <v>0</v>
      </c>
      <c r="G62" s="339">
        <f t="shared" si="58"/>
        <v>0</v>
      </c>
      <c r="H62" s="396">
        <f t="shared" si="53"/>
        <v>2.2058734120065904E-6</v>
      </c>
      <c r="I62" s="116">
        <f t="shared" si="58"/>
        <v>2.2437176908471967E-6</v>
      </c>
      <c r="J62" s="116">
        <f t="shared" si="58"/>
        <v>2.2822112315326441E-6</v>
      </c>
      <c r="K62" s="116">
        <f t="shared" si="58"/>
        <v>2.3213651728917353E-6</v>
      </c>
      <c r="L62" s="116">
        <f t="shared" si="58"/>
        <v>2.3611908448526087E-6</v>
      </c>
      <c r="M62" s="116">
        <f t="shared" si="58"/>
        <v>2.4016997717212654E-6</v>
      </c>
      <c r="N62" s="178">
        <f t="shared" si="58"/>
        <v>2.4429036755163435E-6</v>
      </c>
      <c r="O62" s="116">
        <f t="shared" ref="O62:W62" si="59">N62*$X75</f>
        <v>2.6182393309507885E-6</v>
      </c>
      <c r="P62" s="116">
        <f t="shared" si="59"/>
        <v>2.8061594334818339E-6</v>
      </c>
      <c r="Q62" s="116">
        <f t="shared" si="59"/>
        <v>3.0075672124517077E-6</v>
      </c>
      <c r="R62" s="116">
        <f t="shared" si="59"/>
        <v>3.2234307250999938E-6</v>
      </c>
      <c r="S62" s="116">
        <f t="shared" si="59"/>
        <v>3.4547875094862946E-6</v>
      </c>
      <c r="T62" s="116">
        <f t="shared" si="59"/>
        <v>3.7027495713692624E-6</v>
      </c>
      <c r="U62" s="116">
        <f t="shared" si="59"/>
        <v>3.9685087290112096E-6</v>
      </c>
      <c r="V62" s="116">
        <f t="shared" si="59"/>
        <v>4.2533423415978483E-6</v>
      </c>
      <c r="W62" s="116">
        <f t="shared" si="59"/>
        <v>4.5586194488065508E-6</v>
      </c>
      <c r="X62" s="178">
        <f t="shared" si="47"/>
        <v>4.8858073510326878E-6</v>
      </c>
      <c r="Y62" s="173">
        <f t="shared" si="55"/>
        <v>5.0879808084146583E-6</v>
      </c>
      <c r="Z62" s="173">
        <f t="shared" si="55"/>
        <v>5.298520151705155E-6</v>
      </c>
      <c r="AA62" s="173">
        <f t="shared" si="55"/>
        <v>5.5177715591213432E-6</v>
      </c>
      <c r="AB62" s="173">
        <f t="shared" si="55"/>
        <v>5.7460955336463892E-6</v>
      </c>
      <c r="AC62" s="173">
        <f t="shared" si="55"/>
        <v>5.9838674957846108E-6</v>
      </c>
      <c r="AD62" s="173">
        <f t="shared" si="55"/>
        <v>6.2314784008446849E-6</v>
      </c>
      <c r="AE62" s="173">
        <f t="shared" si="55"/>
        <v>6.4893353817658747E-6</v>
      </c>
      <c r="AF62" s="173">
        <f t="shared" si="55"/>
        <v>6.757862418544239E-6</v>
      </c>
      <c r="AG62" s="173">
        <f t="shared" si="55"/>
        <v>7.037501035359532E-6</v>
      </c>
      <c r="AH62" s="178">
        <f t="shared" si="49"/>
        <v>7.3287110265490305E-6</v>
      </c>
      <c r="AI62" s="127"/>
    </row>
    <row r="63" spans="1:35">
      <c r="A63" s="9" t="s">
        <v>348</v>
      </c>
      <c r="B63" s="37"/>
      <c r="C63" s="339">
        <f t="shared" si="50"/>
        <v>0</v>
      </c>
      <c r="D63" s="339">
        <f t="shared" ref="D63:N63" si="60">C63*($N76)</f>
        <v>0</v>
      </c>
      <c r="E63" s="339">
        <f t="shared" si="60"/>
        <v>0</v>
      </c>
      <c r="F63" s="339">
        <f t="shared" si="60"/>
        <v>0</v>
      </c>
      <c r="G63" s="339">
        <f t="shared" si="60"/>
        <v>0</v>
      </c>
      <c r="H63" s="396">
        <f t="shared" si="53"/>
        <v>1.1029367060032952E-6</v>
      </c>
      <c r="I63" s="116">
        <f t="shared" si="60"/>
        <v>1.1218588454235983E-6</v>
      </c>
      <c r="J63" s="116">
        <f t="shared" si="60"/>
        <v>1.141105615766322E-6</v>
      </c>
      <c r="K63" s="116">
        <f t="shared" si="60"/>
        <v>1.1606825864458677E-6</v>
      </c>
      <c r="L63" s="116">
        <f t="shared" si="60"/>
        <v>1.1805954224263044E-6</v>
      </c>
      <c r="M63" s="116">
        <f t="shared" si="60"/>
        <v>1.2008498858606327E-6</v>
      </c>
      <c r="N63" s="178">
        <f t="shared" si="60"/>
        <v>1.2214518377581717E-6</v>
      </c>
      <c r="O63" s="116">
        <f t="shared" ref="O63:W63" si="61">N63*$X76</f>
        <v>1.3091196654753942E-6</v>
      </c>
      <c r="P63" s="116">
        <f t="shared" si="61"/>
        <v>1.4030797167409169E-6</v>
      </c>
      <c r="Q63" s="116">
        <f t="shared" si="61"/>
        <v>1.5037836062258539E-6</v>
      </c>
      <c r="R63" s="116">
        <f t="shared" si="61"/>
        <v>1.6117153625499969E-6</v>
      </c>
      <c r="S63" s="116">
        <f t="shared" si="61"/>
        <v>1.7273937547431473E-6</v>
      </c>
      <c r="T63" s="116">
        <f t="shared" si="61"/>
        <v>1.8513747856846312E-6</v>
      </c>
      <c r="U63" s="116">
        <f t="shared" si="61"/>
        <v>1.9842543645056048E-6</v>
      </c>
      <c r="V63" s="116">
        <f t="shared" si="61"/>
        <v>2.1266711707989242E-6</v>
      </c>
      <c r="W63" s="116">
        <f t="shared" si="61"/>
        <v>2.2793097244032754E-6</v>
      </c>
      <c r="X63" s="178">
        <f t="shared" si="47"/>
        <v>2.4429036755163439E-6</v>
      </c>
      <c r="Y63" s="173">
        <f t="shared" si="55"/>
        <v>2.5439904042073291E-6</v>
      </c>
      <c r="Z63" s="173">
        <f t="shared" si="55"/>
        <v>2.6492600758525775E-6</v>
      </c>
      <c r="AA63" s="173">
        <f t="shared" si="55"/>
        <v>2.7588857795606716E-6</v>
      </c>
      <c r="AB63" s="173">
        <f t="shared" si="55"/>
        <v>2.8730477668231946E-6</v>
      </c>
      <c r="AC63" s="173">
        <f t="shared" si="55"/>
        <v>2.9919337478923054E-6</v>
      </c>
      <c r="AD63" s="173">
        <f t="shared" si="55"/>
        <v>3.1157392004223425E-6</v>
      </c>
      <c r="AE63" s="173">
        <f t="shared" si="55"/>
        <v>3.2446676908829373E-6</v>
      </c>
      <c r="AF63" s="173">
        <f t="shared" si="55"/>
        <v>3.3789312092721195E-6</v>
      </c>
      <c r="AG63" s="173">
        <f t="shared" si="55"/>
        <v>3.518750517679766E-6</v>
      </c>
      <c r="AH63" s="178">
        <f t="shared" si="49"/>
        <v>3.6643555132745152E-6</v>
      </c>
      <c r="AI63" s="127"/>
    </row>
    <row r="64" spans="1:35">
      <c r="A64" s="9" t="s">
        <v>344</v>
      </c>
      <c r="B64" s="37"/>
      <c r="C64" s="336">
        <f t="shared" si="50"/>
        <v>1.1140075306909077E-7</v>
      </c>
      <c r="D64" s="336">
        <f t="shared" ref="D64:N64" si="62">C64*($N77)</f>
        <v>1.1331196027583849E-7</v>
      </c>
      <c r="E64" s="336">
        <f t="shared" si="62"/>
        <v>1.1525595642598644E-7</v>
      </c>
      <c r="F64" s="336">
        <f t="shared" si="62"/>
        <v>1.1723330405132369E-7</v>
      </c>
      <c r="G64" s="336">
        <f t="shared" si="62"/>
        <v>1.1924457533451491E-7</v>
      </c>
      <c r="H64" s="396">
        <f t="shared" si="53"/>
        <v>1.1029367060032952E-7</v>
      </c>
      <c r="I64" s="116">
        <f t="shared" si="62"/>
        <v>1.1218588454235983E-7</v>
      </c>
      <c r="J64" s="116">
        <f t="shared" si="62"/>
        <v>1.141105615766322E-7</v>
      </c>
      <c r="K64" s="116">
        <f t="shared" si="62"/>
        <v>1.1606825864458677E-7</v>
      </c>
      <c r="L64" s="116">
        <f t="shared" si="62"/>
        <v>1.1805954224263044E-7</v>
      </c>
      <c r="M64" s="116">
        <f t="shared" si="62"/>
        <v>1.2008498858606325E-7</v>
      </c>
      <c r="N64" s="178">
        <f t="shared" si="62"/>
        <v>1.2214518377581716E-7</v>
      </c>
      <c r="O64" s="116">
        <f t="shared" ref="O64:W64" si="63">N64*$X77</f>
        <v>1.3091196654753942E-7</v>
      </c>
      <c r="P64" s="116">
        <f t="shared" si="63"/>
        <v>1.403079716740917E-7</v>
      </c>
      <c r="Q64" s="116">
        <f t="shared" si="63"/>
        <v>1.503783606225854E-7</v>
      </c>
      <c r="R64" s="116">
        <f t="shared" si="63"/>
        <v>1.6117153625499971E-7</v>
      </c>
      <c r="S64" s="116">
        <f t="shared" si="63"/>
        <v>1.7273937547431474E-7</v>
      </c>
      <c r="T64" s="116">
        <f t="shared" si="63"/>
        <v>1.8513747856846315E-7</v>
      </c>
      <c r="U64" s="116">
        <f t="shared" si="63"/>
        <v>1.9842543645056051E-7</v>
      </c>
      <c r="V64" s="116">
        <f t="shared" si="63"/>
        <v>2.1266711707989242E-7</v>
      </c>
      <c r="W64" s="116">
        <f t="shared" si="63"/>
        <v>2.2793097244032755E-7</v>
      </c>
      <c r="X64" s="178">
        <f t="shared" si="47"/>
        <v>2.4429036755163442E-7</v>
      </c>
      <c r="Y64" s="173">
        <f t="shared" si="55"/>
        <v>2.5439904042073292E-7</v>
      </c>
      <c r="Z64" s="173">
        <f t="shared" si="55"/>
        <v>2.6492600758525778E-7</v>
      </c>
      <c r="AA64" s="173">
        <f t="shared" si="55"/>
        <v>2.758885779560672E-7</v>
      </c>
      <c r="AB64" s="173">
        <f t="shared" si="55"/>
        <v>2.873047766823195E-7</v>
      </c>
      <c r="AC64" s="173">
        <f t="shared" si="55"/>
        <v>2.991933747892306E-7</v>
      </c>
      <c r="AD64" s="173">
        <f t="shared" si="55"/>
        <v>3.1157392004223434E-7</v>
      </c>
      <c r="AE64" s="173">
        <f t="shared" si="55"/>
        <v>3.2446676908829384E-7</v>
      </c>
      <c r="AF64" s="173">
        <f t="shared" si="55"/>
        <v>3.3789312092721203E-7</v>
      </c>
      <c r="AG64" s="173">
        <f t="shared" si="55"/>
        <v>3.5187505176797671E-7</v>
      </c>
      <c r="AH64" s="178">
        <f t="shared" si="49"/>
        <v>3.6643555132745161E-7</v>
      </c>
      <c r="AI64" s="127"/>
    </row>
    <row r="65" spans="1:35">
      <c r="A65" s="9" t="s">
        <v>120</v>
      </c>
      <c r="B65" s="37"/>
      <c r="C65" s="336">
        <f t="shared" si="50"/>
        <v>0</v>
      </c>
      <c r="D65" s="336">
        <v>0</v>
      </c>
      <c r="E65" s="336">
        <v>0</v>
      </c>
      <c r="F65" s="336">
        <v>0</v>
      </c>
      <c r="G65" s="336">
        <v>0</v>
      </c>
      <c r="H65" s="396">
        <f t="shared" si="53"/>
        <v>1.1029367060032951E-5</v>
      </c>
      <c r="I65" s="173">
        <v>0</v>
      </c>
      <c r="J65" s="173">
        <v>0</v>
      </c>
      <c r="K65" s="173">
        <v>0</v>
      </c>
      <c r="L65" s="173">
        <v>0</v>
      </c>
      <c r="M65" s="173">
        <v>0</v>
      </c>
      <c r="N65" s="178">
        <v>0</v>
      </c>
      <c r="O65" s="116">
        <f t="shared" ref="O65:AG65" si="64">O41/O$49</f>
        <v>7.7955057656724211E-5</v>
      </c>
      <c r="P65" s="116">
        <f t="shared" si="64"/>
        <v>8.6406047699547775E-5</v>
      </c>
      <c r="Q65" s="116">
        <f t="shared" si="64"/>
        <v>9.3529137905078584E-5</v>
      </c>
      <c r="R65" s="116">
        <f t="shared" si="64"/>
        <v>1.0113340488200857E-4</v>
      </c>
      <c r="S65" s="116">
        <f t="shared" si="64"/>
        <v>1.0867957404904417E-4</v>
      </c>
      <c r="T65" s="116">
        <f t="shared" si="64"/>
        <v>1.165035691941352E-4</v>
      </c>
      <c r="U65" s="116">
        <f t="shared" si="64"/>
        <v>1.2423579896908094E-4</v>
      </c>
      <c r="V65" s="116">
        <f t="shared" si="64"/>
        <v>1.3163849218311588E-4</v>
      </c>
      <c r="W65" s="116">
        <f t="shared" si="64"/>
        <v>1.389046034930405E-4</v>
      </c>
      <c r="X65" s="178">
        <f t="shared" si="47"/>
        <v>1.4612792443938682E-4</v>
      </c>
      <c r="Y65" s="173">
        <f t="shared" si="64"/>
        <v>1.5403563730152293E-4</v>
      </c>
      <c r="Z65" s="173">
        <f t="shared" si="64"/>
        <v>1.6149641361999916E-4</v>
      </c>
      <c r="AA65" s="173">
        <f t="shared" si="64"/>
        <v>1.6913764638229947E-4</v>
      </c>
      <c r="AB65" s="173">
        <f t="shared" si="64"/>
        <v>1.763764443977591E-4</v>
      </c>
      <c r="AC65" s="173">
        <f t="shared" si="64"/>
        <v>1.8289958621467919E-4</v>
      </c>
      <c r="AD65" s="173">
        <f t="shared" si="64"/>
        <v>1.8942185969384205E-4</v>
      </c>
      <c r="AE65" s="173">
        <f t="shared" si="64"/>
        <v>1.9486404822618335E-4</v>
      </c>
      <c r="AF65" s="173">
        <f t="shared" si="64"/>
        <v>1.998337309425975E-4</v>
      </c>
      <c r="AG65" s="173">
        <f t="shared" si="64"/>
        <v>2.0526341737151736E-4</v>
      </c>
      <c r="AH65" s="178">
        <f t="shared" si="49"/>
        <v>2.1109646369890929E-4</v>
      </c>
      <c r="AI65" s="127"/>
    </row>
    <row r="66" spans="1:35">
      <c r="A66" s="9" t="s">
        <v>53</v>
      </c>
      <c r="B66" s="37"/>
      <c r="C66" s="336">
        <f>C42/C$49</f>
        <v>0</v>
      </c>
      <c r="D66" s="336">
        <f t="shared" ref="D66:N66" si="65">C66*($N79)</f>
        <v>0</v>
      </c>
      <c r="E66" s="336">
        <f t="shared" si="65"/>
        <v>0</v>
      </c>
      <c r="F66" s="336">
        <f t="shared" si="65"/>
        <v>0</v>
      </c>
      <c r="G66" s="336">
        <f t="shared" si="65"/>
        <v>0</v>
      </c>
      <c r="H66" s="396">
        <f t="shared" si="53"/>
        <v>5.1882973161734625E-8</v>
      </c>
      <c r="I66" s="116">
        <f t="shared" si="65"/>
        <v>5.6031207798556766E-8</v>
      </c>
      <c r="J66" s="116">
        <f t="shared" si="65"/>
        <v>6.0511109060352173E-8</v>
      </c>
      <c r="K66" s="116">
        <f t="shared" si="65"/>
        <v>6.5349194914341098E-8</v>
      </c>
      <c r="L66" s="116">
        <f t="shared" si="65"/>
        <v>7.0574103536810793E-8</v>
      </c>
      <c r="M66" s="116">
        <f t="shared" si="65"/>
        <v>7.6216762831632959E-8</v>
      </c>
      <c r="N66" s="178">
        <f t="shared" si="65"/>
        <v>8.2310573502410407E-8</v>
      </c>
      <c r="O66" s="116">
        <f t="shared" ref="O66:W66" si="66">N66*$X79</f>
        <v>8.8218288366026457E-8</v>
      </c>
      <c r="P66" s="116">
        <f t="shared" si="66"/>
        <v>9.4550020381081356E-8</v>
      </c>
      <c r="Q66" s="116">
        <f t="shared" si="66"/>
        <v>1.0133620272670865E-7</v>
      </c>
      <c r="R66" s="116">
        <f t="shared" si="66"/>
        <v>1.0860945287668429E-7</v>
      </c>
      <c r="S66" s="116">
        <f t="shared" si="66"/>
        <v>1.1640472937381628E-7</v>
      </c>
      <c r="T66" s="116">
        <f t="shared" si="66"/>
        <v>1.2475949985657522E-7</v>
      </c>
      <c r="U66" s="116">
        <f t="shared" si="66"/>
        <v>1.3371392114557779E-7</v>
      </c>
      <c r="V66" s="116">
        <f t="shared" si="66"/>
        <v>1.4331103225550075E-7</v>
      </c>
      <c r="W66" s="116">
        <f t="shared" si="66"/>
        <v>1.5359696126012844E-7</v>
      </c>
      <c r="X66" s="178">
        <f t="shared" si="47"/>
        <v>1.6462114700482089E-7</v>
      </c>
      <c r="Y66" s="173">
        <f t="shared" si="55"/>
        <v>1.7143312792361739E-7</v>
      </c>
      <c r="Z66" s="173">
        <f t="shared" si="55"/>
        <v>1.7852698686891485E-7</v>
      </c>
      <c r="AA66" s="173">
        <f t="shared" si="55"/>
        <v>1.8591438788128699E-7</v>
      </c>
      <c r="AB66" s="173">
        <f t="shared" si="55"/>
        <v>1.9360747765632039E-7</v>
      </c>
      <c r="AC66" s="173">
        <f t="shared" si="55"/>
        <v>2.0161890551675529E-7</v>
      </c>
      <c r="AD66" s="173">
        <f t="shared" si="55"/>
        <v>2.0996184421106865E-7</v>
      </c>
      <c r="AE66" s="173">
        <f t="shared" si="55"/>
        <v>2.1865001157269706E-7</v>
      </c>
      <c r="AF66" s="173">
        <f t="shared" si="55"/>
        <v>2.2769769307551288E-7</v>
      </c>
      <c r="AG66" s="173">
        <f t="shared" si="55"/>
        <v>2.3711976532264011E-7</v>
      </c>
      <c r="AH66" s="178">
        <f t="shared" si="49"/>
        <v>2.4693172050723133E-7</v>
      </c>
      <c r="AI66" s="127"/>
    </row>
    <row r="67" spans="1:35" s="1" customFormat="1">
      <c r="A67" s="11" t="s">
        <v>541</v>
      </c>
      <c r="B67" s="36"/>
      <c r="C67" s="340">
        <f t="shared" ref="C67:AG67" si="67">SUM(C58:C66)</f>
        <v>2.558886438072322E-2</v>
      </c>
      <c r="D67" s="340">
        <f t="shared" si="67"/>
        <v>2.7384258680572059E-2</v>
      </c>
      <c r="E67" s="340">
        <f t="shared" si="67"/>
        <v>2.9305623740728898E-2</v>
      </c>
      <c r="F67" s="340">
        <f t="shared" si="67"/>
        <v>3.1361798088805889E-2</v>
      </c>
      <c r="G67" s="340">
        <f t="shared" si="67"/>
        <v>3.3562240393007835E-2</v>
      </c>
      <c r="H67" s="403">
        <f t="shared" si="67"/>
        <v>3.3298544347678365E-2</v>
      </c>
      <c r="I67" s="85">
        <f t="shared" si="67"/>
        <v>3.5622895940013707E-2</v>
      </c>
      <c r="J67" s="85">
        <f t="shared" si="67"/>
        <v>3.8122131895949284E-2</v>
      </c>
      <c r="K67" s="85">
        <f t="shared" si="67"/>
        <v>4.0796719409470376E-2</v>
      </c>
      <c r="L67" s="85">
        <f t="shared" si="67"/>
        <v>4.3658961677969836E-2</v>
      </c>
      <c r="M67" s="85">
        <f t="shared" si="67"/>
        <v>4.6722025131488147E-2</v>
      </c>
      <c r="N67" s="183">
        <f>SUM(N58:N66)</f>
        <v>5.0000000000000031E-2</v>
      </c>
      <c r="O67" s="85">
        <f t="shared" si="67"/>
        <v>5.3666628184471425E-2</v>
      </c>
      <c r="P67" s="85">
        <f t="shared" si="67"/>
        <v>5.7521323797551344E-2</v>
      </c>
      <c r="Q67" s="85">
        <f t="shared" si="67"/>
        <v>6.1650749805150937E-2</v>
      </c>
      <c r="R67" s="85">
        <f t="shared" si="67"/>
        <v>6.6076528943526766E-2</v>
      </c>
      <c r="S67" s="85">
        <f t="shared" si="67"/>
        <v>7.0819357692703852E-2</v>
      </c>
      <c r="T67" s="85">
        <f t="shared" si="67"/>
        <v>7.5902331894714112E-2</v>
      </c>
      <c r="U67" s="85">
        <f t="shared" si="67"/>
        <v>8.1349475434592713E-2</v>
      </c>
      <c r="V67" s="85">
        <f t="shared" si="67"/>
        <v>8.7186694821795599E-2</v>
      </c>
      <c r="W67" s="85">
        <f t="shared" si="67"/>
        <v>9.3442203757173853E-2</v>
      </c>
      <c r="X67" s="183">
        <f t="shared" si="67"/>
        <v>0.10014612792443939</v>
      </c>
      <c r="Y67" s="85">
        <f t="shared" si="67"/>
        <v>0.10429201003654261</v>
      </c>
      <c r="Z67" s="85">
        <f t="shared" si="67"/>
        <v>0.10860867353338989</v>
      </c>
      <c r="AA67" s="85">
        <f t="shared" si="67"/>
        <v>0.11310383119206786</v>
      </c>
      <c r="AB67" s="85">
        <f t="shared" si="67"/>
        <v>0.11778427869686514</v>
      </c>
      <c r="AC67" s="85">
        <f t="shared" si="67"/>
        <v>0.12265738672537362</v>
      </c>
      <c r="AD67" s="85">
        <f t="shared" si="67"/>
        <v>0.12773187192227298</v>
      </c>
      <c r="AE67" s="85">
        <f t="shared" si="67"/>
        <v>0.13301498804255965</v>
      </c>
      <c r="AF67" s="85">
        <f t="shared" si="67"/>
        <v>0.13851602045320183</v>
      </c>
      <c r="AG67" s="85">
        <f t="shared" si="67"/>
        <v>0.14424493853620429</v>
      </c>
      <c r="AH67" s="183">
        <f>SUM(AH58:AH66)</f>
        <v>0.1502110964636989</v>
      </c>
      <c r="AI67" s="196"/>
    </row>
    <row r="68" spans="1:35" s="252" customFormat="1">
      <c r="A68" s="10" t="s">
        <v>549</v>
      </c>
      <c r="B68" s="37"/>
      <c r="C68" s="332"/>
      <c r="D68" s="332">
        <f>D67/C67-1</f>
        <v>7.0163109747119368E-2</v>
      </c>
      <c r="E68" s="332">
        <f t="shared" ref="E68:W68" si="68">E67/D67-1</f>
        <v>7.0163121177348575E-2</v>
      </c>
      <c r="F68" s="332">
        <f t="shared" si="68"/>
        <v>7.0163132041421994E-2</v>
      </c>
      <c r="G68" s="332">
        <f t="shared" si="68"/>
        <v>7.0163142367380971E-2</v>
      </c>
      <c r="H68" s="284"/>
      <c r="I68" s="284">
        <f t="shared" si="68"/>
        <v>6.9803399453928439E-2</v>
      </c>
      <c r="J68" s="284">
        <f t="shared" si="68"/>
        <v>7.0158135378552755E-2</v>
      </c>
      <c r="K68" s="284">
        <f t="shared" si="68"/>
        <v>7.0158393051603873E-2</v>
      </c>
      <c r="L68" s="284">
        <f t="shared" si="68"/>
        <v>7.0158637996638351E-2</v>
      </c>
      <c r="M68" s="284">
        <f t="shared" si="68"/>
        <v>7.0158870843323839E-2</v>
      </c>
      <c r="N68" s="283">
        <f t="shared" si="68"/>
        <v>7.0159092190177796E-2</v>
      </c>
      <c r="O68" s="284">
        <f t="shared" si="68"/>
        <v>7.3332563689427754E-2</v>
      </c>
      <c r="P68" s="284">
        <f t="shared" si="68"/>
        <v>7.1826677834686103E-2</v>
      </c>
      <c r="Q68" s="284">
        <f t="shared" si="68"/>
        <v>7.1789481447493753E-2</v>
      </c>
      <c r="R68" s="284">
        <f t="shared" si="68"/>
        <v>7.1787920704348807E-2</v>
      </c>
      <c r="S68" s="284">
        <f t="shared" si="68"/>
        <v>7.177781316616394E-2</v>
      </c>
      <c r="T68" s="284">
        <f t="shared" si="68"/>
        <v>7.1773796990168615E-2</v>
      </c>
      <c r="U68" s="284">
        <f t="shared" si="68"/>
        <v>7.1765167207701319E-2</v>
      </c>
      <c r="V68" s="284">
        <f t="shared" si="68"/>
        <v>7.1754849751872962E-2</v>
      </c>
      <c r="W68" s="284">
        <f t="shared" si="68"/>
        <v>7.1748435333672589E-2</v>
      </c>
      <c r="X68" s="284">
        <f>X67/W67-1</f>
        <v>7.1744071711823842E-2</v>
      </c>
      <c r="Y68" s="289">
        <f t="shared" ref="Y68:AG68" si="69">Y67/X67-1</f>
        <v>4.1398326605610825E-2</v>
      </c>
      <c r="Z68" s="289">
        <f t="shared" si="69"/>
        <v>4.1390164935307894E-2</v>
      </c>
      <c r="AA68" s="289">
        <f t="shared" si="69"/>
        <v>4.1388569737904168E-2</v>
      </c>
      <c r="AB68" s="289">
        <f t="shared" si="69"/>
        <v>4.1381865277836161E-2</v>
      </c>
      <c r="AC68" s="289">
        <f t="shared" si="69"/>
        <v>4.1373161872053643E-2</v>
      </c>
      <c r="AD68" s="289">
        <f t="shared" si="69"/>
        <v>4.1371215646889503E-2</v>
      </c>
      <c r="AE68" s="289">
        <f t="shared" si="69"/>
        <v>4.1360985639524284E-2</v>
      </c>
      <c r="AF68" s="289">
        <f t="shared" si="69"/>
        <v>4.1356485397585852E-2</v>
      </c>
      <c r="AG68" s="289">
        <f t="shared" si="69"/>
        <v>4.1359245409003043E-2</v>
      </c>
      <c r="AH68" s="283">
        <f>AH67/AG67-1</f>
        <v>4.1361298275274683E-2</v>
      </c>
      <c r="AI68" s="292"/>
    </row>
    <row r="69" spans="1:35">
      <c r="A69" s="10"/>
      <c r="B69" s="37"/>
      <c r="C69" s="332"/>
      <c r="D69" s="332"/>
      <c r="E69" s="332"/>
      <c r="F69" s="332"/>
      <c r="G69" s="332"/>
      <c r="H69" s="284"/>
      <c r="I69" s="164"/>
      <c r="J69" s="164"/>
      <c r="K69" s="164"/>
      <c r="L69" s="164"/>
      <c r="M69" s="164"/>
      <c r="N69" s="185"/>
      <c r="O69" s="164"/>
      <c r="P69" s="164"/>
      <c r="Q69" s="164"/>
      <c r="R69" s="164"/>
      <c r="S69" s="164"/>
      <c r="T69" s="164"/>
      <c r="U69" s="164"/>
      <c r="V69" s="164"/>
      <c r="W69" s="164"/>
      <c r="X69" s="185"/>
      <c r="Y69" s="20"/>
      <c r="Z69" s="20"/>
      <c r="AA69" s="20"/>
      <c r="AB69" s="20"/>
      <c r="AC69" s="20"/>
      <c r="AD69" s="20"/>
      <c r="AE69" s="20"/>
      <c r="AF69" s="20"/>
      <c r="AG69" s="20"/>
      <c r="AH69" s="279"/>
      <c r="AI69" s="127"/>
    </row>
    <row r="70" spans="1:35">
      <c r="A70" s="11" t="s">
        <v>546</v>
      </c>
      <c r="B70" s="37"/>
      <c r="C70" s="332"/>
      <c r="D70" s="332"/>
      <c r="E70" s="332"/>
      <c r="F70" s="332"/>
      <c r="G70" s="332"/>
      <c r="H70" s="284"/>
      <c r="I70" s="164"/>
      <c r="J70" s="164"/>
      <c r="K70" s="164"/>
      <c r="L70" s="164"/>
      <c r="M70" s="164"/>
      <c r="N70" s="199" t="s">
        <v>712</v>
      </c>
      <c r="O70" s="164"/>
      <c r="P70" s="164"/>
      <c r="Q70" s="164"/>
      <c r="R70" s="164"/>
      <c r="S70" s="164"/>
      <c r="T70" s="164"/>
      <c r="U70" s="164"/>
      <c r="V70" s="164"/>
      <c r="W70" s="164"/>
      <c r="X70" s="199" t="s">
        <v>547</v>
      </c>
      <c r="Y70" s="20"/>
      <c r="Z70" s="20"/>
      <c r="AA70" s="20"/>
      <c r="AB70" s="20"/>
      <c r="AC70" s="20"/>
      <c r="AD70" s="20"/>
      <c r="AE70" s="20"/>
      <c r="AF70" s="20"/>
      <c r="AG70" s="20"/>
      <c r="AH70" s="279" t="s">
        <v>709</v>
      </c>
      <c r="AI70" s="127"/>
    </row>
    <row r="71" spans="1:35">
      <c r="A71" s="9" t="s">
        <v>121</v>
      </c>
      <c r="B71" s="37"/>
      <c r="C71" s="332"/>
      <c r="D71" s="332"/>
      <c r="E71" s="332"/>
      <c r="F71" s="332"/>
      <c r="G71" s="332"/>
      <c r="H71" s="284"/>
      <c r="I71" s="164"/>
      <c r="J71" s="164"/>
      <c r="K71" s="395"/>
      <c r="L71" s="395"/>
      <c r="M71" s="164"/>
      <c r="N71" s="186">
        <f>(N86/H86)^(1/6)</f>
        <v>1.0701633405131932</v>
      </c>
      <c r="O71" s="164"/>
      <c r="P71" s="164"/>
      <c r="Q71" s="164"/>
      <c r="R71" s="164"/>
      <c r="S71" s="164"/>
      <c r="T71" s="164"/>
      <c r="U71" s="164"/>
      <c r="V71" s="164"/>
      <c r="W71" s="164"/>
      <c r="X71" s="186">
        <f>(X86/N86)^(1/10)</f>
        <v>1.0717734625362931</v>
      </c>
      <c r="Y71" s="20"/>
      <c r="Z71" s="20"/>
      <c r="AA71" s="20"/>
      <c r="AB71" s="20"/>
      <c r="AC71" s="20"/>
      <c r="AD71" s="20"/>
      <c r="AE71" s="20"/>
      <c r="AF71" s="20"/>
      <c r="AG71" s="20"/>
      <c r="AH71" s="186">
        <f>(AH86/X86)^(1/10)</f>
        <v>1.0413797439924106</v>
      </c>
      <c r="AI71" s="127"/>
    </row>
    <row r="72" spans="1:35">
      <c r="A72" s="9" t="s">
        <v>50</v>
      </c>
      <c r="B72" s="37"/>
      <c r="C72" s="332"/>
      <c r="D72" s="332"/>
      <c r="E72" s="332"/>
      <c r="F72" s="332"/>
      <c r="G72" s="332"/>
      <c r="H72" s="284"/>
      <c r="I72" s="164"/>
      <c r="J72" s="164"/>
      <c r="K72" s="395"/>
      <c r="L72" s="395"/>
      <c r="M72" s="164"/>
      <c r="N72" s="186">
        <f>(N87/H87)^(1/6)</f>
        <v>1.0479513780303364</v>
      </c>
      <c r="O72" s="164"/>
      <c r="P72" s="164"/>
      <c r="Q72" s="164"/>
      <c r="R72" s="164"/>
      <c r="S72" s="164"/>
      <c r="T72" s="164"/>
      <c r="U72" s="164"/>
      <c r="V72" s="164"/>
      <c r="W72" s="164"/>
      <c r="X72" s="186">
        <f>(X87/N87)^(1/10)</f>
        <v>1.0717734625362931</v>
      </c>
      <c r="Y72" s="20"/>
      <c r="Z72" s="20"/>
      <c r="AA72" s="20"/>
      <c r="AB72" s="20"/>
      <c r="AC72" s="20"/>
      <c r="AD72" s="20"/>
      <c r="AE72" s="20"/>
      <c r="AF72" s="20"/>
      <c r="AG72" s="20"/>
      <c r="AH72" s="186">
        <f>(AH87/X87)^(1/10)</f>
        <v>1.0413797439924106</v>
      </c>
      <c r="AI72" s="127"/>
    </row>
    <row r="73" spans="1:35">
      <c r="A73" s="9" t="s">
        <v>119</v>
      </c>
      <c r="B73" s="37"/>
      <c r="C73" s="332"/>
      <c r="D73" s="332"/>
      <c r="E73" s="332"/>
      <c r="F73" s="332"/>
      <c r="G73" s="332"/>
      <c r="H73" s="284"/>
      <c r="I73" s="164"/>
      <c r="J73" s="164"/>
      <c r="K73" s="395"/>
      <c r="L73" s="395"/>
      <c r="M73" s="164"/>
      <c r="N73" s="186"/>
      <c r="O73" s="164"/>
      <c r="P73" s="164"/>
      <c r="Q73" s="164"/>
      <c r="R73" s="164"/>
      <c r="S73" s="164"/>
      <c r="T73" s="164"/>
      <c r="U73" s="164"/>
      <c r="V73" s="164"/>
      <c r="W73" s="164"/>
      <c r="X73" s="186"/>
      <c r="AH73" s="186"/>
      <c r="AI73" s="127"/>
    </row>
    <row r="74" spans="1:35">
      <c r="A74" s="9" t="s">
        <v>51</v>
      </c>
      <c r="B74" s="37"/>
      <c r="C74" s="332"/>
      <c r="D74" s="332"/>
      <c r="E74" s="332"/>
      <c r="F74" s="332"/>
      <c r="G74" s="332"/>
      <c r="H74" s="284"/>
      <c r="I74" s="164"/>
      <c r="J74" s="164"/>
      <c r="K74" s="395"/>
      <c r="L74" s="395"/>
      <c r="M74" s="164"/>
      <c r="N74" s="179">
        <f>(N89/H89)^(1/6)</f>
        <v>1.0288392523148657</v>
      </c>
      <c r="O74" s="164"/>
      <c r="P74" s="164"/>
      <c r="Q74" s="164"/>
      <c r="R74" s="164"/>
      <c r="S74" s="164"/>
      <c r="T74" s="164"/>
      <c r="U74" s="164"/>
      <c r="V74" s="164"/>
      <c r="W74" s="164"/>
      <c r="X74" s="186">
        <f>(X89/N89)^(1/10)</f>
        <v>1.0717734625362931</v>
      </c>
      <c r="AH74" s="186">
        <f>(AH89/X89)^(1/10)</f>
        <v>1.0413797439924106</v>
      </c>
      <c r="AI74" s="127"/>
    </row>
    <row r="75" spans="1:35">
      <c r="A75" s="9" t="s">
        <v>347</v>
      </c>
      <c r="B75" s="37"/>
      <c r="C75" s="332"/>
      <c r="D75" s="332"/>
      <c r="E75" s="332"/>
      <c r="F75" s="332"/>
      <c r="G75" s="332"/>
      <c r="H75" s="284"/>
      <c r="I75" s="164"/>
      <c r="J75" s="164"/>
      <c r="K75" s="395"/>
      <c r="L75" s="395"/>
      <c r="M75" s="164"/>
      <c r="N75" s="179">
        <f>(N90/H90)^(1/6)</f>
        <v>1.0171561426120916</v>
      </c>
      <c r="O75" s="164"/>
      <c r="P75" s="164"/>
      <c r="Q75" s="164"/>
      <c r="R75" s="164"/>
      <c r="S75" s="164"/>
      <c r="T75" s="164"/>
      <c r="U75" s="164"/>
      <c r="V75" s="164"/>
      <c r="W75" s="164"/>
      <c r="X75" s="186">
        <f>(X90/N90)^(1/10)</f>
        <v>1.0717734625362931</v>
      </c>
      <c r="AH75" s="186">
        <f>(AH90/X90)^(1/10)</f>
        <v>1.0413797439924106</v>
      </c>
      <c r="AI75" s="127"/>
    </row>
    <row r="76" spans="1:35">
      <c r="A76" s="9" t="s">
        <v>348</v>
      </c>
      <c r="B76" s="37"/>
      <c r="C76" s="332"/>
      <c r="D76" s="332"/>
      <c r="E76" s="332"/>
      <c r="F76" s="332"/>
      <c r="G76" s="332"/>
      <c r="H76" s="284"/>
      <c r="I76" s="164"/>
      <c r="J76" s="164"/>
      <c r="K76" s="395"/>
      <c r="L76" s="395"/>
      <c r="M76" s="164"/>
      <c r="N76" s="179">
        <f>(N91/H91)^(1/6)</f>
        <v>1.0171561426120916</v>
      </c>
      <c r="O76" s="164"/>
      <c r="P76" s="164"/>
      <c r="Q76" s="164"/>
      <c r="R76" s="164"/>
      <c r="S76" s="164"/>
      <c r="T76" s="164"/>
      <c r="U76" s="164"/>
      <c r="V76" s="164"/>
      <c r="W76" s="164"/>
      <c r="X76" s="186">
        <f>(X91/N91)^(1/10)</f>
        <v>1.0717734625362931</v>
      </c>
      <c r="AH76" s="186">
        <f>(AH91/X91)^(1/10)</f>
        <v>1.0413797439924106</v>
      </c>
      <c r="AI76" s="127"/>
    </row>
    <row r="77" spans="1:35">
      <c r="A77" s="9" t="s">
        <v>344</v>
      </c>
      <c r="B77" s="37"/>
      <c r="C77" s="332"/>
      <c r="D77" s="332"/>
      <c r="E77" s="332"/>
      <c r="F77" s="332"/>
      <c r="G77" s="332"/>
      <c r="H77" s="284"/>
      <c r="I77" s="164"/>
      <c r="J77" s="164"/>
      <c r="K77" s="395"/>
      <c r="L77" s="395"/>
      <c r="M77" s="164"/>
      <c r="N77" s="179">
        <f>(N92/H92)^(1/6)</f>
        <v>1.0171561426120916</v>
      </c>
      <c r="O77" s="164"/>
      <c r="P77" s="164"/>
      <c r="Q77" s="164"/>
      <c r="R77" s="164"/>
      <c r="S77" s="164"/>
      <c r="T77" s="164"/>
      <c r="U77" s="164"/>
      <c r="V77" s="164"/>
      <c r="W77" s="164"/>
      <c r="X77" s="186">
        <f>(X92/N92)^(1/10)</f>
        <v>1.0717734625362931</v>
      </c>
      <c r="AH77" s="186">
        <f>(AH92/X92)^(1/10)</f>
        <v>1.0413797439924106</v>
      </c>
      <c r="AI77" s="127"/>
    </row>
    <row r="78" spans="1:35">
      <c r="A78" s="9" t="s">
        <v>120</v>
      </c>
      <c r="B78" s="37"/>
      <c r="C78" s="332"/>
      <c r="D78" s="332"/>
      <c r="E78" s="332"/>
      <c r="F78" s="332"/>
      <c r="G78" s="332"/>
      <c r="H78" s="284"/>
      <c r="I78" s="164"/>
      <c r="J78" s="164"/>
      <c r="K78" s="395"/>
      <c r="L78" s="395"/>
      <c r="M78" s="164"/>
      <c r="N78" s="186">
        <f t="shared" ref="N78:N79" si="70">(N93/H93)^(1/6)</f>
        <v>1.3577305352086078</v>
      </c>
      <c r="O78" s="164"/>
      <c r="P78" s="164"/>
      <c r="Q78" s="164"/>
      <c r="R78" s="164"/>
      <c r="S78" s="164"/>
      <c r="T78" s="164"/>
      <c r="U78" s="164"/>
      <c r="V78" s="164"/>
      <c r="W78" s="164"/>
      <c r="X78" s="186">
        <f t="shared" ref="X78:X79" si="71">(X93/N93)^(1/10)</f>
        <v>1.0777799777849024</v>
      </c>
      <c r="AH78" s="186">
        <f t="shared" ref="AH78:AH79" si="72">(AH93/X93)^(1/10)</f>
        <v>1.0374681532685568</v>
      </c>
      <c r="AI78" s="127"/>
    </row>
    <row r="79" spans="1:35">
      <c r="A79" s="9" t="s">
        <v>53</v>
      </c>
      <c r="B79" s="37"/>
      <c r="C79" s="332"/>
      <c r="D79" s="332"/>
      <c r="E79" s="332"/>
      <c r="F79" s="332"/>
      <c r="G79" s="332"/>
      <c r="H79" s="284"/>
      <c r="I79" s="164"/>
      <c r="J79" s="164"/>
      <c r="K79" s="395"/>
      <c r="L79" s="395"/>
      <c r="M79" s="164"/>
      <c r="N79" s="186">
        <f t="shared" si="70"/>
        <v>1.0799536800616816</v>
      </c>
      <c r="O79" s="164"/>
      <c r="P79" s="164"/>
      <c r="Q79" s="164"/>
      <c r="R79" s="164"/>
      <c r="S79" s="164"/>
      <c r="T79" s="164"/>
      <c r="U79" s="164"/>
      <c r="V79" s="164"/>
      <c r="W79" s="164"/>
      <c r="X79" s="186">
        <f t="shared" si="71"/>
        <v>1.0717734625362931</v>
      </c>
      <c r="AH79" s="186">
        <f t="shared" si="72"/>
        <v>1.0413797439924106</v>
      </c>
      <c r="AI79" s="127"/>
    </row>
    <row r="80" spans="1:35">
      <c r="A80" s="10"/>
      <c r="B80" s="37"/>
      <c r="C80" s="332"/>
      <c r="D80" s="332"/>
      <c r="E80" s="332"/>
      <c r="F80" s="332"/>
      <c r="G80" s="332"/>
      <c r="H80" s="284"/>
      <c r="I80" s="164"/>
      <c r="J80" s="164"/>
      <c r="K80" s="164"/>
      <c r="L80" s="164"/>
      <c r="M80" s="164"/>
      <c r="N80" s="180"/>
      <c r="O80" s="164"/>
      <c r="P80" s="164"/>
      <c r="Q80" s="164"/>
      <c r="R80" s="164"/>
      <c r="S80" s="164"/>
      <c r="T80" s="164"/>
      <c r="U80" s="164"/>
      <c r="V80" s="164"/>
      <c r="W80" s="164"/>
      <c r="X80" s="185"/>
      <c r="AI80" s="127"/>
    </row>
    <row r="81" spans="1:35">
      <c r="A81" s="1" t="s">
        <v>548</v>
      </c>
      <c r="B81" s="37"/>
      <c r="C81" s="332"/>
      <c r="D81" s="332"/>
      <c r="E81" s="332"/>
      <c r="F81" s="332"/>
      <c r="G81" s="332"/>
      <c r="H81" s="284"/>
      <c r="I81" s="164"/>
      <c r="J81" s="164"/>
      <c r="K81" s="164"/>
      <c r="L81" s="164"/>
      <c r="M81" s="164"/>
      <c r="N81" s="184" t="s">
        <v>0</v>
      </c>
      <c r="O81" s="164"/>
      <c r="P81" s="164"/>
      <c r="Q81" s="164"/>
      <c r="R81" s="164"/>
      <c r="S81" s="164"/>
      <c r="T81" s="164"/>
      <c r="U81" s="164"/>
      <c r="V81" s="164"/>
      <c r="W81" s="164"/>
      <c r="X81" s="185"/>
      <c r="AI81" s="127"/>
    </row>
    <row r="82" spans="1:35">
      <c r="A82" s="9" t="s">
        <v>282</v>
      </c>
      <c r="B82" s="37"/>
      <c r="C82" s="332"/>
      <c r="D82" s="332"/>
      <c r="E82" s="332"/>
      <c r="F82" s="332"/>
      <c r="G82" s="332"/>
      <c r="H82" s="284"/>
      <c r="I82" s="164"/>
      <c r="J82" s="164"/>
      <c r="K82" s="164"/>
      <c r="L82" s="164"/>
      <c r="M82" s="164"/>
      <c r="N82" s="185" t="s">
        <v>0</v>
      </c>
      <c r="O82" s="164"/>
      <c r="P82" s="164"/>
      <c r="Q82" s="164"/>
      <c r="R82" s="164"/>
      <c r="S82" s="164"/>
      <c r="T82" s="164"/>
      <c r="U82" s="164"/>
      <c r="V82" s="164"/>
      <c r="W82" s="164"/>
      <c r="X82" s="185"/>
      <c r="AI82" s="127"/>
    </row>
    <row r="83" spans="1:35">
      <c r="A83" s="20" t="s">
        <v>122</v>
      </c>
      <c r="B83" s="37"/>
      <c r="C83" s="332"/>
      <c r="D83" s="332"/>
      <c r="E83" s="332"/>
      <c r="F83" s="332"/>
      <c r="G83" s="332"/>
      <c r="H83" s="284"/>
      <c r="I83" s="164"/>
      <c r="J83" s="164"/>
      <c r="K83" s="164"/>
      <c r="L83" s="164"/>
      <c r="M83" s="164"/>
      <c r="N83" s="180"/>
      <c r="O83" s="164"/>
      <c r="P83" s="164"/>
      <c r="Q83" s="164"/>
      <c r="R83" s="164"/>
      <c r="S83" s="164"/>
      <c r="T83" s="164"/>
      <c r="U83" s="164"/>
      <c r="V83" s="164"/>
      <c r="W83" s="164"/>
      <c r="X83" s="185"/>
      <c r="AI83" s="127"/>
    </row>
    <row r="84" spans="1:35">
      <c r="A84" s="9" t="s">
        <v>49</v>
      </c>
      <c r="B84" s="37"/>
      <c r="C84" s="336">
        <f t="shared" ref="C84:AH84" si="73">C31/C$49</f>
        <v>1.3769021678586549E-2</v>
      </c>
      <c r="D84" s="336">
        <f t="shared" si="73"/>
        <v>1.3761387460574568E-2</v>
      </c>
      <c r="E84" s="336">
        <f t="shared" si="73"/>
        <v>1.3753753242562587E-2</v>
      </c>
      <c r="F84" s="336">
        <f t="shared" si="73"/>
        <v>1.3746119024550606E-2</v>
      </c>
      <c r="G84" s="336">
        <f t="shared" si="73"/>
        <v>1.3738484806538623E-2</v>
      </c>
      <c r="H84" s="396">
        <f t="shared" si="73"/>
        <v>1.4552900148822868E-2</v>
      </c>
      <c r="I84" s="116">
        <f t="shared" si="73"/>
        <v>1.4408257670761516E-2</v>
      </c>
      <c r="J84" s="116">
        <f t="shared" si="73"/>
        <v>1.4263615192700163E-2</v>
      </c>
      <c r="K84" s="116">
        <f t="shared" si="73"/>
        <v>1.4118972714638814E-2</v>
      </c>
      <c r="L84" s="116">
        <f t="shared" si="73"/>
        <v>1.3974330236577463E-2</v>
      </c>
      <c r="M84" s="116">
        <f t="shared" si="73"/>
        <v>1.3829687758516111E-2</v>
      </c>
      <c r="N84" s="178">
        <f t="shared" si="73"/>
        <v>1.3685045280454765E-2</v>
      </c>
      <c r="O84" s="116">
        <f t="shared" si="73"/>
        <v>1.351074662305347E-2</v>
      </c>
      <c r="P84" s="116">
        <f t="shared" si="73"/>
        <v>1.3336447965652179E-2</v>
      </c>
      <c r="Q84" s="116">
        <f t="shared" si="73"/>
        <v>1.3162149308250886E-2</v>
      </c>
      <c r="R84" s="116">
        <f t="shared" si="73"/>
        <v>1.2987850650849593E-2</v>
      </c>
      <c r="S84" s="116">
        <f t="shared" si="73"/>
        <v>1.28135519934483E-2</v>
      </c>
      <c r="T84" s="116">
        <f t="shared" si="73"/>
        <v>1.2639253336047008E-2</v>
      </c>
      <c r="U84" s="116">
        <f t="shared" si="73"/>
        <v>1.2464954678645713E-2</v>
      </c>
      <c r="V84" s="116">
        <f t="shared" si="73"/>
        <v>1.2290656021244422E-2</v>
      </c>
      <c r="W84" s="116">
        <f t="shared" si="73"/>
        <v>1.2116357363843129E-2</v>
      </c>
      <c r="X84" s="178">
        <f t="shared" si="73"/>
        <v>1.1942058706441841E-2</v>
      </c>
      <c r="Y84" s="173">
        <f t="shared" si="73"/>
        <v>1.1835094451387983E-2</v>
      </c>
      <c r="Z84" s="173">
        <f t="shared" si="73"/>
        <v>1.1728130196334126E-2</v>
      </c>
      <c r="AA84" s="173">
        <f t="shared" si="73"/>
        <v>1.1621165941280268E-2</v>
      </c>
      <c r="AB84" s="173">
        <f t="shared" si="73"/>
        <v>1.1514201686226411E-2</v>
      </c>
      <c r="AC84" s="173">
        <f t="shared" si="73"/>
        <v>1.1407237431172553E-2</v>
      </c>
      <c r="AD84" s="173">
        <f t="shared" si="73"/>
        <v>1.1300273176118696E-2</v>
      </c>
      <c r="AE84" s="173">
        <f t="shared" si="73"/>
        <v>1.1193308921064838E-2</v>
      </c>
      <c r="AF84" s="173">
        <f t="shared" si="73"/>
        <v>1.108634466601098E-2</v>
      </c>
      <c r="AG84" s="173">
        <f t="shared" si="73"/>
        <v>1.0979380410957123E-2</v>
      </c>
      <c r="AH84" s="178">
        <f t="shared" si="73"/>
        <v>1.0872416155903262E-2</v>
      </c>
      <c r="AI84" s="127"/>
    </row>
    <row r="85" spans="1:35">
      <c r="A85" s="9" t="s">
        <v>59</v>
      </c>
      <c r="B85" s="37"/>
      <c r="C85" s="336">
        <f t="shared" ref="C85:AH85" si="74">C32/C$49</f>
        <v>0.18695274380054813</v>
      </c>
      <c r="D85" s="336">
        <f t="shared" si="74"/>
        <v>0.18751506691075071</v>
      </c>
      <c r="E85" s="336">
        <f t="shared" si="74"/>
        <v>0.18807739002095328</v>
      </c>
      <c r="F85" s="336">
        <f t="shared" si="74"/>
        <v>0.18863971313115588</v>
      </c>
      <c r="G85" s="336">
        <f t="shared" si="74"/>
        <v>0.18920203624135845</v>
      </c>
      <c r="H85" s="396">
        <f t="shared" si="74"/>
        <v>0.18546198497014715</v>
      </c>
      <c r="I85" s="116">
        <f t="shared" si="74"/>
        <v>0.18674137047725201</v>
      </c>
      <c r="J85" s="116">
        <f t="shared" si="74"/>
        <v>0.18802075598435691</v>
      </c>
      <c r="K85" s="116">
        <f t="shared" si="74"/>
        <v>0.18930014149146179</v>
      </c>
      <c r="L85" s="116">
        <f t="shared" si="74"/>
        <v>0.19057952699856667</v>
      </c>
      <c r="M85" s="116">
        <f t="shared" si="74"/>
        <v>0.19185891250567155</v>
      </c>
      <c r="N85" s="178">
        <f t="shared" si="74"/>
        <v>0.19313829801277643</v>
      </c>
      <c r="O85" s="116">
        <f t="shared" si="74"/>
        <v>0.19067840508977113</v>
      </c>
      <c r="P85" s="116">
        <f t="shared" si="74"/>
        <v>0.18821851216676583</v>
      </c>
      <c r="Q85" s="116">
        <f t="shared" si="74"/>
        <v>0.18575861924376053</v>
      </c>
      <c r="R85" s="116">
        <f t="shared" si="74"/>
        <v>0.18329872632075522</v>
      </c>
      <c r="S85" s="116">
        <f t="shared" si="74"/>
        <v>0.18083883339774992</v>
      </c>
      <c r="T85" s="116">
        <f t="shared" si="74"/>
        <v>0.17837894047474462</v>
      </c>
      <c r="U85" s="116">
        <f t="shared" si="74"/>
        <v>0.17591904755173934</v>
      </c>
      <c r="V85" s="116">
        <f t="shared" si="74"/>
        <v>0.17345915462873401</v>
      </c>
      <c r="W85" s="116">
        <f t="shared" si="74"/>
        <v>0.17099926170572871</v>
      </c>
      <c r="X85" s="178">
        <f t="shared" si="74"/>
        <v>0.16853936878272355</v>
      </c>
      <c r="Y85" s="173">
        <f t="shared" si="74"/>
        <v>0.16702977244994327</v>
      </c>
      <c r="Z85" s="173">
        <f t="shared" si="74"/>
        <v>0.16552017611716299</v>
      </c>
      <c r="AA85" s="173">
        <f t="shared" si="74"/>
        <v>0.16401057978438272</v>
      </c>
      <c r="AB85" s="173">
        <f t="shared" si="74"/>
        <v>0.16250098345160244</v>
      </c>
      <c r="AC85" s="173">
        <f t="shared" si="74"/>
        <v>0.16099138711882216</v>
      </c>
      <c r="AD85" s="173">
        <f t="shared" si="74"/>
        <v>0.15948179078604188</v>
      </c>
      <c r="AE85" s="173">
        <f t="shared" si="74"/>
        <v>0.15797219445326161</v>
      </c>
      <c r="AF85" s="173">
        <f t="shared" si="74"/>
        <v>0.15646259812048133</v>
      </c>
      <c r="AG85" s="173">
        <f t="shared" si="74"/>
        <v>0.15495300178770105</v>
      </c>
      <c r="AH85" s="178">
        <f t="shared" si="74"/>
        <v>0.15344340545492072</v>
      </c>
      <c r="AI85" s="127"/>
    </row>
    <row r="86" spans="1:35" s="252" customFormat="1">
      <c r="A86" s="10" t="s">
        <v>121</v>
      </c>
      <c r="B86" s="37"/>
      <c r="C86" s="410">
        <f t="shared" ref="C86:AH86" si="75">C34/C$49</f>
        <v>2.5588752979970149E-2</v>
      </c>
      <c r="D86" s="336">
        <f t="shared" si="75"/>
        <v>2.7384145368611782E-2</v>
      </c>
      <c r="E86" s="336">
        <f t="shared" si="75"/>
        <v>2.9400871146011028E-2</v>
      </c>
      <c r="F86" s="336">
        <f t="shared" si="75"/>
        <v>3.1361680855501839E-2</v>
      </c>
      <c r="G86" s="336">
        <f t="shared" si="75"/>
        <v>3.3562121148432503E-2</v>
      </c>
      <c r="H86" s="409">
        <f t="shared" si="75"/>
        <v>3.3283985286245259E-2</v>
      </c>
      <c r="I86" s="396">
        <f t="shared" si="75"/>
        <v>3.5619300879520199E-2</v>
      </c>
      <c r="J86" s="396">
        <f t="shared" si="75"/>
        <v>3.8118470015971857E-2</v>
      </c>
      <c r="K86" s="396">
        <f t="shared" si="75"/>
        <v>4.0792989207544435E-2</v>
      </c>
      <c r="L86" s="396">
        <f t="shared" si="75"/>
        <v>4.3655161599864385E-2</v>
      </c>
      <c r="M86" s="396">
        <f t="shared" si="75"/>
        <v>4.6718153568354147E-2</v>
      </c>
      <c r="N86" s="397">
        <f>N34/N$49</f>
        <v>4.9996055285318218E-2</v>
      </c>
      <c r="O86" s="396">
        <f t="shared" si="75"/>
        <v>5.3584445286301463E-2</v>
      </c>
      <c r="P86" s="396">
        <f t="shared" si="75"/>
        <v>5.7430386462585879E-2</v>
      </c>
      <c r="Q86" s="396">
        <f t="shared" si="75"/>
        <v>6.1552364153803128E-2</v>
      </c>
      <c r="R86" s="396">
        <f t="shared" si="75"/>
        <v>6.5970190456416389E-2</v>
      </c>
      <c r="S86" s="396">
        <f t="shared" si="75"/>
        <v>7.0705099449652115E-2</v>
      </c>
      <c r="T86" s="396">
        <f t="shared" si="75"/>
        <v>7.5779849256126602E-2</v>
      </c>
      <c r="U86" s="396">
        <f t="shared" si="75"/>
        <v>8.1218831427717145E-2</v>
      </c>
      <c r="V86" s="396">
        <f t="shared" si="75"/>
        <v>8.7048188182435912E-2</v>
      </c>
      <c r="W86" s="396">
        <f t="shared" si="75"/>
        <v>9.3295938055800165E-2</v>
      </c>
      <c r="X86" s="397">
        <f t="shared" si="75"/>
        <v>9.9992110570636422E-2</v>
      </c>
      <c r="Y86" s="396">
        <f>Y34/Y$49</f>
        <v>0.10412975850731017</v>
      </c>
      <c r="Z86" s="396">
        <f t="shared" si="75"/>
        <v>0.10843862125633422</v>
      </c>
      <c r="AA86" s="396">
        <f t="shared" si="75"/>
        <v>0.11292578364281128</v>
      </c>
      <c r="AB86" s="396">
        <f t="shared" si="75"/>
        <v>0.11759862366009317</v>
      </c>
      <c r="AC86" s="396">
        <f t="shared" si="75"/>
        <v>0.12246482460100767</v>
      </c>
      <c r="AD86" s="396">
        <f t="shared" si="75"/>
        <v>0.12753238769107283</v>
      </c>
      <c r="AE86" s="396">
        <f t="shared" si="75"/>
        <v>0.13280964524447028</v>
      </c>
      <c r="AF86" s="396">
        <f t="shared" si="75"/>
        <v>0.13830527436440934</v>
      </c>
      <c r="AG86" s="396">
        <f t="shared" si="75"/>
        <v>0.14402831121040871</v>
      </c>
      <c r="AH86" s="397">
        <f t="shared" si="75"/>
        <v>0.14998816585595462</v>
      </c>
      <c r="AI86" s="292"/>
    </row>
    <row r="87" spans="1:35">
      <c r="A87" s="9" t="s">
        <v>50</v>
      </c>
      <c r="B87" s="37"/>
      <c r="C87" s="410">
        <f t="shared" ref="C87:AH87" si="76">C35/C$49</f>
        <v>0</v>
      </c>
      <c r="D87" s="336">
        <f t="shared" si="76"/>
        <v>0</v>
      </c>
      <c r="E87" s="336">
        <f t="shared" si="76"/>
        <v>4.3014312635951487E-8</v>
      </c>
      <c r="F87" s="336">
        <f t="shared" si="76"/>
        <v>3.854918721368081E-8</v>
      </c>
      <c r="G87" s="336">
        <f t="shared" si="76"/>
        <v>4.459301987762921E-8</v>
      </c>
      <c r="H87" s="409">
        <f t="shared" si="76"/>
        <v>4.5320441305369595E-8</v>
      </c>
      <c r="I87" s="116">
        <f t="shared" si="76"/>
        <v>4.7493618918905055E-8</v>
      </c>
      <c r="J87" s="116">
        <f>J35/J$49</f>
        <v>4.9771003393714202E-8</v>
      </c>
      <c r="K87" s="116">
        <f t="shared" si="76"/>
        <v>5.215759159239535E-8</v>
      </c>
      <c r="L87" s="116">
        <f t="shared" si="76"/>
        <v>5.4658619983994192E-8</v>
      </c>
      <c r="M87" s="116">
        <f t="shared" si="76"/>
        <v>5.7279576133463214E-8</v>
      </c>
      <c r="N87" s="178">
        <f t="shared" si="76"/>
        <v>6.0026210742056321E-8</v>
      </c>
      <c r="O87" s="116">
        <f t="shared" si="76"/>
        <v>6.4334499729946957E-8</v>
      </c>
      <c r="P87" s="116">
        <f t="shared" si="76"/>
        <v>6.895200953610547E-8</v>
      </c>
      <c r="Q87" s="116">
        <f t="shared" si="76"/>
        <v>7.3900934009347267E-8</v>
      </c>
      <c r="R87" s="116">
        <f t="shared" si="76"/>
        <v>7.9205059927864219E-8</v>
      </c>
      <c r="S87" s="116">
        <f t="shared" si="76"/>
        <v>8.4889881329281629E-8</v>
      </c>
      <c r="T87" s="116">
        <f t="shared" si="76"/>
        <v>9.0982722046579188E-8</v>
      </c>
      <c r="U87" s="116">
        <f t="shared" si="76"/>
        <v>9.7512867038839308E-8</v>
      </c>
      <c r="V87" s="116">
        <f t="shared" si="76"/>
        <v>1.0451170314805797E-7</v>
      </c>
      <c r="W87" s="116">
        <f t="shared" si="76"/>
        <v>1.120128699585593E-7</v>
      </c>
      <c r="X87" s="178">
        <f t="shared" si="76"/>
        <v>1.2005242148411264E-7</v>
      </c>
      <c r="Y87" s="173">
        <f t="shared" si="76"/>
        <v>1.250201599507942E-7</v>
      </c>
      <c r="Z87" s="173">
        <f t="shared" si="76"/>
        <v>1.3019346216344828E-7</v>
      </c>
      <c r="AA87" s="173">
        <f t="shared" si="76"/>
        <v>1.3558083429725738E-7</v>
      </c>
      <c r="AB87" s="173">
        <f t="shared" si="76"/>
        <v>1.4119113451075533E-7</v>
      </c>
      <c r="AC87" s="173">
        <f t="shared" si="76"/>
        <v>1.4703358751080841E-7</v>
      </c>
      <c r="AD87" s="173">
        <f t="shared" si="76"/>
        <v>1.5311779972029137E-7</v>
      </c>
      <c r="AE87" s="173">
        <f t="shared" si="76"/>
        <v>1.5945377507339823E-7</v>
      </c>
      <c r="AF87" s="173">
        <f t="shared" si="76"/>
        <v>1.6605193146455887E-7</v>
      </c>
      <c r="AG87" s="173">
        <f t="shared" si="76"/>
        <v>1.7292311787800764E-7</v>
      </c>
      <c r="AH87" s="178">
        <f t="shared" si="76"/>
        <v>1.8007863222616894E-7</v>
      </c>
      <c r="AI87" s="127"/>
    </row>
    <row r="88" spans="1:35">
      <c r="A88" s="9" t="s">
        <v>119</v>
      </c>
      <c r="B88" s="37"/>
      <c r="C88" s="410">
        <f t="shared" ref="C88:AH88" si="77">C36/C$49</f>
        <v>0</v>
      </c>
      <c r="D88" s="336">
        <f t="shared" si="77"/>
        <v>0</v>
      </c>
      <c r="E88" s="336">
        <f t="shared" si="77"/>
        <v>0</v>
      </c>
      <c r="F88" s="336">
        <f t="shared" si="77"/>
        <v>0</v>
      </c>
      <c r="G88" s="336">
        <f t="shared" si="77"/>
        <v>0</v>
      </c>
      <c r="H88" s="409">
        <f t="shared" si="77"/>
        <v>0</v>
      </c>
      <c r="I88" s="116">
        <f t="shared" si="77"/>
        <v>0</v>
      </c>
      <c r="J88" s="116">
        <f t="shared" si="77"/>
        <v>0</v>
      </c>
      <c r="K88" s="116">
        <f t="shared" si="77"/>
        <v>0</v>
      </c>
      <c r="L88" s="116">
        <f t="shared" si="77"/>
        <v>0</v>
      </c>
      <c r="M88" s="116">
        <f t="shared" si="77"/>
        <v>0</v>
      </c>
      <c r="N88" s="178">
        <f t="shared" si="77"/>
        <v>0</v>
      </c>
      <c r="O88" s="116">
        <f t="shared" si="77"/>
        <v>0</v>
      </c>
      <c r="P88" s="116">
        <f t="shared" si="77"/>
        <v>0</v>
      </c>
      <c r="Q88" s="116">
        <f t="shared" si="77"/>
        <v>0</v>
      </c>
      <c r="R88" s="116">
        <f t="shared" si="77"/>
        <v>0</v>
      </c>
      <c r="S88" s="116">
        <f t="shared" si="77"/>
        <v>0</v>
      </c>
      <c r="T88" s="116">
        <f t="shared" si="77"/>
        <v>0</v>
      </c>
      <c r="U88" s="116">
        <f t="shared" si="77"/>
        <v>0</v>
      </c>
      <c r="V88" s="116">
        <f t="shared" si="77"/>
        <v>0</v>
      </c>
      <c r="W88" s="116">
        <f t="shared" si="77"/>
        <v>0</v>
      </c>
      <c r="X88" s="178">
        <f t="shared" si="77"/>
        <v>0</v>
      </c>
      <c r="Y88" s="173">
        <f t="shared" si="77"/>
        <v>0</v>
      </c>
      <c r="Z88" s="173">
        <f t="shared" si="77"/>
        <v>0</v>
      </c>
      <c r="AA88" s="173">
        <f t="shared" si="77"/>
        <v>0</v>
      </c>
      <c r="AB88" s="173">
        <f t="shared" si="77"/>
        <v>0</v>
      </c>
      <c r="AC88" s="173">
        <f t="shared" si="77"/>
        <v>0</v>
      </c>
      <c r="AD88" s="173">
        <f t="shared" si="77"/>
        <v>0</v>
      </c>
      <c r="AE88" s="173">
        <f t="shared" si="77"/>
        <v>0</v>
      </c>
      <c r="AF88" s="173">
        <f t="shared" si="77"/>
        <v>0</v>
      </c>
      <c r="AG88" s="173">
        <f t="shared" si="77"/>
        <v>0</v>
      </c>
      <c r="AH88" s="178">
        <f t="shared" si="77"/>
        <v>0</v>
      </c>
      <c r="AI88" s="127"/>
    </row>
    <row r="89" spans="1:35">
      <c r="A89" s="9" t="s">
        <v>51</v>
      </c>
      <c r="B89" s="37"/>
      <c r="C89" s="410">
        <f t="shared" ref="C89:AH89" si="78">C37/C$49</f>
        <v>0</v>
      </c>
      <c r="D89" s="336">
        <f t="shared" si="78"/>
        <v>0</v>
      </c>
      <c r="E89" s="336">
        <f t="shared" si="78"/>
        <v>1.4360176673123202E-8</v>
      </c>
      <c r="F89" s="336">
        <f t="shared" si="78"/>
        <v>1.4225312389104751E-8</v>
      </c>
      <c r="G89" s="336">
        <f t="shared" si="78"/>
        <v>1.2241605232052049E-8</v>
      </c>
      <c r="H89" s="409">
        <f t="shared" si="78"/>
        <v>1.3387170003291496E-8</v>
      </c>
      <c r="I89" s="116">
        <f t="shared" si="78"/>
        <v>1.3773245976798422E-8</v>
      </c>
      <c r="J89" s="116">
        <f t="shared" si="78"/>
        <v>1.4170456092718022E-8</v>
      </c>
      <c r="K89" s="116">
        <f t="shared" si="78"/>
        <v>1.4579121451392642E-8</v>
      </c>
      <c r="L89" s="116">
        <f t="shared" si="78"/>
        <v>1.4999572413458428E-8</v>
      </c>
      <c r="M89" s="116">
        <f t="shared" si="78"/>
        <v>1.5432148866905256E-8</v>
      </c>
      <c r="N89" s="178">
        <f t="shared" si="78"/>
        <v>1.5877200501838508E-8</v>
      </c>
      <c r="O89" s="116">
        <f t="shared" si="78"/>
        <v>1.7016762157238425E-8</v>
      </c>
      <c r="P89" s="116">
        <f t="shared" si="78"/>
        <v>1.8238114098419988E-8</v>
      </c>
      <c r="Q89" s="116">
        <f t="shared" si="78"/>
        <v>1.9547126697395574E-8</v>
      </c>
      <c r="R89" s="116">
        <f t="shared" si="78"/>
        <v>2.0950091663103271E-8</v>
      </c>
      <c r="S89" s="116">
        <f t="shared" si="78"/>
        <v>2.245375228221692E-8</v>
      </c>
      <c r="T89" s="116">
        <f t="shared" si="78"/>
        <v>2.4065335830443819E-8</v>
      </c>
      <c r="U89" s="116">
        <f t="shared" si="78"/>
        <v>2.579258831009349E-8</v>
      </c>
      <c r="V89" s="116">
        <f t="shared" si="78"/>
        <v>2.764381168088202E-8</v>
      </c>
      <c r="W89" s="116">
        <f t="shared" si="78"/>
        <v>2.9627903762920148E-8</v>
      </c>
      <c r="X89" s="178">
        <f t="shared" si="78"/>
        <v>3.1754401003677016E-8</v>
      </c>
      <c r="Y89" s="173">
        <f t="shared" si="78"/>
        <v>3.3068389987841518E-8</v>
      </c>
      <c r="Z89" s="173">
        <f t="shared" si="78"/>
        <v>3.4436751499779597E-8</v>
      </c>
      <c r="AA89" s="173">
        <f t="shared" si="78"/>
        <v>3.5861735460770742E-8</v>
      </c>
      <c r="AB89" s="173">
        <f t="shared" si="78"/>
        <v>3.7345684893260989E-8</v>
      </c>
      <c r="AC89" s="173">
        <f t="shared" si="78"/>
        <v>3.8891039773365363E-8</v>
      </c>
      <c r="AD89" s="173">
        <f t="shared" si="78"/>
        <v>4.0500341042785882E-8</v>
      </c>
      <c r="AE89" s="173">
        <f t="shared" si="78"/>
        <v>4.217623478674168E-8</v>
      </c>
      <c r="AF89" s="173">
        <f t="shared" si="78"/>
        <v>4.3921476584780853E-8</v>
      </c>
      <c r="AG89" s="173">
        <f t="shared" si="78"/>
        <v>4.5738936041627742E-8</v>
      </c>
      <c r="AH89" s="178">
        <f t="shared" si="78"/>
        <v>4.7631601505515524E-8</v>
      </c>
      <c r="AI89" s="127"/>
    </row>
    <row r="90" spans="1:35" s="252" customFormat="1">
      <c r="A90" s="10" t="s">
        <v>347</v>
      </c>
      <c r="B90" s="37"/>
      <c r="C90" s="410">
        <f t="shared" ref="C90:AH90" si="79">C38/C$49</f>
        <v>0</v>
      </c>
      <c r="D90" s="336">
        <f t="shared" si="79"/>
        <v>0</v>
      </c>
      <c r="E90" s="336">
        <f t="shared" si="79"/>
        <v>2.1443453179442917E-6</v>
      </c>
      <c r="F90" s="336">
        <f t="shared" si="79"/>
        <v>2.0514713145142558E-6</v>
      </c>
      <c r="G90" s="336">
        <f t="shared" si="79"/>
        <v>2.1704762155780488E-6</v>
      </c>
      <c r="H90" s="409">
        <f t="shared" si="79"/>
        <v>2.2058734120065904E-6</v>
      </c>
      <c r="I90" s="396">
        <f t="shared" si="79"/>
        <v>2.2437176908471967E-6</v>
      </c>
      <c r="J90" s="396">
        <f t="shared" si="79"/>
        <v>2.2822112315326441E-6</v>
      </c>
      <c r="K90" s="396">
        <f t="shared" si="79"/>
        <v>2.3213651728917353E-6</v>
      </c>
      <c r="L90" s="396">
        <f t="shared" si="79"/>
        <v>2.3611908448526087E-6</v>
      </c>
      <c r="M90" s="396">
        <f t="shared" si="79"/>
        <v>2.4016997717212654E-6</v>
      </c>
      <c r="N90" s="397">
        <f t="shared" si="79"/>
        <v>2.4429036755163443E-6</v>
      </c>
      <c r="O90" s="396">
        <f t="shared" si="79"/>
        <v>2.6182393309507885E-6</v>
      </c>
      <c r="P90" s="396">
        <f t="shared" si="79"/>
        <v>2.8061594334818339E-6</v>
      </c>
      <c r="Q90" s="396">
        <f t="shared" si="79"/>
        <v>3.0075672124517077E-6</v>
      </c>
      <c r="R90" s="396">
        <f t="shared" si="79"/>
        <v>3.2234307250999938E-6</v>
      </c>
      <c r="S90" s="396">
        <f t="shared" si="79"/>
        <v>3.4547875094862946E-6</v>
      </c>
      <c r="T90" s="396">
        <f t="shared" si="79"/>
        <v>3.7027495713692628E-6</v>
      </c>
      <c r="U90" s="396">
        <f t="shared" si="79"/>
        <v>3.9685087290112096E-6</v>
      </c>
      <c r="V90" s="396">
        <f t="shared" si="79"/>
        <v>4.2533423415978483E-6</v>
      </c>
      <c r="W90" s="396">
        <f t="shared" si="79"/>
        <v>4.5586194488065508E-6</v>
      </c>
      <c r="X90" s="397">
        <f t="shared" si="79"/>
        <v>4.8858073510326878E-6</v>
      </c>
      <c r="Y90" s="396">
        <f t="shared" si="79"/>
        <v>5.0879808084146583E-6</v>
      </c>
      <c r="Z90" s="396">
        <f t="shared" si="79"/>
        <v>5.298520151705155E-6</v>
      </c>
      <c r="AA90" s="396">
        <f t="shared" si="79"/>
        <v>5.5177715591213432E-6</v>
      </c>
      <c r="AB90" s="396">
        <f t="shared" si="79"/>
        <v>5.7460955336463892E-6</v>
      </c>
      <c r="AC90" s="396">
        <f t="shared" si="79"/>
        <v>5.9838674957846108E-6</v>
      </c>
      <c r="AD90" s="396">
        <f t="shared" si="79"/>
        <v>6.2314784008446849E-6</v>
      </c>
      <c r="AE90" s="396">
        <f t="shared" si="79"/>
        <v>6.4893353817658747E-6</v>
      </c>
      <c r="AF90" s="396">
        <f t="shared" si="79"/>
        <v>6.757862418544239E-6</v>
      </c>
      <c r="AG90" s="396">
        <f t="shared" si="79"/>
        <v>7.037501035359532E-6</v>
      </c>
      <c r="AH90" s="397">
        <f t="shared" si="79"/>
        <v>7.3287110265490305E-6</v>
      </c>
      <c r="AI90" s="292"/>
    </row>
    <row r="91" spans="1:35" s="252" customFormat="1">
      <c r="A91" s="10" t="s">
        <v>348</v>
      </c>
      <c r="B91" s="37"/>
      <c r="C91" s="410">
        <f t="shared" ref="C91:AH91" si="80">C39/C$49</f>
        <v>0</v>
      </c>
      <c r="D91" s="336">
        <f t="shared" si="80"/>
        <v>0</v>
      </c>
      <c r="E91" s="336">
        <f t="shared" si="80"/>
        <v>1.0721726589721459E-6</v>
      </c>
      <c r="F91" s="336">
        <f t="shared" si="80"/>
        <v>1.0257356572571279E-6</v>
      </c>
      <c r="G91" s="336">
        <f t="shared" si="80"/>
        <v>1.0852381077890244E-6</v>
      </c>
      <c r="H91" s="409">
        <f t="shared" si="80"/>
        <v>1.1029367060032952E-6</v>
      </c>
      <c r="I91" s="396">
        <f t="shared" si="80"/>
        <v>1.1218588454235983E-6</v>
      </c>
      <c r="J91" s="396">
        <f t="shared" si="80"/>
        <v>1.141105615766322E-6</v>
      </c>
      <c r="K91" s="396">
        <f t="shared" si="80"/>
        <v>1.1606825864458677E-6</v>
      </c>
      <c r="L91" s="396">
        <f t="shared" si="80"/>
        <v>1.1805954224263044E-6</v>
      </c>
      <c r="M91" s="396">
        <f t="shared" si="80"/>
        <v>1.2008498858606327E-6</v>
      </c>
      <c r="N91" s="397">
        <f t="shared" si="80"/>
        <v>1.2214518377581722E-6</v>
      </c>
      <c r="O91" s="396">
        <f t="shared" si="80"/>
        <v>1.3091196654753942E-6</v>
      </c>
      <c r="P91" s="396">
        <f t="shared" si="80"/>
        <v>1.4030797167409169E-6</v>
      </c>
      <c r="Q91" s="396">
        <f t="shared" si="80"/>
        <v>1.5037836062258539E-6</v>
      </c>
      <c r="R91" s="396">
        <f t="shared" si="80"/>
        <v>1.6117153625499969E-6</v>
      </c>
      <c r="S91" s="396">
        <f t="shared" si="80"/>
        <v>1.7273937547431473E-6</v>
      </c>
      <c r="T91" s="396">
        <f t="shared" si="80"/>
        <v>1.8513747856846314E-6</v>
      </c>
      <c r="U91" s="396">
        <f t="shared" si="80"/>
        <v>1.9842543645056048E-6</v>
      </c>
      <c r="V91" s="396">
        <f t="shared" si="80"/>
        <v>2.1266711707989242E-6</v>
      </c>
      <c r="W91" s="396">
        <f t="shared" si="80"/>
        <v>2.2793097244032754E-6</v>
      </c>
      <c r="X91" s="397">
        <f t="shared" si="80"/>
        <v>2.4429036755163439E-6</v>
      </c>
      <c r="Y91" s="396">
        <f t="shared" si="80"/>
        <v>2.5439904042073291E-6</v>
      </c>
      <c r="Z91" s="396">
        <f t="shared" si="80"/>
        <v>2.6492600758525775E-6</v>
      </c>
      <c r="AA91" s="396">
        <f t="shared" si="80"/>
        <v>2.7588857795606716E-6</v>
      </c>
      <c r="AB91" s="396">
        <f t="shared" si="80"/>
        <v>2.8730477668231946E-6</v>
      </c>
      <c r="AC91" s="396">
        <f t="shared" si="80"/>
        <v>2.9919337478923054E-6</v>
      </c>
      <c r="AD91" s="396">
        <f t="shared" si="80"/>
        <v>3.1157392004223425E-6</v>
      </c>
      <c r="AE91" s="396">
        <f t="shared" si="80"/>
        <v>3.2446676908829373E-6</v>
      </c>
      <c r="AF91" s="396">
        <f t="shared" si="80"/>
        <v>3.3789312092721195E-6</v>
      </c>
      <c r="AG91" s="396">
        <f t="shared" si="80"/>
        <v>3.518750517679766E-6</v>
      </c>
      <c r="AH91" s="397">
        <f t="shared" si="80"/>
        <v>3.6643555132745152E-6</v>
      </c>
      <c r="AI91" s="292"/>
    </row>
    <row r="92" spans="1:35">
      <c r="A92" s="9" t="s">
        <v>344</v>
      </c>
      <c r="B92" s="37"/>
      <c r="C92" s="410">
        <f t="shared" ref="C92:AH92" si="81">C40/C$49</f>
        <v>1.1140075306909077E-7</v>
      </c>
      <c r="D92" s="336">
        <f t="shared" si="81"/>
        <v>1.1331196027583849E-7</v>
      </c>
      <c r="E92" s="336">
        <f t="shared" si="81"/>
        <v>1.1525595642598644E-7</v>
      </c>
      <c r="F92" s="336">
        <f t="shared" si="81"/>
        <v>1.1723330405132369E-7</v>
      </c>
      <c r="G92" s="336">
        <f t="shared" si="81"/>
        <v>1.1924457533451491E-7</v>
      </c>
      <c r="H92" s="409">
        <f t="shared" si="81"/>
        <v>1.1029367060032952E-7</v>
      </c>
      <c r="I92" s="116">
        <f t="shared" si="81"/>
        <v>1.1218588454235983E-7</v>
      </c>
      <c r="J92" s="116">
        <f t="shared" si="81"/>
        <v>1.141105615766322E-7</v>
      </c>
      <c r="K92" s="116">
        <f t="shared" si="81"/>
        <v>1.1606825864458677E-7</v>
      </c>
      <c r="L92" s="116">
        <f t="shared" si="81"/>
        <v>1.1805954224263044E-7</v>
      </c>
      <c r="M92" s="116">
        <f t="shared" si="81"/>
        <v>1.2008498858606325E-7</v>
      </c>
      <c r="N92" s="178">
        <f t="shared" si="81"/>
        <v>1.2214518377581718E-7</v>
      </c>
      <c r="O92" s="116">
        <f t="shared" si="81"/>
        <v>1.3091196654753942E-7</v>
      </c>
      <c r="P92" s="116">
        <f t="shared" si="81"/>
        <v>1.403079716740917E-7</v>
      </c>
      <c r="Q92" s="116">
        <f t="shared" si="81"/>
        <v>1.503783606225854E-7</v>
      </c>
      <c r="R92" s="116">
        <f t="shared" si="81"/>
        <v>1.6117153625499971E-7</v>
      </c>
      <c r="S92" s="116">
        <f t="shared" si="81"/>
        <v>1.7273937547431471E-7</v>
      </c>
      <c r="T92" s="116">
        <f t="shared" si="81"/>
        <v>1.8513747856846315E-7</v>
      </c>
      <c r="U92" s="116">
        <f t="shared" si="81"/>
        <v>1.9842543645056049E-7</v>
      </c>
      <c r="V92" s="116">
        <f t="shared" si="81"/>
        <v>2.1266711707989242E-7</v>
      </c>
      <c r="W92" s="116">
        <f t="shared" si="81"/>
        <v>2.2793097244032755E-7</v>
      </c>
      <c r="X92" s="178">
        <f t="shared" si="81"/>
        <v>2.4429036755163442E-7</v>
      </c>
      <c r="Y92" s="173">
        <f t="shared" si="81"/>
        <v>2.5439904042073292E-7</v>
      </c>
      <c r="Z92" s="173">
        <f t="shared" si="81"/>
        <v>2.6492600758525778E-7</v>
      </c>
      <c r="AA92" s="173">
        <f t="shared" si="81"/>
        <v>2.758885779560672E-7</v>
      </c>
      <c r="AB92" s="173">
        <f t="shared" si="81"/>
        <v>2.873047766823195E-7</v>
      </c>
      <c r="AC92" s="173">
        <f t="shared" si="81"/>
        <v>2.9919337478923066E-7</v>
      </c>
      <c r="AD92" s="173">
        <f t="shared" si="81"/>
        <v>3.1157392004223434E-7</v>
      </c>
      <c r="AE92" s="173">
        <f t="shared" si="81"/>
        <v>3.2446676908829384E-7</v>
      </c>
      <c r="AF92" s="173">
        <f t="shared" si="81"/>
        <v>3.3789312092721203E-7</v>
      </c>
      <c r="AG92" s="173">
        <f t="shared" si="81"/>
        <v>3.5187505176797671E-7</v>
      </c>
      <c r="AH92" s="178">
        <f t="shared" si="81"/>
        <v>3.6643555132745161E-7</v>
      </c>
      <c r="AI92" s="127"/>
    </row>
    <row r="93" spans="1:35">
      <c r="A93" s="9" t="s">
        <v>120</v>
      </c>
      <c r="B93" s="37"/>
      <c r="C93" s="410">
        <f t="shared" ref="C93:AH93" si="82">C41/C$49</f>
        <v>0</v>
      </c>
      <c r="D93" s="336">
        <f t="shared" si="82"/>
        <v>0</v>
      </c>
      <c r="E93" s="336">
        <f t="shared" si="82"/>
        <v>0</v>
      </c>
      <c r="F93" s="336">
        <f t="shared" si="82"/>
        <v>0</v>
      </c>
      <c r="G93" s="336">
        <f t="shared" si="82"/>
        <v>0</v>
      </c>
      <c r="H93" s="409">
        <f t="shared" si="82"/>
        <v>1.1029367060032951E-5</v>
      </c>
      <c r="I93" s="116">
        <f t="shared" si="82"/>
        <v>2.1287200389852943E-5</v>
      </c>
      <c r="J93" s="116">
        <f t="shared" si="82"/>
        <v>3.0413849043219359E-5</v>
      </c>
      <c r="K93" s="116">
        <f t="shared" si="82"/>
        <v>4.0903472858488494E-5</v>
      </c>
      <c r="L93" s="116">
        <f t="shared" si="82"/>
        <v>5.0883383500177951E-5</v>
      </c>
      <c r="M93" s="116">
        <f t="shared" si="82"/>
        <v>6.0258375856547259E-5</v>
      </c>
      <c r="N93" s="178">
        <f t="shared" si="82"/>
        <v>6.9092690155520903E-5</v>
      </c>
      <c r="O93" s="116">
        <f t="shared" si="82"/>
        <v>7.7955057656724211E-5</v>
      </c>
      <c r="P93" s="116">
        <f t="shared" si="82"/>
        <v>8.6406047699547775E-5</v>
      </c>
      <c r="Q93" s="116">
        <f t="shared" si="82"/>
        <v>9.3529137905078584E-5</v>
      </c>
      <c r="R93" s="116">
        <f t="shared" si="82"/>
        <v>1.0113340488200857E-4</v>
      </c>
      <c r="S93" s="116">
        <f t="shared" si="82"/>
        <v>1.0867957404904417E-4</v>
      </c>
      <c r="T93" s="116">
        <f t="shared" si="82"/>
        <v>1.165035691941352E-4</v>
      </c>
      <c r="U93" s="116">
        <f t="shared" si="82"/>
        <v>1.2423579896908094E-4</v>
      </c>
      <c r="V93" s="116">
        <f t="shared" si="82"/>
        <v>1.3163849218311588E-4</v>
      </c>
      <c r="W93" s="116">
        <f t="shared" si="82"/>
        <v>1.389046034930405E-4</v>
      </c>
      <c r="X93" s="178">
        <f t="shared" si="82"/>
        <v>1.4612792443938682E-4</v>
      </c>
      <c r="Y93" s="173">
        <f t="shared" si="82"/>
        <v>1.5403563730152293E-4</v>
      </c>
      <c r="Z93" s="173">
        <f t="shared" si="82"/>
        <v>1.6149641361999916E-4</v>
      </c>
      <c r="AA93" s="173">
        <f t="shared" si="82"/>
        <v>1.6913764638229947E-4</v>
      </c>
      <c r="AB93" s="173">
        <f t="shared" si="82"/>
        <v>1.763764443977591E-4</v>
      </c>
      <c r="AC93" s="173">
        <f t="shared" si="82"/>
        <v>1.8289958621467919E-4</v>
      </c>
      <c r="AD93" s="173">
        <f t="shared" si="82"/>
        <v>1.8942185969384205E-4</v>
      </c>
      <c r="AE93" s="173">
        <f t="shared" si="82"/>
        <v>1.9486404822618335E-4</v>
      </c>
      <c r="AF93" s="173">
        <f t="shared" si="82"/>
        <v>1.998337309425975E-4</v>
      </c>
      <c r="AG93" s="173">
        <f t="shared" si="82"/>
        <v>2.0526341737151736E-4</v>
      </c>
      <c r="AH93" s="178">
        <f t="shared" si="82"/>
        <v>2.1109646369890929E-4</v>
      </c>
      <c r="AI93" s="127"/>
    </row>
    <row r="94" spans="1:35">
      <c r="A94" s="9" t="s">
        <v>53</v>
      </c>
      <c r="B94" s="37"/>
      <c r="C94" s="410">
        <f t="shared" ref="C94:AH94" si="83">C42/C$49</f>
        <v>0</v>
      </c>
      <c r="D94" s="336">
        <f t="shared" si="83"/>
        <v>0</v>
      </c>
      <c r="E94" s="336">
        <f t="shared" si="83"/>
        <v>4.1797494235730076E-8</v>
      </c>
      <c r="F94" s="336">
        <f t="shared" si="83"/>
        <v>4.4728150088708712E-8</v>
      </c>
      <c r="G94" s="336">
        <f t="shared" si="83"/>
        <v>5.0768413226191332E-8</v>
      </c>
      <c r="H94" s="409">
        <f t="shared" si="83"/>
        <v>5.1882973161734625E-8</v>
      </c>
      <c r="I94" s="116">
        <f t="shared" si="83"/>
        <v>6.3194198476776046E-8</v>
      </c>
      <c r="J94" s="116">
        <f t="shared" si="83"/>
        <v>6.8310153779850258E-8</v>
      </c>
      <c r="K94" s="116">
        <f t="shared" si="83"/>
        <v>6.8902891939340672E-8</v>
      </c>
      <c r="L94" s="116">
        <f t="shared" si="83"/>
        <v>7.0574103536810793E-8</v>
      </c>
      <c r="M94" s="116">
        <f t="shared" si="83"/>
        <v>7.6216762831632959E-8</v>
      </c>
      <c r="N94" s="178">
        <f t="shared" si="83"/>
        <v>8.2310573502410434E-8</v>
      </c>
      <c r="O94" s="116">
        <f t="shared" si="83"/>
        <v>8.8218288366026457E-8</v>
      </c>
      <c r="P94" s="116">
        <f t="shared" si="83"/>
        <v>9.4550020381081343E-8</v>
      </c>
      <c r="Q94" s="116">
        <f t="shared" si="83"/>
        <v>1.0133620272670867E-7</v>
      </c>
      <c r="R94" s="116">
        <f t="shared" si="83"/>
        <v>1.0860945287668429E-7</v>
      </c>
      <c r="S94" s="116">
        <f t="shared" si="83"/>
        <v>1.1640472937381628E-7</v>
      </c>
      <c r="T94" s="116">
        <f t="shared" si="83"/>
        <v>1.2475949985657522E-7</v>
      </c>
      <c r="U94" s="116">
        <f t="shared" si="83"/>
        <v>1.3371392114557779E-7</v>
      </c>
      <c r="V94" s="116">
        <f t="shared" si="83"/>
        <v>1.4331103225550073E-7</v>
      </c>
      <c r="W94" s="116">
        <f t="shared" si="83"/>
        <v>1.5359696126012846E-7</v>
      </c>
      <c r="X94" s="178">
        <f t="shared" si="83"/>
        <v>1.6462114700482089E-7</v>
      </c>
      <c r="Y94" s="173">
        <f t="shared" si="83"/>
        <v>1.7143312792361739E-7</v>
      </c>
      <c r="Z94" s="173">
        <f t="shared" si="83"/>
        <v>1.7852698686891485E-7</v>
      </c>
      <c r="AA94" s="173">
        <f t="shared" si="83"/>
        <v>1.8591438788128699E-7</v>
      </c>
      <c r="AB94" s="173">
        <f t="shared" si="83"/>
        <v>1.9360747765632041E-7</v>
      </c>
      <c r="AC94" s="173">
        <f t="shared" si="83"/>
        <v>2.0161890551675529E-7</v>
      </c>
      <c r="AD94" s="173">
        <f t="shared" si="83"/>
        <v>2.0996184421106865E-7</v>
      </c>
      <c r="AE94" s="173">
        <f t="shared" si="83"/>
        <v>2.1865001157269708E-7</v>
      </c>
      <c r="AF94" s="173">
        <f t="shared" si="83"/>
        <v>2.2769769307551288E-7</v>
      </c>
      <c r="AG94" s="173">
        <f t="shared" si="83"/>
        <v>2.3711976532264011E-7</v>
      </c>
      <c r="AH94" s="178">
        <f t="shared" si="83"/>
        <v>2.4693172050723133E-7</v>
      </c>
      <c r="AI94" s="127"/>
    </row>
    <row r="95" spans="1:35" s="378" customFormat="1">
      <c r="A95" s="373" t="s">
        <v>541</v>
      </c>
      <c r="B95" s="374"/>
      <c r="C95" s="375">
        <f>SUM(C86:C94)</f>
        <v>2.558886438072322E-2</v>
      </c>
      <c r="D95" s="375">
        <f>SUM(D86:D94)</f>
        <v>2.7384258680572059E-2</v>
      </c>
      <c r="E95" s="375">
        <f>SUM(E86:E94)</f>
        <v>2.9404302091927913E-2</v>
      </c>
      <c r="F95" s="375">
        <f>SUM(F86:F94)</f>
        <v>3.1364972798427343E-2</v>
      </c>
      <c r="G95" s="375">
        <f t="shared" ref="G95:AH95" si="84">SUM(G86:G94)</f>
        <v>3.3565603710369533E-2</v>
      </c>
      <c r="H95" s="375">
        <f t="shared" si="84"/>
        <v>3.3298544347678365E-2</v>
      </c>
      <c r="I95" s="375">
        <f t="shared" si="84"/>
        <v>3.5644190303394239E-2</v>
      </c>
      <c r="J95" s="375">
        <f t="shared" si="84"/>
        <v>3.8152553544037217E-2</v>
      </c>
      <c r="K95" s="375">
        <f t="shared" si="84"/>
        <v>4.0837626436025891E-2</v>
      </c>
      <c r="L95" s="375">
        <f t="shared" si="84"/>
        <v>4.3709845061470007E-2</v>
      </c>
      <c r="M95" s="375">
        <f t="shared" si="84"/>
        <v>4.6782283507344688E-2</v>
      </c>
      <c r="N95" s="376">
        <f t="shared" si="84"/>
        <v>5.0069092690155532E-2</v>
      </c>
      <c r="O95" s="375">
        <f t="shared" si="84"/>
        <v>5.3666628184471418E-2</v>
      </c>
      <c r="P95" s="375">
        <f t="shared" si="84"/>
        <v>5.7521323797551344E-2</v>
      </c>
      <c r="Q95" s="375">
        <f t="shared" si="84"/>
        <v>6.1650749805150944E-2</v>
      </c>
      <c r="R95" s="375">
        <f t="shared" si="84"/>
        <v>6.6076528943526766E-2</v>
      </c>
      <c r="S95" s="375">
        <f t="shared" si="84"/>
        <v>7.0819357692703852E-2</v>
      </c>
      <c r="T95" s="375">
        <f t="shared" si="84"/>
        <v>7.5902331894714112E-2</v>
      </c>
      <c r="U95" s="375">
        <f t="shared" si="84"/>
        <v>8.1349475434592713E-2</v>
      </c>
      <c r="V95" s="375">
        <f t="shared" si="84"/>
        <v>8.7186694821795599E-2</v>
      </c>
      <c r="W95" s="375">
        <f t="shared" si="84"/>
        <v>9.3442203757173853E-2</v>
      </c>
      <c r="X95" s="376">
        <f t="shared" si="84"/>
        <v>0.10014612792443939</v>
      </c>
      <c r="Y95" s="375">
        <f t="shared" si="84"/>
        <v>0.10429201003654261</v>
      </c>
      <c r="Z95" s="375">
        <f t="shared" si="84"/>
        <v>0.1086086735333899</v>
      </c>
      <c r="AA95" s="375">
        <f t="shared" si="84"/>
        <v>0.11310383119206785</v>
      </c>
      <c r="AB95" s="375">
        <f t="shared" si="84"/>
        <v>0.11778427869686514</v>
      </c>
      <c r="AC95" s="375">
        <f t="shared" si="84"/>
        <v>0.12265738672537362</v>
      </c>
      <c r="AD95" s="375">
        <f t="shared" si="84"/>
        <v>0.12773187192227298</v>
      </c>
      <c r="AE95" s="375">
        <f t="shared" si="84"/>
        <v>0.13301498804255965</v>
      </c>
      <c r="AF95" s="375">
        <f t="shared" si="84"/>
        <v>0.13851602045320183</v>
      </c>
      <c r="AG95" s="375">
        <f t="shared" si="84"/>
        <v>0.14424493853620429</v>
      </c>
      <c r="AH95" s="376">
        <f t="shared" si="84"/>
        <v>0.1502110964636989</v>
      </c>
      <c r="AI95" s="377"/>
    </row>
    <row r="96" spans="1:35">
      <c r="A96" s="10" t="s">
        <v>544</v>
      </c>
      <c r="B96" s="37"/>
      <c r="C96" s="332"/>
      <c r="D96" s="332">
        <f>D95/C95-1</f>
        <v>7.0163109747119368E-2</v>
      </c>
      <c r="E96" s="332">
        <f t="shared" ref="E96:O96" si="85">E95/D95-1</f>
        <v>7.3766591052143005E-2</v>
      </c>
      <c r="F96" s="332">
        <f t="shared" si="85"/>
        <v>6.6679722591942658E-2</v>
      </c>
      <c r="G96" s="332">
        <f t="shared" si="85"/>
        <v>7.0162053896394072E-2</v>
      </c>
      <c r="H96" s="284"/>
      <c r="I96" s="164">
        <f t="shared" si="85"/>
        <v>7.0442897780287339E-2</v>
      </c>
      <c r="J96" s="164">
        <f t="shared" si="85"/>
        <v>7.0372288423230511E-2</v>
      </c>
      <c r="K96" s="164">
        <f t="shared" si="85"/>
        <v>7.0377278650286312E-2</v>
      </c>
      <c r="L96" s="164">
        <f t="shared" si="85"/>
        <v>7.033265339119521E-2</v>
      </c>
      <c r="M96" s="164">
        <f t="shared" si="85"/>
        <v>7.0291680090694753E-2</v>
      </c>
      <c r="N96" s="164">
        <f t="shared" si="85"/>
        <v>7.0257561974178317E-2</v>
      </c>
      <c r="O96" s="172">
        <f t="shared" si="85"/>
        <v>7.1851421725946718E-2</v>
      </c>
      <c r="P96" s="172">
        <f t="shared" ref="P96:AH96" si="86">P95/O95-1</f>
        <v>7.1826677834686325E-2</v>
      </c>
      <c r="Q96" s="172">
        <f t="shared" si="86"/>
        <v>7.1789481447493975E-2</v>
      </c>
      <c r="R96" s="172">
        <f t="shared" si="86"/>
        <v>7.1787920704348807E-2</v>
      </c>
      <c r="S96" s="172">
        <f t="shared" si="86"/>
        <v>7.177781316616394E-2</v>
      </c>
      <c r="T96" s="172">
        <f t="shared" si="86"/>
        <v>7.1773796990168615E-2</v>
      </c>
      <c r="U96" s="172">
        <f t="shared" si="86"/>
        <v>7.1765167207701319E-2</v>
      </c>
      <c r="V96" s="172">
        <f t="shared" si="86"/>
        <v>7.1754849751872962E-2</v>
      </c>
      <c r="W96" s="172">
        <f t="shared" si="86"/>
        <v>7.1748435333672589E-2</v>
      </c>
      <c r="X96" s="185">
        <f t="shared" si="86"/>
        <v>7.1744071711823842E-2</v>
      </c>
      <c r="Y96" s="172">
        <f t="shared" si="86"/>
        <v>4.1398326605610825E-2</v>
      </c>
      <c r="Z96" s="172">
        <f t="shared" si="86"/>
        <v>4.1390164935308116E-2</v>
      </c>
      <c r="AA96" s="172">
        <f t="shared" si="86"/>
        <v>4.1388569737903946E-2</v>
      </c>
      <c r="AB96" s="172">
        <f t="shared" si="86"/>
        <v>4.1381865277836383E-2</v>
      </c>
      <c r="AC96" s="172">
        <f t="shared" si="86"/>
        <v>4.1373161872053643E-2</v>
      </c>
      <c r="AD96" s="172">
        <f t="shared" si="86"/>
        <v>4.1371215646889503E-2</v>
      </c>
      <c r="AE96" s="172">
        <f t="shared" si="86"/>
        <v>4.1360985639524284E-2</v>
      </c>
      <c r="AF96" s="172">
        <f t="shared" si="86"/>
        <v>4.1356485397585852E-2</v>
      </c>
      <c r="AG96" s="172">
        <f t="shared" si="86"/>
        <v>4.1359245409003043E-2</v>
      </c>
      <c r="AH96" s="185">
        <f t="shared" si="86"/>
        <v>4.1361298275274683E-2</v>
      </c>
      <c r="AI96" s="127"/>
    </row>
    <row r="97" spans="1:36">
      <c r="A97" s="10"/>
      <c r="B97" s="37"/>
      <c r="C97" s="332"/>
      <c r="D97" s="332"/>
      <c r="E97" s="332"/>
      <c r="F97" s="332"/>
      <c r="G97" s="332"/>
      <c r="H97" s="284"/>
      <c r="I97" s="164"/>
      <c r="J97" s="164"/>
      <c r="K97" s="164"/>
      <c r="L97" s="164"/>
      <c r="M97" s="164"/>
      <c r="N97" s="180"/>
      <c r="O97" s="164"/>
      <c r="P97" s="164"/>
      <c r="Q97" s="164"/>
      <c r="R97" s="164"/>
      <c r="S97" s="164"/>
      <c r="T97" s="164"/>
      <c r="U97" s="164"/>
      <c r="V97" s="164"/>
      <c r="W97" s="164"/>
      <c r="X97" s="185"/>
      <c r="AI97" s="127"/>
    </row>
    <row r="98" spans="1:36">
      <c r="A98" s="10"/>
      <c r="B98" s="37"/>
      <c r="C98" s="332"/>
      <c r="D98" s="332"/>
      <c r="E98" s="332"/>
      <c r="F98" s="332"/>
      <c r="G98" s="332"/>
      <c r="H98" s="284"/>
      <c r="I98" s="172"/>
      <c r="J98" s="172"/>
      <c r="K98" s="172"/>
      <c r="L98" s="172"/>
      <c r="M98" s="172"/>
      <c r="N98" s="185"/>
      <c r="O98" s="172"/>
      <c r="P98" s="172"/>
      <c r="Q98" s="172"/>
      <c r="R98" s="172"/>
      <c r="S98" s="172"/>
      <c r="T98" s="172"/>
      <c r="U98" s="172"/>
      <c r="V98" s="172"/>
      <c r="W98" s="172"/>
      <c r="X98" s="185"/>
      <c r="AI98" s="127"/>
    </row>
    <row r="99" spans="1:36">
      <c r="A99" s="1" t="s">
        <v>139</v>
      </c>
      <c r="C99" s="328">
        <v>2009</v>
      </c>
      <c r="D99" s="328">
        <v>2010</v>
      </c>
      <c r="E99" s="328">
        <v>2011</v>
      </c>
      <c r="F99" s="328">
        <v>2012</v>
      </c>
      <c r="G99" s="328">
        <v>2013</v>
      </c>
      <c r="H99" s="400">
        <v>2014</v>
      </c>
      <c r="I99" s="13">
        <v>2015</v>
      </c>
      <c r="J99" s="13">
        <v>2016</v>
      </c>
      <c r="K99" s="13">
        <v>2017</v>
      </c>
      <c r="L99" s="13">
        <v>2018</v>
      </c>
      <c r="M99" s="13">
        <v>2019</v>
      </c>
      <c r="N99" s="176">
        <v>2020</v>
      </c>
      <c r="O99" s="13">
        <v>2021</v>
      </c>
      <c r="P99" s="13">
        <v>2022</v>
      </c>
      <c r="Q99" s="13">
        <v>2023</v>
      </c>
      <c r="R99" s="13">
        <v>2024</v>
      </c>
      <c r="S99" s="13">
        <v>2025</v>
      </c>
      <c r="T99" s="13">
        <v>2026</v>
      </c>
      <c r="U99" s="13">
        <v>2027</v>
      </c>
      <c r="V99" s="13">
        <v>2028</v>
      </c>
      <c r="W99" s="13">
        <v>2029</v>
      </c>
      <c r="X99" s="176">
        <v>2030</v>
      </c>
      <c r="Y99" s="13">
        <v>2031</v>
      </c>
      <c r="Z99" s="13">
        <v>2032</v>
      </c>
      <c r="AA99" s="13">
        <v>2033</v>
      </c>
      <c r="AB99" s="13">
        <v>2034</v>
      </c>
      <c r="AC99" s="13">
        <v>2035</v>
      </c>
      <c r="AD99" s="13">
        <v>2036</v>
      </c>
      <c r="AE99" s="13">
        <v>2037</v>
      </c>
      <c r="AF99" s="13">
        <v>2038</v>
      </c>
      <c r="AG99" s="13">
        <v>2039</v>
      </c>
      <c r="AH99" s="176">
        <v>2040</v>
      </c>
      <c r="AI99" s="1"/>
    </row>
    <row r="100" spans="1:36">
      <c r="A100" s="10" t="s">
        <v>61</v>
      </c>
      <c r="B100" s="35">
        <v>0</v>
      </c>
      <c r="C100" s="331">
        <v>0</v>
      </c>
      <c r="D100" s="331">
        <f xml:space="preserve"> IF(D29*Inputs!$C44 &gt; 0, D29*Inputs!$C44, 0)</f>
        <v>0</v>
      </c>
      <c r="E100" s="331">
        <f xml:space="preserve"> IF(E29*Inputs!$C44 &gt; 0, E29*Inputs!$C44, 0)</f>
        <v>0</v>
      </c>
      <c r="F100" s="331">
        <f xml:space="preserve"> IF(F29*Inputs!$C44 &gt; 0, F29*Inputs!$C44, 0)</f>
        <v>0</v>
      </c>
      <c r="G100" s="331">
        <f xml:space="preserve"> IF(G29*Inputs!$C44 &gt; 0, G29*Inputs!$C44, 0)</f>
        <v>0</v>
      </c>
      <c r="H100" s="402">
        <f xml:space="preserve"> IF(H29*Inputs!$C44 &gt; 0, H29*Inputs!$C44, 0)</f>
        <v>0</v>
      </c>
      <c r="I100" s="14">
        <f xml:space="preserve"> IF(I29*Inputs!$C44 &gt; 0, I29*Inputs!$C44, 0)</f>
        <v>0</v>
      </c>
      <c r="J100" s="14">
        <f xml:space="preserve"> IF(J29*Inputs!$C44 &gt; 0, J29*Inputs!$C44, 0)</f>
        <v>0</v>
      </c>
      <c r="K100" s="14">
        <f xml:space="preserve"> IF(K29*Inputs!$C44 &gt; 0, K29*Inputs!$C44, 0)</f>
        <v>0</v>
      </c>
      <c r="L100" s="14">
        <f xml:space="preserve"> IF(L29*Inputs!$C44 &gt; 0, L29*Inputs!$C44, 0)</f>
        <v>0</v>
      </c>
      <c r="M100" s="14">
        <f xml:space="preserve"> IF(M29*Inputs!$C44 &gt; 0, M29*Inputs!$C44, 0)</f>
        <v>0</v>
      </c>
      <c r="N100" s="182">
        <f xml:space="preserve"> IF(N29*Inputs!$C44 &gt; 0, N29*Inputs!$C44, 0)</f>
        <v>0</v>
      </c>
      <c r="O100" s="14">
        <f xml:space="preserve"> IF(O29*Inputs!$C44 &gt; 0, O29*Inputs!$C44, 0)</f>
        <v>0</v>
      </c>
      <c r="P100" s="14">
        <f xml:space="preserve"> IF(P29*Inputs!$C44 &gt; 0, P29*Inputs!$C44, 0)</f>
        <v>0</v>
      </c>
      <c r="Q100" s="14">
        <f xml:space="preserve"> IF(Q29*Inputs!$C44 &gt; 0, Q29*Inputs!$C44, 0)</f>
        <v>0</v>
      </c>
      <c r="R100" s="14">
        <f xml:space="preserve"> IF(R29*Inputs!$C44 &gt; 0, R29*Inputs!$C44, 0)</f>
        <v>0</v>
      </c>
      <c r="S100" s="14">
        <f xml:space="preserve"> IF(S29*Inputs!$C44 &gt; 0, S29*Inputs!$C44, 0)</f>
        <v>0</v>
      </c>
      <c r="T100" s="14">
        <f xml:space="preserve"> IF(T29*Inputs!$C44 &gt; 0, T29*Inputs!$C44, 0)</f>
        <v>0</v>
      </c>
      <c r="U100" s="14">
        <f xml:space="preserve"> IF(U29*Inputs!$C44 &gt; 0, U29*Inputs!$C44, 0)</f>
        <v>0</v>
      </c>
      <c r="V100" s="14">
        <f xml:space="preserve"> IF(V29*Inputs!$C44 &gt; 0, V29*Inputs!$C44, 0)</f>
        <v>0</v>
      </c>
      <c r="W100" s="14">
        <f xml:space="preserve"> IF(W29*Inputs!$C44 &gt; 0, W29*Inputs!$C44, 0)</f>
        <v>0</v>
      </c>
      <c r="X100" s="187">
        <f xml:space="preserve"> IF(X29*Inputs!$C44 &gt; 0, X29*Inputs!$C44, 0)</f>
        <v>0</v>
      </c>
    </row>
    <row r="101" spans="1:36">
      <c r="A101" s="10" t="s">
        <v>60</v>
      </c>
      <c r="B101" s="35">
        <v>0</v>
      </c>
      <c r="C101" s="331">
        <v>0</v>
      </c>
      <c r="D101" s="331">
        <f>D30*Inputs!$C47</f>
        <v>0</v>
      </c>
      <c r="E101" s="331">
        <f>E30*Inputs!$C47</f>
        <v>0</v>
      </c>
      <c r="F101" s="331">
        <f>F30*Inputs!$C47</f>
        <v>0</v>
      </c>
      <c r="G101" s="331">
        <f>G30*Inputs!$C47</f>
        <v>0</v>
      </c>
      <c r="H101" s="402">
        <f>H30*Inputs!$C47</f>
        <v>0</v>
      </c>
      <c r="I101" s="14">
        <f>I30*Inputs!$C47</f>
        <v>0</v>
      </c>
      <c r="J101" s="14">
        <f>J30*Inputs!$C47</f>
        <v>0</v>
      </c>
      <c r="K101" s="14">
        <f>K30*Inputs!$C47</f>
        <v>0</v>
      </c>
      <c r="L101" s="14">
        <f>L30*Inputs!$C47</f>
        <v>0</v>
      </c>
      <c r="M101" s="14">
        <f>M30*Inputs!$C47</f>
        <v>0</v>
      </c>
      <c r="N101" s="182">
        <f>N30*Inputs!$C47</f>
        <v>0</v>
      </c>
      <c r="O101" s="14">
        <f>O30*Inputs!$C47</f>
        <v>0</v>
      </c>
      <c r="P101" s="14">
        <f>P30*Inputs!$C47</f>
        <v>0</v>
      </c>
      <c r="Q101" s="14">
        <f>Q30*Inputs!$C47</f>
        <v>0</v>
      </c>
      <c r="R101" s="14">
        <f>R30*Inputs!$C47</f>
        <v>0</v>
      </c>
      <c r="S101" s="14">
        <f>S30*Inputs!$C47</f>
        <v>0</v>
      </c>
      <c r="T101" s="14">
        <f>T30*Inputs!$C47</f>
        <v>0</v>
      </c>
      <c r="U101" s="14">
        <f>U30*Inputs!$C47</f>
        <v>0</v>
      </c>
      <c r="V101" s="14">
        <f>V30*Inputs!$C47</f>
        <v>0</v>
      </c>
      <c r="W101" s="14">
        <f>W30*Inputs!$C47</f>
        <v>0</v>
      </c>
      <c r="X101" s="187">
        <f>X30*Inputs!$C47</f>
        <v>0</v>
      </c>
    </row>
    <row r="102" spans="1:36">
      <c r="A102" s="10" t="s">
        <v>49</v>
      </c>
      <c r="B102" s="35">
        <v>0</v>
      </c>
      <c r="C102" s="331">
        <f>C31*Inputs!$C$48</f>
        <v>185.39849999999998</v>
      </c>
      <c r="D102" s="331">
        <f>D31*Inputs!$C$48</f>
        <v>209.15382345828863</v>
      </c>
      <c r="E102" s="331">
        <f>E31*Inputs!$C$48</f>
        <v>192.41891397997168</v>
      </c>
      <c r="F102" s="331">
        <f>F31*Inputs!$C$48</f>
        <v>201.01844360137287</v>
      </c>
      <c r="G102" s="331">
        <f>G31*Inputs!$C$48</f>
        <v>189.89129723607329</v>
      </c>
      <c r="H102" s="402">
        <f>H31*Inputs!$C$48</f>
        <v>197.92024423901151</v>
      </c>
      <c r="I102" s="14">
        <f>I31*Inputs!$C$48</f>
        <v>203.05522671214521</v>
      </c>
      <c r="J102" s="14">
        <f>J31*Inputs!$C$48</f>
        <v>211.04289784544977</v>
      </c>
      <c r="K102" s="14">
        <f>K31*Inputs!$C$48</f>
        <v>207.10670847170533</v>
      </c>
      <c r="L102" s="14">
        <f>L31*Inputs!$C$48</f>
        <v>205.97584037225911</v>
      </c>
      <c r="M102" s="14">
        <f>M31*Inputs!$C$48</f>
        <v>206.55583237582607</v>
      </c>
      <c r="N102" s="182">
        <f>N31*Inputs!$C$48</f>
        <v>207.97131378346415</v>
      </c>
      <c r="O102" s="14">
        <f>O31*Inputs!$C$48</f>
        <v>207.97747362406935</v>
      </c>
      <c r="P102" s="14">
        <f>P31*Inputs!$C$48</f>
        <v>208.36741446889104</v>
      </c>
      <c r="Q102" s="14">
        <f>Q31*Inputs!$C$48</f>
        <v>211.09169190047973</v>
      </c>
      <c r="R102" s="14">
        <f>R31*Inputs!$C$48</f>
        <v>211.89787488025308</v>
      </c>
      <c r="S102" s="14">
        <f>S31*Inputs!$C$48</f>
        <v>212.22381289237111</v>
      </c>
      <c r="T102" s="14">
        <f>T31*Inputs!$C$48</f>
        <v>211.55183635809476</v>
      </c>
      <c r="U102" s="14">
        <f>U31*Inputs!$C$48</f>
        <v>210.69937201973985</v>
      </c>
      <c r="V102" s="14">
        <f>V31*Inputs!$C$48</f>
        <v>210.07515043040641</v>
      </c>
      <c r="W102" s="14">
        <f>W31*Inputs!$C$48</f>
        <v>209.34696865306168</v>
      </c>
      <c r="X102" s="187">
        <f>X31*Inputs!$C$48</f>
        <v>208.39445861053167</v>
      </c>
      <c r="Y102" s="158">
        <f>Y31*Inputs!$C$48</f>
        <v>207.45040289732759</v>
      </c>
      <c r="Z102" s="158">
        <f>Z31*Inputs!$C$48</f>
        <v>206.971599618315</v>
      </c>
      <c r="AA102" s="158">
        <f>AA31*Inputs!$C$48</f>
        <v>206.12500273912599</v>
      </c>
      <c r="AB102" s="158">
        <f>AB31*Inputs!$C$48</f>
        <v>205.63820432743685</v>
      </c>
      <c r="AC102" s="158">
        <f>AC31*Inputs!$C$48</f>
        <v>205.81721534724934</v>
      </c>
      <c r="AD102" s="158">
        <f>AD31*Inputs!$C$48</f>
        <v>205.81543503279678</v>
      </c>
      <c r="AE102" s="158">
        <f>AE31*Inputs!$C$48</f>
        <v>206.78987469797912</v>
      </c>
      <c r="AF102" s="158">
        <f>AF31*Inputs!$C$48</f>
        <v>208.04191715503376</v>
      </c>
      <c r="AG102" s="158">
        <f>AG31*Inputs!$C$48</f>
        <v>208.60796410317624</v>
      </c>
      <c r="AH102" s="187">
        <f>AH31*Inputs!$C$48</f>
        <v>208.59319317737922</v>
      </c>
    </row>
    <row r="103" spans="1:36">
      <c r="A103" s="10" t="s">
        <v>59</v>
      </c>
      <c r="B103" s="35">
        <v>0</v>
      </c>
      <c r="C103" s="331">
        <f>C32*Inputs!$C$53</f>
        <v>2349.48</v>
      </c>
      <c r="D103" s="331">
        <f>D32*Inputs!$C$53</f>
        <v>2659.9687295530871</v>
      </c>
      <c r="E103" s="331">
        <f>E32*Inputs!$C$53</f>
        <v>2455.8390276595846</v>
      </c>
      <c r="F103" s="331">
        <f>F32*Inputs!$C$53</f>
        <v>2574.6945279237343</v>
      </c>
      <c r="G103" s="331">
        <f>G32*Inputs!$C$53</f>
        <v>2440.7809570708182</v>
      </c>
      <c r="H103" s="402">
        <f>H32*Inputs!$C$53</f>
        <v>2354.1403377450956</v>
      </c>
      <c r="I103" s="14">
        <f>I32*Inputs!$C$53</f>
        <v>2456.2921744540304</v>
      </c>
      <c r="J103" s="14">
        <f>J32*Inputs!$C$53</f>
        <v>2596.4723307862823</v>
      </c>
      <c r="K103" s="14">
        <f>K32*Inputs!$C$53</f>
        <v>2591.6645171418322</v>
      </c>
      <c r="L103" s="14">
        <f>L32*Inputs!$C$53</f>
        <v>2621.7924147778058</v>
      </c>
      <c r="M103" s="14">
        <f>M32*Inputs!$C$53</f>
        <v>2674.507638380921</v>
      </c>
      <c r="N103" s="182">
        <f>N32*Inputs!$C$53</f>
        <v>2739.4436607762723</v>
      </c>
      <c r="O103" s="14">
        <f>O32*Inputs!$C$53</f>
        <v>2739.5247995448381</v>
      </c>
      <c r="P103" s="14">
        <f>P32*Inputs!$C$53</f>
        <v>2744.6611856934428</v>
      </c>
      <c r="Q103" s="14">
        <f>Q32*Inputs!$C$53</f>
        <v>2780.5459642448336</v>
      </c>
      <c r="R103" s="14">
        <f>R32*Inputs!$C$53</f>
        <v>2791.1651828918116</v>
      </c>
      <c r="S103" s="14">
        <f>S32*Inputs!$C$53</f>
        <v>2795.458509720685</v>
      </c>
      <c r="T103" s="14">
        <f>T32*Inputs!$C$53</f>
        <v>2786.6070877455836</v>
      </c>
      <c r="U103" s="14">
        <f>U32*Inputs!$C$53</f>
        <v>2775.3782409144501</v>
      </c>
      <c r="V103" s="14">
        <f>V32*Inputs!$C$53</f>
        <v>2767.1558575255581</v>
      </c>
      <c r="W103" s="14">
        <f>W32*Inputs!$C$53</f>
        <v>2757.5640877879446</v>
      </c>
      <c r="X103" s="187">
        <f>X32*Inputs!$C$53</f>
        <v>2745.0174170458868</v>
      </c>
      <c r="Y103" s="158">
        <f>Y32*Inputs!$C$53</f>
        <v>2732.5821085799835</v>
      </c>
      <c r="Z103" s="158">
        <f>Z32*Inputs!$C$53</f>
        <v>2726.275207000203</v>
      </c>
      <c r="AA103" s="158">
        <f>AA32*Inputs!$C$53</f>
        <v>2715.1236476253271</v>
      </c>
      <c r="AB103" s="158">
        <f>AB32*Inputs!$C$53</f>
        <v>2708.711432408154</v>
      </c>
      <c r="AC103" s="158">
        <f>AC32*Inputs!$C$53</f>
        <v>2711.069404738631</v>
      </c>
      <c r="AD103" s="158">
        <f>AD32*Inputs!$C$53</f>
        <v>2711.045954047031</v>
      </c>
      <c r="AE103" s="158">
        <f>AE32*Inputs!$C$53</f>
        <v>2723.8814865780801</v>
      </c>
      <c r="AF103" s="158">
        <f>AF32*Inputs!$C$53</f>
        <v>2740.3736638385085</v>
      </c>
      <c r="AG103" s="158">
        <f>AG32*Inputs!$C$53</f>
        <v>2747.8297581218058</v>
      </c>
      <c r="AH103" s="187">
        <f>AH32*Inputs!$C$53</f>
        <v>2747.6351922545127</v>
      </c>
    </row>
    <row r="104" spans="1:36">
      <c r="A104" s="10" t="s">
        <v>121</v>
      </c>
      <c r="B104" s="35">
        <v>1</v>
      </c>
      <c r="C104" s="331">
        <f>C34*Inputs!$C$46</f>
        <v>482.37</v>
      </c>
      <c r="D104" s="331">
        <f>D34*Inputs!$C$46</f>
        <v>582.68094051913624</v>
      </c>
      <c r="E104" s="331">
        <f>E34*Inputs!$C$46</f>
        <v>575.85715220357213</v>
      </c>
      <c r="F104" s="331">
        <f>F34*Inputs!$C$46</f>
        <v>642.07117428934635</v>
      </c>
      <c r="G104" s="331">
        <f>G34*Inputs!$C$46</f>
        <v>649.44691773954924</v>
      </c>
      <c r="H104" s="402">
        <f>H34*Inputs!$C$46</f>
        <v>633.72964849812718</v>
      </c>
      <c r="I104" s="14">
        <f>I34*Inputs!$C$46</f>
        <v>702.77472356250189</v>
      </c>
      <c r="J104" s="14">
        <f>J34*Inputs!$C$46</f>
        <v>789.5954266076767</v>
      </c>
      <c r="K104" s="14">
        <f>K34*Inputs!$C$46</f>
        <v>837.731090777693</v>
      </c>
      <c r="L104" s="14">
        <f>L34*Inputs!$C$46</f>
        <v>900.84260374896849</v>
      </c>
      <c r="M104" s="14">
        <f>M34*Inputs!$C$46</f>
        <v>976.87454498046145</v>
      </c>
      <c r="N104" s="182">
        <f>N34*Inputs!$C$46</f>
        <v>1063.704439702514</v>
      </c>
      <c r="O104" s="14">
        <f>O34*Inputs!$C$46</f>
        <v>1154.7918863378763</v>
      </c>
      <c r="P104" s="14">
        <f>P34*Inputs!$C$46</f>
        <v>1256.2017741132647</v>
      </c>
      <c r="Q104" s="14">
        <f>Q34*Inputs!$C$46</f>
        <v>1382.0288267189064</v>
      </c>
      <c r="R104" s="14">
        <f>R34*Inputs!$C$46</f>
        <v>1506.8328820938564</v>
      </c>
      <c r="S104" s="14">
        <f>S34*Inputs!$C$46</f>
        <v>1639.4695339228776</v>
      </c>
      <c r="T104" s="14">
        <f>T34*Inputs!$C$46</f>
        <v>1775.7309059303902</v>
      </c>
      <c r="U104" s="14">
        <f>U34*Inputs!$C$46</f>
        <v>1922.0173764642136</v>
      </c>
      <c r="V104" s="14">
        <f>V34*Inputs!$C$46</f>
        <v>2082.9909871137415</v>
      </c>
      <c r="W104" s="14">
        <f>W34*Inputs!$C$46</f>
        <v>2256.7599919983536</v>
      </c>
      <c r="X104" s="187">
        <f>X34*Inputs!$C$46</f>
        <v>2442.8721348549798</v>
      </c>
      <c r="Y104" s="158">
        <f>Y34*Inputs!$C$46</f>
        <v>2555.3209247749896</v>
      </c>
      <c r="Z104" s="158">
        <f>Z34*Inputs!$C$46</f>
        <v>2679.1313139054942</v>
      </c>
      <c r="AA104" s="158">
        <f>AA34*Inputs!$C$46</f>
        <v>2804.1556770145667</v>
      </c>
      <c r="AB104" s="158">
        <f>AB34*Inputs!$C$46</f>
        <v>2940.3582327096728</v>
      </c>
      <c r="AC104" s="158">
        <f>AC34*Inputs!$C$46</f>
        <v>3093.4323109542734</v>
      </c>
      <c r="AD104" s="158">
        <f>AD34*Inputs!$C$46</f>
        <v>3251.9025710310179</v>
      </c>
      <c r="AE104" s="158">
        <f>AE34*Inputs!$C$46</f>
        <v>3435.0133753517598</v>
      </c>
      <c r="AF104" s="158">
        <f>AF34*Inputs!$C$46</f>
        <v>3633.5341735761467</v>
      </c>
      <c r="AG104" s="158">
        <f>AG34*Inputs!$C$46</f>
        <v>3831.1482351747727</v>
      </c>
      <c r="AH104" s="187">
        <f>AH34*Inputs!$C$46</f>
        <v>4028.645887769349</v>
      </c>
    </row>
    <row r="105" spans="1:36">
      <c r="A105" s="10" t="s">
        <v>50</v>
      </c>
      <c r="B105" s="35">
        <v>1</v>
      </c>
      <c r="C105" s="331">
        <f>C35*Inputs!$C$49</f>
        <v>0</v>
      </c>
      <c r="D105" s="331">
        <f>D35*Inputs!$C$49</f>
        <v>0</v>
      </c>
      <c r="E105" s="331">
        <f>E35*Inputs!$C$49</f>
        <v>1.00297075E-3</v>
      </c>
      <c r="F105" s="331">
        <f>F35*Inputs!$C$49</f>
        <v>9.3954974999999996E-4</v>
      </c>
      <c r="G105" s="331">
        <f>G35*Inputs!$C$49</f>
        <v>1.0272635E-3</v>
      </c>
      <c r="H105" s="402">
        <f>H35*Inputs!$C$49</f>
        <v>1.0272674999999998E-3</v>
      </c>
      <c r="I105" s="14">
        <f>I35*Inputs!$C$49</f>
        <v>1.1155440370060131E-3</v>
      </c>
      <c r="J105" s="14">
        <f>J35*Inputs!$C$49</f>
        <v>1.2273439146830982E-3</v>
      </c>
      <c r="K105" s="14">
        <f>K35*Inputs!$C$49</f>
        <v>1.2751384649621834E-3</v>
      </c>
      <c r="L105" s="14">
        <f>L35*Inputs!$C$49</f>
        <v>1.342742370498098E-3</v>
      </c>
      <c r="M105" s="14">
        <f>M35*Inputs!$C$49</f>
        <v>1.4258493193500072E-3</v>
      </c>
      <c r="N105" s="182">
        <f>N35*Inputs!$C$49</f>
        <v>1.5203615398698554E-3</v>
      </c>
      <c r="O105" s="14">
        <f>O35*Inputs!$C$49</f>
        <v>1.6505535795571982E-3</v>
      </c>
      <c r="P105" s="14">
        <f>P35*Inputs!$C$49</f>
        <v>1.7954995696099784E-3</v>
      </c>
      <c r="Q105" s="14">
        <f>Q35*Inputs!$C$49</f>
        <v>1.9753452149946118E-3</v>
      </c>
      <c r="R105" s="14">
        <f>R35*Inputs!$C$49</f>
        <v>2.1537286819893796E-3</v>
      </c>
      <c r="S105" s="14">
        <f>S35*Inputs!$C$49</f>
        <v>2.3433073437785037E-3</v>
      </c>
      <c r="T105" s="14">
        <f>T35*Inputs!$C$49</f>
        <v>2.5380668480521331E-3</v>
      </c>
      <c r="U105" s="14">
        <f>U35*Inputs!$C$49</f>
        <v>2.7471553084379248E-3</v>
      </c>
      <c r="V105" s="14">
        <f>V35*Inputs!$C$49</f>
        <v>2.9772362194793157E-3</v>
      </c>
      <c r="W105" s="14">
        <f>W35*Inputs!$C$49</f>
        <v>3.2256056931668632E-3</v>
      </c>
      <c r="X105" s="187">
        <f>X35*Inputs!$C$49</f>
        <v>3.4916173158889749E-3</v>
      </c>
      <c r="Y105" s="158">
        <f>Y35*Inputs!$C$49</f>
        <v>3.6523412999376844E-3</v>
      </c>
      <c r="Z105" s="158">
        <f>Z35*Inputs!$C$49</f>
        <v>3.8293045115634474E-3</v>
      </c>
      <c r="AA105" s="158">
        <f>AA35*Inputs!$C$49</f>
        <v>4.0080028662219259E-3</v>
      </c>
      <c r="AB105" s="158">
        <f>AB35*Inputs!$C$49</f>
        <v>4.202678303854521E-3</v>
      </c>
      <c r="AC105" s="158">
        <f>AC35*Inputs!$C$49</f>
        <v>4.421468347994232E-3</v>
      </c>
      <c r="AD105" s="158">
        <f>AD35*Inputs!$C$49</f>
        <v>4.6479711993889653E-3</v>
      </c>
      <c r="AE105" s="158">
        <f>AE35*Inputs!$C$49</f>
        <v>4.9096929841563105E-3</v>
      </c>
      <c r="AF105" s="158">
        <f>AF35*Inputs!$C$49</f>
        <v>5.1934404004677741E-3</v>
      </c>
      <c r="AG105" s="158">
        <f>AG35*Inputs!$C$49</f>
        <v>5.4758918106320954E-3</v>
      </c>
      <c r="AH105" s="187">
        <f>AH35*Inputs!$C$49</f>
        <v>5.7581768364456066E-3</v>
      </c>
    </row>
    <row r="106" spans="1:36">
      <c r="A106" s="10" t="s">
        <v>119</v>
      </c>
      <c r="B106" s="35">
        <v>1</v>
      </c>
      <c r="C106" s="331"/>
      <c r="D106" s="331"/>
      <c r="E106" s="331"/>
      <c r="F106" s="331"/>
      <c r="G106" s="331"/>
      <c r="H106" s="402"/>
      <c r="I106" s="14"/>
      <c r="J106" s="14"/>
      <c r="K106" s="14"/>
      <c r="L106" s="14"/>
      <c r="M106" s="14"/>
      <c r="N106" s="187"/>
      <c r="O106" s="14"/>
      <c r="P106" s="14"/>
      <c r="Q106" s="14"/>
      <c r="R106" s="14"/>
      <c r="S106" s="14"/>
      <c r="T106" s="14"/>
      <c r="U106" s="14"/>
      <c r="V106" s="14"/>
      <c r="W106" s="14"/>
      <c r="X106" s="187"/>
      <c r="AJ106" s="170" t="s">
        <v>0</v>
      </c>
    </row>
    <row r="107" spans="1:36">
      <c r="A107" s="10" t="s">
        <v>51</v>
      </c>
      <c r="B107" s="35">
        <v>1</v>
      </c>
      <c r="C107" s="331">
        <f>C37*Inputs!$C$52</f>
        <v>0</v>
      </c>
      <c r="D107" s="331">
        <f>D37*Inputs!$C$52</f>
        <v>0</v>
      </c>
      <c r="E107" s="331">
        <f>E37*Inputs!$C$52</f>
        <v>2.0090294999999998E-4</v>
      </c>
      <c r="F107" s="331">
        <f>F37*Inputs!$C$52</f>
        <v>2.0802599999999996E-4</v>
      </c>
      <c r="G107" s="331">
        <f>G37*Inputs!$C$52</f>
        <v>1.6920164999999999E-4</v>
      </c>
      <c r="H107" s="402">
        <f>H37*Inputs!$C$52</f>
        <v>1.8206624999999999E-4</v>
      </c>
      <c r="I107" s="14">
        <f>I37*Inputs!$C$52</f>
        <v>1.9410602227473424E-4</v>
      </c>
      <c r="J107" s="14">
        <f>J37*Inputs!$C$52</f>
        <v>2.096645259421635E-4</v>
      </c>
      <c r="K107" s="14">
        <f>K37*Inputs!$C$52</f>
        <v>2.138564835582235E-4</v>
      </c>
      <c r="L107" s="14">
        <f>L37*Inputs!$C$52</f>
        <v>2.2108748546673351E-4</v>
      </c>
      <c r="M107" s="14">
        <f>M37*Inputs!$C$52</f>
        <v>2.3048968351352696E-4</v>
      </c>
      <c r="N107" s="182">
        <f>N37*Inputs!$C$52</f>
        <v>2.4128544552839818E-4</v>
      </c>
      <c r="O107" s="14">
        <f>O37*Inputs!$C$52</f>
        <v>2.6194727067750071E-4</v>
      </c>
      <c r="P107" s="14">
        <f>P37*Inputs!$C$52</f>
        <v>2.8495058723760887E-4</v>
      </c>
      <c r="Q107" s="14">
        <f>Q37*Inputs!$C$52</f>
        <v>3.1349257250559199E-4</v>
      </c>
      <c r="R107" s="14">
        <f>R37*Inputs!$C$52</f>
        <v>3.4180250614967587E-4</v>
      </c>
      <c r="S107" s="14">
        <f>S37*Inputs!$C$52</f>
        <v>3.718891471708516E-4</v>
      </c>
      <c r="T107" s="14">
        <f>T37*Inputs!$C$52</f>
        <v>4.027980017605141E-4</v>
      </c>
      <c r="U107" s="14">
        <f>U37*Inputs!$C$52</f>
        <v>4.3598090003571716E-4</v>
      </c>
      <c r="V107" s="14">
        <f>V37*Inputs!$C$52</f>
        <v>4.7249535641492413E-4</v>
      </c>
      <c r="W107" s="14">
        <f>W37*Inputs!$C$52</f>
        <v>5.1191225663425194E-4</v>
      </c>
      <c r="X107" s="187">
        <f>X37*Inputs!$C$52</f>
        <v>5.5412901312345609E-4</v>
      </c>
      <c r="Y107" s="158">
        <f>Y37*Inputs!$C$52</f>
        <v>5.7963633955951659E-4</v>
      </c>
      <c r="Z107" s="158">
        <f>Z37*Inputs!$C$52</f>
        <v>6.0772087487531636E-4</v>
      </c>
      <c r="AA107" s="158">
        <f>AA37*Inputs!$C$52</f>
        <v>6.3608078203440806E-4</v>
      </c>
      <c r="AB107" s="158">
        <f>AB37*Inputs!$C$52</f>
        <v>6.6697629502313939E-4</v>
      </c>
      <c r="AC107" s="158">
        <f>AC37*Inputs!$C$52</f>
        <v>7.0169886060576184E-4</v>
      </c>
      <c r="AD107" s="158">
        <f>AD37*Inputs!$C$52</f>
        <v>7.3764546934259494E-4</v>
      </c>
      <c r="AE107" s="158">
        <f>AE37*Inputs!$C$52</f>
        <v>7.791814170668987E-4</v>
      </c>
      <c r="AF107" s="158">
        <f>AF37*Inputs!$C$52</f>
        <v>8.2421289146745742E-4</v>
      </c>
      <c r="AG107" s="158">
        <f>AG37*Inputs!$C$52</f>
        <v>8.6903868622378638E-4</v>
      </c>
      <c r="AH107" s="187">
        <f>AH37*Inputs!$C$52</f>
        <v>9.1383807533832503E-4</v>
      </c>
    </row>
    <row r="108" spans="1:36">
      <c r="A108" s="9" t="s">
        <v>347</v>
      </c>
      <c r="B108" s="35">
        <v>1</v>
      </c>
      <c r="C108" s="331">
        <f>C38*Inputs!$C$54</f>
        <v>0</v>
      </c>
      <c r="D108" s="331">
        <f>D38*Inputs!$C$54</f>
        <v>0</v>
      </c>
      <c r="E108" s="331">
        <f>E38*Inputs!$C$54</f>
        <v>0.15800000000000003</v>
      </c>
      <c r="F108" s="331">
        <f>F38*Inputs!$C$54</f>
        <v>0.15800000000000003</v>
      </c>
      <c r="G108" s="331">
        <f>G38*Inputs!$C$54</f>
        <v>0.15800000000000003</v>
      </c>
      <c r="H108" s="402">
        <f>H38*Inputs!$C$54</f>
        <v>0.15800000000000003</v>
      </c>
      <c r="I108" s="14">
        <f>I38*Inputs!$C$54</f>
        <v>0.16653547139192695</v>
      </c>
      <c r="J108" s="14">
        <f>J38*Inputs!$C$54</f>
        <v>0.17784137124657179</v>
      </c>
      <c r="K108" s="14">
        <f>K38*Inputs!$C$54</f>
        <v>0.17933719153178412</v>
      </c>
      <c r="L108" s="14">
        <f>L38*Inputs!$C$54</f>
        <v>0.18329566934429956</v>
      </c>
      <c r="M108" s="14">
        <f>M38*Inputs!$C$54</f>
        <v>0.1889207393352253</v>
      </c>
      <c r="N108" s="182">
        <f>N38*Inputs!$C$54</f>
        <v>0.19552368412920912</v>
      </c>
      <c r="O108" s="14">
        <f>O38*Inputs!$C$54</f>
        <v>0.21226682487331411</v>
      </c>
      <c r="P108" s="14">
        <f>P38*Inputs!$C$54</f>
        <v>0.23090737400039951</v>
      </c>
      <c r="Q108" s="14">
        <f>Q38*Inputs!$C$54</f>
        <v>0.25403613794111907</v>
      </c>
      <c r="R108" s="14">
        <f>R38*Inputs!$C$54</f>
        <v>0.27697686074942146</v>
      </c>
      <c r="S108" s="14">
        <f>S38*Inputs!$C$54</f>
        <v>0.30135732382563674</v>
      </c>
      <c r="T108" s="14">
        <f>T38*Inputs!$C$54</f>
        <v>0.3264040609313506</v>
      </c>
      <c r="U108" s="14">
        <f>U38*Inputs!$C$54</f>
        <v>0.3532935507082583</v>
      </c>
      <c r="V108" s="14">
        <f>V38*Inputs!$C$54</f>
        <v>0.38288274130200911</v>
      </c>
      <c r="W108" s="14">
        <f>W38*Inputs!$C$54</f>
        <v>0.4148239034842483</v>
      </c>
      <c r="X108" s="187">
        <f>X38*Inputs!$C$54</f>
        <v>0.44903390625784445</v>
      </c>
      <c r="Y108" s="158">
        <f>Y38*Inputs!$C$54</f>
        <v>0.46970355927459861</v>
      </c>
      <c r="Z108" s="158">
        <f>Z38*Inputs!$C$54</f>
        <v>0.49246163239408036</v>
      </c>
      <c r="AA108" s="158">
        <f>AA38*Inputs!$C$54</f>
        <v>0.51544285083087704</v>
      </c>
      <c r="AB108" s="158">
        <f>AB38*Inputs!$C$54</f>
        <v>0.54047877667957323</v>
      </c>
      <c r="AC108" s="158">
        <f>AC38*Inputs!$C$54</f>
        <v>0.56861592324581056</v>
      </c>
      <c r="AD108" s="158">
        <f>AD38*Inputs!$C$54</f>
        <v>0.59774496315447589</v>
      </c>
      <c r="AE108" s="158">
        <f>AE38*Inputs!$C$54</f>
        <v>0.63140327812274577</v>
      </c>
      <c r="AF108" s="158">
        <f>AF38*Inputs!$C$54</f>
        <v>0.66789416449712147</v>
      </c>
      <c r="AG108" s="158">
        <f>AG38*Inputs!$C$54</f>
        <v>0.70421838005676107</v>
      </c>
      <c r="AH108" s="187">
        <f>AH38*Inputs!$C$54</f>
        <v>0.74052119802089567</v>
      </c>
    </row>
    <row r="109" spans="1:36">
      <c r="A109" s="9" t="s">
        <v>348</v>
      </c>
      <c r="B109" s="35">
        <v>1</v>
      </c>
      <c r="C109" s="331">
        <f>C39*Inputs!$C$54</f>
        <v>0</v>
      </c>
      <c r="D109" s="331">
        <f>D39*Inputs!$C$55</f>
        <v>0</v>
      </c>
      <c r="E109" s="331">
        <f>E39*Inputs!$C$55</f>
        <v>2.3000000000000003E-2</v>
      </c>
      <c r="F109" s="331">
        <f>F39*Inputs!$C$55</f>
        <v>2.3000000000000003E-2</v>
      </c>
      <c r="G109" s="331">
        <f>G39*Inputs!$C$55</f>
        <v>2.3000000000000003E-2</v>
      </c>
      <c r="H109" s="402">
        <f>H39*Inputs!$C$55</f>
        <v>2.3000000000000003E-2</v>
      </c>
      <c r="I109" s="14">
        <f>I39*Inputs!$C$55</f>
        <v>2.4242505329204554E-2</v>
      </c>
      <c r="J109" s="14">
        <f>J39*Inputs!$C$55</f>
        <v>2.5888300877665513E-2</v>
      </c>
      <c r="K109" s="14">
        <f>K39*Inputs!$C$55</f>
        <v>2.6106046868550854E-2</v>
      </c>
      <c r="L109" s="14">
        <f>L39*Inputs!$C$55</f>
        <v>2.6682280980499302E-2</v>
      </c>
      <c r="M109" s="14">
        <f>M39*Inputs!$C$55</f>
        <v>2.7501120282975838E-2</v>
      </c>
      <c r="N109" s="182">
        <f>N39*Inputs!$C$55</f>
        <v>2.8462308449188668E-2</v>
      </c>
      <c r="O109" s="14">
        <f>O39*Inputs!$C$55</f>
        <v>3.0899601089153322E-2</v>
      </c>
      <c r="P109" s="14">
        <f>P39*Inputs!$C$55</f>
        <v>3.3613098746893597E-2</v>
      </c>
      <c r="Q109" s="14">
        <f>Q39*Inputs!$C$55</f>
        <v>3.6979944130669233E-2</v>
      </c>
      <c r="R109" s="14">
        <f>R39*Inputs!$C$55</f>
        <v>4.0319416438206919E-2</v>
      </c>
      <c r="S109" s="14">
        <f>S39*Inputs!$C$55</f>
        <v>4.3868471189807884E-2</v>
      </c>
      <c r="T109" s="14">
        <f>T39*Inputs!$C$55</f>
        <v>4.7514515198867492E-2</v>
      </c>
      <c r="U109" s="14">
        <f>U39*Inputs!$C$55</f>
        <v>5.1428808014493302E-2</v>
      </c>
      <c r="V109" s="14">
        <f>V39*Inputs!$C$55</f>
        <v>5.5736095252824108E-2</v>
      </c>
      <c r="W109" s="14">
        <f>W39*Inputs!$C$55</f>
        <v>6.0385758102137407E-2</v>
      </c>
      <c r="X109" s="187">
        <f>X39*Inputs!$C$55</f>
        <v>6.5365695214749511E-2</v>
      </c>
      <c r="Y109" s="158">
        <f>Y39*Inputs!$C$55</f>
        <v>6.8374568755163095E-2</v>
      </c>
      <c r="Z109" s="158">
        <f>Z39*Inputs!$C$55</f>
        <v>7.1687452816859801E-2</v>
      </c>
      <c r="AA109" s="158">
        <f>AA39*Inputs!$C$55</f>
        <v>7.5032820057659322E-2</v>
      </c>
      <c r="AB109" s="158">
        <f>AB39*Inputs!$C$55</f>
        <v>7.8677290276140413E-2</v>
      </c>
      <c r="AC109" s="158">
        <f>AC39*Inputs!$C$55</f>
        <v>8.2773204016795207E-2</v>
      </c>
      <c r="AD109" s="158">
        <f>AD39*Inputs!$C$55</f>
        <v>8.70135072946389E-2</v>
      </c>
      <c r="AE109" s="158">
        <f>AE39*Inputs!$C$55</f>
        <v>9.191313542293135E-2</v>
      </c>
      <c r="AF109" s="158">
        <f>AF39*Inputs!$C$55</f>
        <v>9.7225099895150588E-2</v>
      </c>
      <c r="AG109" s="158">
        <f>AG39*Inputs!$C$55</f>
        <v>0.10251280216016143</v>
      </c>
      <c r="AH109" s="187">
        <f>AH39*Inputs!$C$55</f>
        <v>0.10779738958532026</v>
      </c>
    </row>
    <row r="110" spans="1:36">
      <c r="A110" s="9" t="s">
        <v>344</v>
      </c>
      <c r="B110" s="35">
        <v>1</v>
      </c>
      <c r="C110" s="331">
        <f>C40*Inputs!$C$51</f>
        <v>2.7000000000000001E-3</v>
      </c>
      <c r="D110" s="331">
        <f>D40*Inputs!$C$51</f>
        <v>3.0999296870070463E-3</v>
      </c>
      <c r="E110" s="331">
        <f>E40*Inputs!$C$51</f>
        <v>2.9024344143273656E-3</v>
      </c>
      <c r="F110" s="331">
        <f>F40*Inputs!$C$51</f>
        <v>3.0858820076996437E-3</v>
      </c>
      <c r="G110" s="331">
        <f>G40*Inputs!$C$51</f>
        <v>2.9667254687464491E-3</v>
      </c>
      <c r="H110" s="402">
        <f>H40*Inputs!$C$51</f>
        <v>2.7000000000000001E-3</v>
      </c>
      <c r="I110" s="14">
        <f>I40*Inputs!$C$51</f>
        <v>2.8458593212544476E-3</v>
      </c>
      <c r="J110" s="14">
        <f>J40*Inputs!$C$51</f>
        <v>3.039061407378126E-3</v>
      </c>
      <c r="K110" s="14">
        <f>K40*Inputs!$C$51</f>
        <v>3.0646228932646657E-3</v>
      </c>
      <c r="L110" s="14">
        <f>L40*Inputs!$C$51</f>
        <v>3.1322677672760051E-3</v>
      </c>
      <c r="M110" s="14">
        <f>M40*Inputs!$C$51</f>
        <v>3.228392381044989E-3</v>
      </c>
      <c r="N110" s="182">
        <f>N40*Inputs!$C$51</f>
        <v>3.3412275136004083E-3</v>
      </c>
      <c r="O110" s="14">
        <f>O40*Inputs!$C$51</f>
        <v>3.6273444756832161E-3</v>
      </c>
      <c r="P110" s="14">
        <f>P40*Inputs!$C$51</f>
        <v>3.9458855050701191E-3</v>
      </c>
      <c r="Q110" s="14">
        <f>Q40*Inputs!$C$51</f>
        <v>4.3411238762089974E-3</v>
      </c>
      <c r="R110" s="14">
        <f>R40*Inputs!$C$51</f>
        <v>4.7331488862242914E-3</v>
      </c>
      <c r="S110" s="14">
        <f>S40*Inputs!$C$51</f>
        <v>5.1497770527165771E-3</v>
      </c>
      <c r="T110" s="14">
        <f>T40*Inputs!$C$51</f>
        <v>5.5777909146496624E-3</v>
      </c>
      <c r="U110" s="14">
        <f>U40*Inputs!$C$51</f>
        <v>6.0372948538753007E-3</v>
      </c>
      <c r="V110" s="14">
        <f>V40*Inputs!$C$51</f>
        <v>6.5429329209836995E-3</v>
      </c>
      <c r="W110" s="14">
        <f>W40*Inputs!$C$51</f>
        <v>7.0887629076422176E-3</v>
      </c>
      <c r="X110" s="187">
        <f>X40*Inputs!$C$51</f>
        <v>7.6733642208619002E-3</v>
      </c>
      <c r="Y110" s="158">
        <f>Y40*Inputs!$C$51</f>
        <v>8.0265798103887117E-3</v>
      </c>
      <c r="Z110" s="158">
        <f>Z40*Inputs!$C$51</f>
        <v>8.4154835915444121E-3</v>
      </c>
      <c r="AA110" s="158">
        <f>AA40*Inputs!$C$51</f>
        <v>8.808200615464357E-3</v>
      </c>
      <c r="AB110" s="158">
        <f>AB40*Inputs!$C$51</f>
        <v>9.2360297280686572E-3</v>
      </c>
      <c r="AC110" s="158">
        <f>AC40*Inputs!$C$51</f>
        <v>9.7168543845803108E-3</v>
      </c>
      <c r="AD110" s="158">
        <f>AD40*Inputs!$C$51</f>
        <v>1.0214629117196745E-2</v>
      </c>
      <c r="AE110" s="158">
        <f>AE40*Inputs!$C$51</f>
        <v>1.0789802853996291E-2</v>
      </c>
      <c r="AF110" s="158">
        <f>AF40*Inputs!$C$51</f>
        <v>1.1413381292039421E-2</v>
      </c>
      <c r="AG110" s="158">
        <f>AG40*Inputs!$C$51</f>
        <v>1.2034111557931998E-2</v>
      </c>
      <c r="AH110" s="187">
        <f>AH40*Inputs!$C$51</f>
        <v>1.2654476168711513E-2</v>
      </c>
    </row>
    <row r="111" spans="1:36">
      <c r="A111" s="10" t="s">
        <v>120</v>
      </c>
      <c r="B111" s="35">
        <v>1</v>
      </c>
      <c r="C111" s="331"/>
      <c r="D111" s="331"/>
      <c r="E111" s="331"/>
      <c r="F111" s="331"/>
      <c r="G111" s="331"/>
      <c r="H111" s="402"/>
      <c r="I111" s="14"/>
      <c r="J111" s="14"/>
      <c r="K111" s="14"/>
      <c r="L111" s="14"/>
      <c r="M111" s="14"/>
      <c r="N111" s="187"/>
      <c r="O111" s="14"/>
      <c r="P111" s="14"/>
      <c r="Q111" s="14"/>
      <c r="R111" s="14"/>
      <c r="S111" s="14"/>
      <c r="T111" s="14"/>
      <c r="U111" s="14"/>
      <c r="V111" s="14"/>
      <c r="W111" s="14"/>
      <c r="X111" s="187"/>
    </row>
    <row r="112" spans="1:36">
      <c r="A112" s="10" t="s">
        <v>53</v>
      </c>
      <c r="B112" s="35">
        <v>1</v>
      </c>
      <c r="C112" s="331">
        <f>C42*Inputs!$C$57</f>
        <v>0</v>
      </c>
      <c r="D112" s="331">
        <f>D42*Inputs!$C$57</f>
        <v>0</v>
      </c>
      <c r="E112" s="331">
        <f>E42*Inputs!$C$57</f>
        <v>6.6272665700000018E-4</v>
      </c>
      <c r="F112" s="331">
        <f>F42*Inputs!$C$57</f>
        <v>7.4130069100000002E-4</v>
      </c>
      <c r="G112" s="331">
        <f>G42*Inputs!$C$57</f>
        <v>7.9527526599999982E-4</v>
      </c>
      <c r="H112" s="402">
        <f>H42*Inputs!$C$57</f>
        <v>7.9969280100000001E-4</v>
      </c>
      <c r="I112" s="14">
        <f>I42*Inputs!$C$57</f>
        <v>1.0093402180000001E-3</v>
      </c>
      <c r="J112" s="14">
        <f>J42*Inputs!$C$57</f>
        <v>1.1454708799999999E-3</v>
      </c>
      <c r="K112" s="14">
        <f>K42*Inputs!$C$57</f>
        <v>1.1454764899999999E-3</v>
      </c>
      <c r="L112" s="14">
        <f>L42*Inputs!$C$57</f>
        <v>1.178930799797922E-3</v>
      </c>
      <c r="M112" s="14">
        <f>M42*Inputs!$C$57</f>
        <v>1.29012933029158E-3</v>
      </c>
      <c r="N112" s="182">
        <f>N42*Inputs!$C$57</f>
        <v>1.4176547800844558E-3</v>
      </c>
      <c r="O112" s="14">
        <f>O42*Inputs!$C$57</f>
        <v>1.5390518047734018E-3</v>
      </c>
      <c r="P112" s="14">
        <f>P42*Inputs!$C$57</f>
        <v>1.6742060889773989E-3</v>
      </c>
      <c r="Q112" s="14">
        <f>Q42*Inputs!$C$57</f>
        <v>1.8419024113131538E-3</v>
      </c>
      <c r="R112" s="14">
        <f>R42*Inputs!$C$57</f>
        <v>2.0082353315045032E-3</v>
      </c>
      <c r="S112" s="14">
        <f>S42*Inputs!$C$57</f>
        <v>2.1850071644136495E-3</v>
      </c>
      <c r="T112" s="14">
        <f>T42*Inputs!$C$57</f>
        <v>2.3666098523006532E-3</v>
      </c>
      <c r="U112" s="14">
        <f>U42*Inputs!$C$57</f>
        <v>2.5615735155828686E-3</v>
      </c>
      <c r="V112" s="14">
        <f>V42*Inputs!$C$57</f>
        <v>2.7761115019699317E-3</v>
      </c>
      <c r="W112" s="14">
        <f>W42*Inputs!$C$57</f>
        <v>3.0077025823588453E-3</v>
      </c>
      <c r="X112" s="187">
        <f>X42*Inputs!$C$57</f>
        <v>3.2557440110721168E-3</v>
      </c>
      <c r="Y112" s="158">
        <f>Y42*Inputs!$C$57</f>
        <v>3.4056104200055966E-3</v>
      </c>
      <c r="Z112" s="158">
        <f>Z42*Inputs!$C$57</f>
        <v>3.5706190289985832E-3</v>
      </c>
      <c r="AA112" s="158">
        <f>AA42*Inputs!$C$57</f>
        <v>3.7372455648793223E-3</v>
      </c>
      <c r="AB112" s="158">
        <f>AB42*Inputs!$C$57</f>
        <v>3.9187698651773333E-3</v>
      </c>
      <c r="AC112" s="158">
        <f>AC42*Inputs!$C$57</f>
        <v>4.1227797297889446E-3</v>
      </c>
      <c r="AD112" s="158">
        <f>AD42*Inputs!$C$57</f>
        <v>4.3339813693739531E-3</v>
      </c>
      <c r="AE112" s="158">
        <f>AE42*Inputs!$C$57</f>
        <v>4.578022756568885E-3</v>
      </c>
      <c r="AF112" s="158">
        <f>AF42*Inputs!$C$57</f>
        <v>4.8426018520812547E-3</v>
      </c>
      <c r="AG112" s="158">
        <f>AG42*Inputs!$C$57</f>
        <v>5.1059724920642429E-3</v>
      </c>
      <c r="AH112" s="187">
        <f>AH42*Inputs!$C$57</f>
        <v>5.3691879876529075E-3</v>
      </c>
      <c r="AI112" s="31" t="s">
        <v>0</v>
      </c>
    </row>
    <row r="113" spans="1:35" s="20" customFormat="1">
      <c r="A113" s="10" t="s">
        <v>384</v>
      </c>
      <c r="B113" s="37"/>
      <c r="C113" s="334">
        <f>SUM(C100:C112)</f>
        <v>3017.2511999999997</v>
      </c>
      <c r="D113" s="334">
        <f t="shared" ref="D113:AH113" si="87">SUM(D100:D112)</f>
        <v>3451.8065934601987</v>
      </c>
      <c r="E113" s="334">
        <f t="shared" si="87"/>
        <v>3224.3008628779003</v>
      </c>
      <c r="F113" s="334">
        <f t="shared" si="87"/>
        <v>3417.9701205729025</v>
      </c>
      <c r="G113" s="334">
        <f t="shared" si="87"/>
        <v>3280.3051305123249</v>
      </c>
      <c r="H113" s="404">
        <f t="shared" si="87"/>
        <v>3185.9759395087854</v>
      </c>
      <c r="I113" s="19">
        <f t="shared" si="87"/>
        <v>3362.318067554997</v>
      </c>
      <c r="J113" s="19">
        <f t="shared" si="87"/>
        <v>3597.3200064522607</v>
      </c>
      <c r="K113" s="19">
        <f t="shared" si="87"/>
        <v>3636.7134587239625</v>
      </c>
      <c r="L113" s="19">
        <f t="shared" si="87"/>
        <v>3728.8267118777808</v>
      </c>
      <c r="M113" s="19">
        <f t="shared" si="87"/>
        <v>3858.1606124575405</v>
      </c>
      <c r="N113" s="182">
        <f t="shared" si="87"/>
        <v>4011.3499207841078</v>
      </c>
      <c r="O113" s="19">
        <f t="shared" si="87"/>
        <v>4102.5444048298768</v>
      </c>
      <c r="P113" s="19">
        <f t="shared" si="87"/>
        <v>4209.5025952900969</v>
      </c>
      <c r="Q113" s="19">
        <f t="shared" si="87"/>
        <v>4373.9659708103673</v>
      </c>
      <c r="R113" s="19">
        <f t="shared" si="87"/>
        <v>4510.222473058514</v>
      </c>
      <c r="S113" s="19">
        <f t="shared" si="87"/>
        <v>4647.5071323116581</v>
      </c>
      <c r="T113" s="19">
        <f t="shared" si="87"/>
        <v>4774.2746338758152</v>
      </c>
      <c r="U113" s="19">
        <f t="shared" si="87"/>
        <v>4908.5114937617045</v>
      </c>
      <c r="V113" s="19">
        <f t="shared" si="87"/>
        <v>5060.6733826822574</v>
      </c>
      <c r="W113" s="19">
        <f t="shared" si="87"/>
        <v>5224.1600920843848</v>
      </c>
      <c r="X113" s="182">
        <f t="shared" si="87"/>
        <v>5396.8133849674314</v>
      </c>
      <c r="Y113" s="206">
        <f t="shared" si="87"/>
        <v>5495.9071785481992</v>
      </c>
      <c r="Z113" s="206">
        <f t="shared" si="87"/>
        <v>5612.9586927372302</v>
      </c>
      <c r="AA113" s="206">
        <f t="shared" si="87"/>
        <v>5726.0119925797362</v>
      </c>
      <c r="AB113" s="206">
        <f t="shared" si="87"/>
        <v>5855.3450499664114</v>
      </c>
      <c r="AC113" s="206">
        <f t="shared" si="87"/>
        <v>6010.9892829687387</v>
      </c>
      <c r="AD113" s="206">
        <f t="shared" si="87"/>
        <v>6169.4686528084503</v>
      </c>
      <c r="AE113" s="206">
        <f t="shared" si="87"/>
        <v>6366.4291097413761</v>
      </c>
      <c r="AF113" s="206">
        <f t="shared" si="87"/>
        <v>6582.737147470516</v>
      </c>
      <c r="AG113" s="206">
        <f t="shared" si="87"/>
        <v>6788.4161735965181</v>
      </c>
      <c r="AH113" s="182">
        <f t="shared" si="87"/>
        <v>6985.7472874679161</v>
      </c>
      <c r="AI113" s="31" t="s">
        <v>0</v>
      </c>
    </row>
    <row r="114" spans="1:35" s="20" customFormat="1">
      <c r="A114" s="10" t="s">
        <v>385</v>
      </c>
      <c r="B114" s="37"/>
      <c r="C114" s="334">
        <f>SUM(C101:C103)</f>
        <v>2534.8784999999998</v>
      </c>
      <c r="D114" s="334">
        <f t="shared" ref="D114:AH114" si="88">SUM(D101:D103)</f>
        <v>2869.1225530113757</v>
      </c>
      <c r="E114" s="334">
        <f t="shared" si="88"/>
        <v>2648.2579416395565</v>
      </c>
      <c r="F114" s="334">
        <f t="shared" si="88"/>
        <v>2775.7129715251072</v>
      </c>
      <c r="G114" s="334">
        <f t="shared" si="88"/>
        <v>2630.6722543068913</v>
      </c>
      <c r="H114" s="404">
        <f t="shared" si="88"/>
        <v>2552.0605819841071</v>
      </c>
      <c r="I114" s="19">
        <f t="shared" si="88"/>
        <v>2659.3474011661756</v>
      </c>
      <c r="J114" s="19">
        <f t="shared" si="88"/>
        <v>2807.515228631732</v>
      </c>
      <c r="K114" s="19">
        <f t="shared" si="88"/>
        <v>2798.7712256135374</v>
      </c>
      <c r="L114" s="19">
        <f t="shared" si="88"/>
        <v>2827.7682551500648</v>
      </c>
      <c r="M114" s="19">
        <f t="shared" si="88"/>
        <v>2881.0634707567469</v>
      </c>
      <c r="N114" s="182">
        <f t="shared" si="88"/>
        <v>2947.4149745597365</v>
      </c>
      <c r="O114" s="19">
        <f t="shared" si="88"/>
        <v>2947.5022731689073</v>
      </c>
      <c r="P114" s="19">
        <f t="shared" si="88"/>
        <v>2953.028600162334</v>
      </c>
      <c r="Q114" s="19">
        <f t="shared" si="88"/>
        <v>2991.6376561453135</v>
      </c>
      <c r="R114" s="19">
        <f t="shared" si="88"/>
        <v>3003.0630577720649</v>
      </c>
      <c r="S114" s="19">
        <f t="shared" si="88"/>
        <v>3007.6823226130559</v>
      </c>
      <c r="T114" s="19">
        <f t="shared" si="88"/>
        <v>2998.1589241036781</v>
      </c>
      <c r="U114" s="19">
        <f t="shared" si="88"/>
        <v>2986.0776129341898</v>
      </c>
      <c r="V114" s="19">
        <f t="shared" si="88"/>
        <v>2977.2310079559643</v>
      </c>
      <c r="W114" s="19">
        <f t="shared" si="88"/>
        <v>2966.9110564410062</v>
      </c>
      <c r="X114" s="182">
        <f t="shared" si="88"/>
        <v>2953.4118756564185</v>
      </c>
      <c r="Y114" s="206">
        <f t="shared" si="88"/>
        <v>2940.0325114773109</v>
      </c>
      <c r="Z114" s="206">
        <f t="shared" si="88"/>
        <v>2933.2468066185179</v>
      </c>
      <c r="AA114" s="206">
        <f t="shared" si="88"/>
        <v>2921.2486503644532</v>
      </c>
      <c r="AB114" s="206">
        <f t="shared" si="88"/>
        <v>2914.349636735591</v>
      </c>
      <c r="AC114" s="206">
        <f t="shared" si="88"/>
        <v>2916.8866200858802</v>
      </c>
      <c r="AD114" s="206">
        <f t="shared" si="88"/>
        <v>2916.8613890798279</v>
      </c>
      <c r="AE114" s="206">
        <f t="shared" si="88"/>
        <v>2930.6713612760591</v>
      </c>
      <c r="AF114" s="206">
        <f t="shared" si="88"/>
        <v>2948.4155809935423</v>
      </c>
      <c r="AG114" s="206">
        <f t="shared" si="88"/>
        <v>2956.4377222249818</v>
      </c>
      <c r="AH114" s="182">
        <f t="shared" si="88"/>
        <v>2956.2283854318921</v>
      </c>
      <c r="AI114" s="31"/>
    </row>
    <row r="115" spans="1:35" s="20" customFormat="1">
      <c r="A115" s="10" t="s">
        <v>386</v>
      </c>
      <c r="B115" s="37"/>
      <c r="C115" s="334">
        <f>SUMPRODUCT($B104:$B112,C104:C112)</f>
        <v>482.37270000000001</v>
      </c>
      <c r="D115" s="334">
        <f t="shared" ref="D115:AH115" si="89">SUMPRODUCT($B104:$B112,D104:D112)</f>
        <v>582.68404044882323</v>
      </c>
      <c r="E115" s="334">
        <f t="shared" si="89"/>
        <v>576.04292123834352</v>
      </c>
      <c r="F115" s="334">
        <f t="shared" si="89"/>
        <v>642.257149047795</v>
      </c>
      <c r="G115" s="334">
        <f t="shared" si="89"/>
        <v>649.63287620543394</v>
      </c>
      <c r="H115" s="404">
        <f t="shared" si="89"/>
        <v>633.91535752467826</v>
      </c>
      <c r="I115" s="19">
        <f t="shared" si="89"/>
        <v>702.97066638882166</v>
      </c>
      <c r="J115" s="19">
        <f t="shared" si="89"/>
        <v>789.80477782052913</v>
      </c>
      <c r="K115" s="19">
        <f t="shared" si="89"/>
        <v>837.94223311042515</v>
      </c>
      <c r="L115" s="19">
        <f t="shared" si="89"/>
        <v>901.05845672771625</v>
      </c>
      <c r="M115" s="19">
        <f t="shared" si="89"/>
        <v>977.09714170079394</v>
      </c>
      <c r="N115" s="182">
        <f t="shared" si="89"/>
        <v>1063.9349462243717</v>
      </c>
      <c r="O115" s="19">
        <f t="shared" si="89"/>
        <v>1155.0421316609695</v>
      </c>
      <c r="P115" s="19">
        <f t="shared" si="89"/>
        <v>1256.4739951277629</v>
      </c>
      <c r="Q115" s="19">
        <f t="shared" si="89"/>
        <v>1382.3283146650533</v>
      </c>
      <c r="R115" s="19">
        <f t="shared" si="89"/>
        <v>1507.1594152864502</v>
      </c>
      <c r="S115" s="19">
        <f t="shared" si="89"/>
        <v>1639.8248096986013</v>
      </c>
      <c r="T115" s="19">
        <f t="shared" si="89"/>
        <v>1776.1157097721371</v>
      </c>
      <c r="U115" s="19">
        <f t="shared" si="89"/>
        <v>1922.4338808275143</v>
      </c>
      <c r="V115" s="19">
        <f t="shared" si="89"/>
        <v>2083.4423747262958</v>
      </c>
      <c r="W115" s="19">
        <f t="shared" si="89"/>
        <v>2257.24903564338</v>
      </c>
      <c r="X115" s="182">
        <f t="shared" si="89"/>
        <v>2443.4015093110129</v>
      </c>
      <c r="Y115" s="206">
        <f t="shared" si="89"/>
        <v>2555.8746670708892</v>
      </c>
      <c r="Z115" s="206">
        <f t="shared" si="89"/>
        <v>2679.7118861187128</v>
      </c>
      <c r="AA115" s="206">
        <f t="shared" si="89"/>
        <v>2804.7633422152835</v>
      </c>
      <c r="AB115" s="206">
        <f t="shared" si="89"/>
        <v>2940.9954132308212</v>
      </c>
      <c r="AC115" s="206">
        <f t="shared" si="89"/>
        <v>3094.102662882859</v>
      </c>
      <c r="AD115" s="206">
        <f t="shared" si="89"/>
        <v>3252.6072637286225</v>
      </c>
      <c r="AE115" s="206">
        <f t="shared" si="89"/>
        <v>3435.7577484653175</v>
      </c>
      <c r="AF115" s="206">
        <f t="shared" si="89"/>
        <v>3634.3215664769755</v>
      </c>
      <c r="AG115" s="206">
        <f t="shared" si="89"/>
        <v>3831.9784513715363</v>
      </c>
      <c r="AH115" s="182">
        <f t="shared" si="89"/>
        <v>4029.5189020360231</v>
      </c>
    </row>
    <row r="116" spans="1:35" s="20" customFormat="1">
      <c r="A116" s="10" t="s">
        <v>142</v>
      </c>
      <c r="B116" s="37"/>
      <c r="C116" s="334">
        <f>C47*Inputs!$C$60</f>
        <v>5169.5489999999982</v>
      </c>
      <c r="D116" s="334">
        <f>D47*Inputs!$C$60</f>
        <v>2598.326052552909</v>
      </c>
      <c r="E116" s="334">
        <f>E47*Inputs!$C$60</f>
        <v>2526.7582954896061</v>
      </c>
      <c r="F116" s="334">
        <f>F47*Inputs!$C$60</f>
        <v>2127.7993021131083</v>
      </c>
      <c r="G116" s="334">
        <f>G47*Inputs!$C$60</f>
        <v>2313.6645470375565</v>
      </c>
      <c r="H116" s="404">
        <f>H47*Inputs!$C$60</f>
        <v>2410.8832385920464</v>
      </c>
      <c r="I116" s="19">
        <f>I47*Inputs!$C$60</f>
        <v>2274.5771708408433</v>
      </c>
      <c r="J116" s="19">
        <f>J47*Inputs!$C$60</f>
        <v>2170.593706991614</v>
      </c>
      <c r="K116" s="19">
        <f>K47*Inputs!$C$60</f>
        <v>2311.0583852174918</v>
      </c>
      <c r="L116" s="19">
        <f>L47*Inputs!$C$60</f>
        <v>2359.4546368369906</v>
      </c>
      <c r="M116" s="19">
        <f>M47*Inputs!$C$60</f>
        <v>2365.1222907975907</v>
      </c>
      <c r="N116" s="182">
        <f>N47*Inputs!$C$60</f>
        <v>2337.573553512384</v>
      </c>
      <c r="O116" s="19">
        <f>O47*Inputs!$C$60</f>
        <v>2353.2405338534359</v>
      </c>
      <c r="P116" s="19">
        <f>P47*Inputs!$C$60</f>
        <v>2362.1803854298128</v>
      </c>
      <c r="Q116" s="19">
        <f>Q47*Inputs!$C$60</f>
        <v>2355.6875882539794</v>
      </c>
      <c r="R116" s="19">
        <f>R47*Inputs!$C$60</f>
        <v>2373.7763192161297</v>
      </c>
      <c r="S116" s="19">
        <f>S47*Inputs!$C$60</f>
        <v>2398.7621851229947</v>
      </c>
      <c r="T116" s="19">
        <f>T47*Inputs!$C$60</f>
        <v>2386.8286714010455</v>
      </c>
      <c r="U116" s="19">
        <f>U47*Inputs!$C$60</f>
        <v>2374.5421439599641</v>
      </c>
      <c r="V116" s="19">
        <f>V47*Inputs!$C$60</f>
        <v>2359.1912917084542</v>
      </c>
      <c r="W116" s="19">
        <f>W47*Inputs!$C$60</f>
        <v>2352.1856449719144</v>
      </c>
      <c r="X116" s="182">
        <f>X47*Inputs!$C$60</f>
        <v>2336.7470209274256</v>
      </c>
      <c r="Y116" s="206">
        <f>Y47*Inputs!$C$60</f>
        <v>2326.7516069534126</v>
      </c>
      <c r="Z116" s="206">
        <f>Z47*Inputs!$C$60</f>
        <v>2314.2423119419122</v>
      </c>
      <c r="AA116" s="206">
        <f>AA47*Inputs!$C$60</f>
        <v>2301.4159940776181</v>
      </c>
      <c r="AB116" s="206">
        <f>AB47*Inputs!$C$60</f>
        <v>2287.4757474939311</v>
      </c>
      <c r="AC116" s="206">
        <f>AC47*Inputs!$C$60</f>
        <v>2270.1029284659148</v>
      </c>
      <c r="AD116" s="206">
        <f>AD47*Inputs!$C$60</f>
        <v>2253.6766806710502</v>
      </c>
      <c r="AE116" s="206">
        <f>AE47*Inputs!$C$60</f>
        <v>2233.5591218533064</v>
      </c>
      <c r="AF116" s="206">
        <f>AF47*Inputs!$C$60</f>
        <v>2212.5549926328117</v>
      </c>
      <c r="AG116" s="206">
        <f>AG47*Inputs!$C$60</f>
        <v>2195.0792526152868</v>
      </c>
      <c r="AH116" s="182">
        <f>AH47*Inputs!$C$60</f>
        <v>2178.2934364155722</v>
      </c>
      <c r="AI116" s="31"/>
    </row>
    <row r="117" spans="1:35" s="20" customFormat="1">
      <c r="A117" s="10" t="s">
        <v>222</v>
      </c>
      <c r="B117" s="37"/>
      <c r="C117" s="334">
        <f>C48*Inputs!$C$61</f>
        <v>2215.5209999999993</v>
      </c>
      <c r="D117" s="334">
        <f>D48*Inputs!$C$61</f>
        <v>5576.3439576273422</v>
      </c>
      <c r="E117" s="334">
        <f>E48*Inputs!$C$61</f>
        <v>5062.0987623087112</v>
      </c>
      <c r="F117" s="334">
        <f>F48*Inputs!$C$61</f>
        <v>5883.0514367484184</v>
      </c>
      <c r="G117" s="334">
        <f>G48*Inputs!$C$61</f>
        <v>5340.6186923546993</v>
      </c>
      <c r="H117" s="404">
        <f>H48*Inputs!$C$61</f>
        <v>5149.1124838676687</v>
      </c>
      <c r="I117" s="19">
        <f>I48*Inputs!$C$61</f>
        <v>5530.6366785967966</v>
      </c>
      <c r="J117" s="19">
        <f>J48*Inputs!$C$61</f>
        <v>5994.2095330644515</v>
      </c>
      <c r="K117" s="19">
        <f>K48*Inputs!$C$61</f>
        <v>5790.6684456137991</v>
      </c>
      <c r="L117" s="19">
        <f>L48*Inputs!$C$61</f>
        <v>5736.9642594919924</v>
      </c>
      <c r="M117" s="19">
        <f>M48*Inputs!$C$61</f>
        <v>5792.6131490608141</v>
      </c>
      <c r="N117" s="182">
        <f>N48*Inputs!$C$61</f>
        <v>5914.1498438364752</v>
      </c>
      <c r="O117" s="19">
        <f>O48*Inputs!$C$61</f>
        <v>5993.9269036916403</v>
      </c>
      <c r="P117" s="19">
        <f>P48*Inputs!$C$61</f>
        <v>6095.8336489914218</v>
      </c>
      <c r="Q117" s="19">
        <f>Q48*Inputs!$C$61</f>
        <v>6309.2568647994804</v>
      </c>
      <c r="R117" s="19">
        <f>R48*Inputs!$C$61</f>
        <v>6419.1024026094065</v>
      </c>
      <c r="S117" s="19">
        <f>S48*Inputs!$C$61</f>
        <v>6501.0417495341062</v>
      </c>
      <c r="T117" s="19">
        <f>T48*Inputs!$C$61</f>
        <v>6578.1272054741639</v>
      </c>
      <c r="U117" s="19">
        <f>U48*Inputs!$C$61</f>
        <v>6644.7161293072604</v>
      </c>
      <c r="V117" s="19">
        <f>V48*Inputs!$C$61</f>
        <v>6720.8857202210302</v>
      </c>
      <c r="W117" s="19">
        <f>W48*Inputs!$C$61</f>
        <v>6781.0273896682065</v>
      </c>
      <c r="X117" s="182">
        <f>X48*Inputs!$C$61</f>
        <v>6835.7231254929857</v>
      </c>
      <c r="Y117" s="206">
        <f>Y48*Inputs!$C$61</f>
        <v>6854.3000703887237</v>
      </c>
      <c r="Z117" s="206">
        <f>Z48*Inputs!$C$61</f>
        <v>6894.4351710075525</v>
      </c>
      <c r="AA117" s="206">
        <f>AA48*Inputs!$C$61</f>
        <v>6916.7916467871892</v>
      </c>
      <c r="AB117" s="206">
        <f>AB48*Inputs!$C$61</f>
        <v>6954.5294318112183</v>
      </c>
      <c r="AC117" s="206">
        <f>AC48*Inputs!$C$61</f>
        <v>7023.9832852816462</v>
      </c>
      <c r="AD117" s="206">
        <f>AD48*Inputs!$C$61</f>
        <v>7082.4741353785912</v>
      </c>
      <c r="AE117" s="206">
        <f>AE48*Inputs!$C$61</f>
        <v>7187.2488519609069</v>
      </c>
      <c r="AF117" s="206">
        <f>AF48*Inputs!$C$61</f>
        <v>7303.8537364180211</v>
      </c>
      <c r="AG117" s="206">
        <f>AG48*Inputs!$C$61</f>
        <v>7383.2881690084932</v>
      </c>
      <c r="AH117" s="182">
        <f>AH48*Inputs!$C$61</f>
        <v>7432.7080482184765</v>
      </c>
      <c r="AI117" s="31"/>
    </row>
    <row r="118" spans="1:35" s="20" customFormat="1">
      <c r="A118" s="10" t="s">
        <v>58</v>
      </c>
      <c r="B118" s="37"/>
      <c r="C118" s="334">
        <f>SUM(C113,C116,C117)</f>
        <v>10402.321199999997</v>
      </c>
      <c r="D118" s="334">
        <f>SUM(D113,D116,D117)</f>
        <v>11626.476603640451</v>
      </c>
      <c r="E118" s="334">
        <f t="shared" ref="E118:AH118" si="90">SUM(E113,E116,E117)</f>
        <v>10813.157920676218</v>
      </c>
      <c r="F118" s="334">
        <f t="shared" si="90"/>
        <v>11428.820859434429</v>
      </c>
      <c r="G118" s="334">
        <f t="shared" si="90"/>
        <v>10934.588369904581</v>
      </c>
      <c r="H118" s="404">
        <f t="shared" si="90"/>
        <v>10745.9716619685</v>
      </c>
      <c r="I118" s="19">
        <f t="shared" si="90"/>
        <v>11167.531916992637</v>
      </c>
      <c r="J118" s="19">
        <f t="shared" si="90"/>
        <v>11762.123246508327</v>
      </c>
      <c r="K118" s="19">
        <f t="shared" si="90"/>
        <v>11738.440289555254</v>
      </c>
      <c r="L118" s="19">
        <f t="shared" si="90"/>
        <v>11825.245608206764</v>
      </c>
      <c r="M118" s="19">
        <f t="shared" si="90"/>
        <v>12015.896052315944</v>
      </c>
      <c r="N118" s="182">
        <f t="shared" si="90"/>
        <v>12263.073318132967</v>
      </c>
      <c r="O118" s="19">
        <f t="shared" si="90"/>
        <v>12449.711842374953</v>
      </c>
      <c r="P118" s="19">
        <f t="shared" si="90"/>
        <v>12667.516629711332</v>
      </c>
      <c r="Q118" s="19">
        <f t="shared" si="90"/>
        <v>13038.910423863828</v>
      </c>
      <c r="R118" s="19">
        <f t="shared" si="90"/>
        <v>13303.10119488405</v>
      </c>
      <c r="S118" s="19">
        <f t="shared" si="90"/>
        <v>13547.311066968759</v>
      </c>
      <c r="T118" s="19">
        <f t="shared" si="90"/>
        <v>13739.230510751026</v>
      </c>
      <c r="U118" s="19">
        <f t="shared" si="90"/>
        <v>13927.769767028929</v>
      </c>
      <c r="V118" s="19">
        <f t="shared" si="90"/>
        <v>14140.750394611743</v>
      </c>
      <c r="W118" s="19">
        <f t="shared" si="90"/>
        <v>14357.373126724506</v>
      </c>
      <c r="X118" s="182">
        <f t="shared" si="90"/>
        <v>14569.283531387842</v>
      </c>
      <c r="Y118" s="206">
        <f t="shared" si="90"/>
        <v>14676.958855890334</v>
      </c>
      <c r="Z118" s="206">
        <f t="shared" si="90"/>
        <v>14821.636175686694</v>
      </c>
      <c r="AA118" s="206">
        <f t="shared" si="90"/>
        <v>14944.219633444543</v>
      </c>
      <c r="AB118" s="206">
        <f t="shared" si="90"/>
        <v>15097.35022927156</v>
      </c>
      <c r="AC118" s="206">
        <f t="shared" si="90"/>
        <v>15305.075496716301</v>
      </c>
      <c r="AD118" s="206">
        <f t="shared" si="90"/>
        <v>15505.619468858091</v>
      </c>
      <c r="AE118" s="206">
        <f t="shared" si="90"/>
        <v>15787.237083555588</v>
      </c>
      <c r="AF118" s="206">
        <f t="shared" si="90"/>
        <v>16099.145876521348</v>
      </c>
      <c r="AG118" s="206">
        <f t="shared" si="90"/>
        <v>16366.783595220299</v>
      </c>
      <c r="AH118" s="182">
        <f t="shared" si="90"/>
        <v>16596.748772101964</v>
      </c>
      <c r="AI118" s="31"/>
    </row>
    <row r="119" spans="1:35" s="1" customFormat="1">
      <c r="A119" s="1" t="s">
        <v>335</v>
      </c>
      <c r="B119" s="13"/>
      <c r="C119" s="341">
        <f>C118-'Output - Jobs vs Yr (BAU)'!C55</f>
        <v>7.3699999999971624</v>
      </c>
      <c r="D119" s="341">
        <f>D118-'Output - Jobs vs Yr (BAU)'!D55</f>
        <v>68.655403640450459</v>
      </c>
      <c r="E119" s="341">
        <f>E118-'Output - Jobs vs Yr (BAU)'!E55</f>
        <v>11.734701230496285</v>
      </c>
      <c r="F119" s="341">
        <f>F118-'Output - Jobs vs Yr (BAU)'!F55</f>
        <v>94.509180397013552</v>
      </c>
      <c r="G119" s="341">
        <f>G118-'Output - Jobs vs Yr (BAU)'!G55</f>
        <v>35.074424903694307</v>
      </c>
      <c r="H119" s="405">
        <f>H118-'Output - Jobs vs Yr (BAU)'!H55</f>
        <v>-0.14300000000184809</v>
      </c>
      <c r="I119" s="15">
        <f>I118-'Output - Jobs vs Yr (BAU)'!I55</f>
        <v>24.568201859801775</v>
      </c>
      <c r="J119" s="15">
        <f>J118-'Output - Jobs vs Yr (BAU)'!J55</f>
        <v>56.688200045004123</v>
      </c>
      <c r="K119" s="15">
        <f>K118-'Output - Jobs vs Yr (BAU)'!K55</f>
        <v>27.248620646410927</v>
      </c>
      <c r="L119" s="15">
        <f>L118-'Output - Jobs vs Yr (BAU)'!L55</f>
        <v>30.536763752363186</v>
      </c>
      <c r="M119" s="15">
        <f>M118-'Output - Jobs vs Yr (BAU)'!M55</f>
        <v>60.092179832277907</v>
      </c>
      <c r="N119" s="182">
        <f>N118-'Output - Jobs vs Yr (BAU)'!N55</f>
        <v>96.442091803604853</v>
      </c>
      <c r="O119" s="15">
        <f>O118-'Output - Jobs vs Yr (BAU)'!O55</f>
        <v>110.12862869814489</v>
      </c>
      <c r="P119" s="15">
        <f>P118-'Output - Jobs vs Yr (BAU)'!P55</f>
        <v>139.44096304621416</v>
      </c>
      <c r="Q119" s="15">
        <f>Q118-'Output - Jobs vs Yr (BAU)'!Q55</f>
        <v>149.77320630483337</v>
      </c>
      <c r="R119" s="15">
        <f>R118-'Output - Jobs vs Yr (BAU)'!R55</f>
        <v>189.15411463172495</v>
      </c>
      <c r="S119" s="15">
        <f>S118-'Output - Jobs vs Yr (BAU)'!S55</f>
        <v>183.59752924845088</v>
      </c>
      <c r="T119" s="15">
        <f>T118-'Output - Jobs vs Yr (BAU)'!T55</f>
        <v>225.72302177073652</v>
      </c>
      <c r="U119" s="15">
        <f>U118-'Output - Jobs vs Yr (BAU)'!U55</f>
        <v>278.64948524671308</v>
      </c>
      <c r="V119" s="15">
        <f>V118-'Output - Jobs vs Yr (BAU)'!V55</f>
        <v>339.89115386969752</v>
      </c>
      <c r="W119" s="15">
        <f>W118-'Output - Jobs vs Yr (BAU)'!W55</f>
        <v>341.19012330432452</v>
      </c>
      <c r="X119" s="190">
        <f>X118-'Output - Jobs vs Yr (BAU)'!X55</f>
        <v>414.42269269353346</v>
      </c>
      <c r="Y119" s="130">
        <f>Y118-'Output - Jobs vs Yr (BAU)'!Y55</f>
        <v>454.95981986206061</v>
      </c>
      <c r="Z119" s="130">
        <f>Z118-'Output - Jobs vs Yr (BAU)'!Z55</f>
        <v>504.59221294032795</v>
      </c>
      <c r="AA119" s="130">
        <f>AA118-'Output - Jobs vs Yr (BAU)'!AA55</f>
        <v>551.36035207701752</v>
      </c>
      <c r="AB119" s="130">
        <f>AB118-'Output - Jobs vs Yr (BAU)'!AB55</f>
        <v>603.05448364395852</v>
      </c>
      <c r="AC119" s="130">
        <f>AC118-'Output - Jobs vs Yr (BAU)'!AC55</f>
        <v>666.30939242369277</v>
      </c>
      <c r="AD119" s="130">
        <f>AD118-'Output - Jobs vs Yr (BAU)'!AD55</f>
        <v>727.77652820125331</v>
      </c>
      <c r="AE119" s="130">
        <f>AE118-'Output - Jobs vs Yr (BAU)'!AE55</f>
        <v>803.06452439180248</v>
      </c>
      <c r="AF119" s="130">
        <f>AF118-'Output - Jobs vs Yr (BAU)'!AF55</f>
        <v>884.15308972475941</v>
      </c>
      <c r="AG119" s="130">
        <f>AG118-'Output - Jobs vs Yr (BAU)'!AG55</f>
        <v>962.12863207886767</v>
      </c>
      <c r="AH119" s="190">
        <f>AH118-'Output - Jobs vs Yr (BAU)'!AH55</f>
        <v>1040.1903741024144</v>
      </c>
    </row>
    <row r="120" spans="1:35" s="1" customFormat="1">
      <c r="B120" s="13"/>
      <c r="C120" s="328"/>
      <c r="D120" s="341"/>
      <c r="E120" s="341"/>
      <c r="F120" s="341"/>
      <c r="G120" s="341"/>
      <c r="H120" s="405"/>
      <c r="I120" s="15"/>
      <c r="J120" s="15"/>
      <c r="K120" s="15"/>
      <c r="L120" s="15"/>
      <c r="M120" s="15"/>
      <c r="N120" s="187" t="s">
        <v>0</v>
      </c>
      <c r="O120" s="15"/>
      <c r="P120" s="15"/>
      <c r="Q120" s="15"/>
      <c r="R120" s="15"/>
      <c r="S120" s="15"/>
      <c r="T120" s="15"/>
      <c r="U120" s="15"/>
      <c r="V120" s="15"/>
      <c r="W120" s="15"/>
      <c r="X120" s="190"/>
      <c r="Y120"/>
      <c r="Z120"/>
      <c r="AA120"/>
      <c r="AB120"/>
      <c r="AC120"/>
      <c r="AD120"/>
      <c r="AE120"/>
      <c r="AF120"/>
      <c r="AG120"/>
      <c r="AH120" s="280"/>
    </row>
    <row r="121" spans="1:35" hidden="1">
      <c r="W121" s="2" t="s">
        <v>133</v>
      </c>
      <c r="X121" s="187">
        <f>X100</f>
        <v>0</v>
      </c>
    </row>
    <row r="122" spans="1:35" hidden="1">
      <c r="W122" s="2" t="s">
        <v>136</v>
      </c>
      <c r="X122" s="187">
        <f>X103-'Output - Jobs vs Yr (BAU)'!X43</f>
        <v>5.5738019845043709</v>
      </c>
    </row>
    <row r="123" spans="1:35" hidden="1">
      <c r="W123" s="2" t="s">
        <v>134</v>
      </c>
      <c r="X123" s="187">
        <f>X115-'Output - Jobs vs Yr (BAU)'!X51</f>
        <v>874.880064813731</v>
      </c>
    </row>
    <row r="124" spans="1:35" hidden="1">
      <c r="W124" s="2" t="s">
        <v>137</v>
      </c>
      <c r="X124" s="187">
        <f>SUM(X101,X106,X111)</f>
        <v>0</v>
      </c>
    </row>
    <row r="125" spans="1:35" hidden="1">
      <c r="W125" s="2" t="s">
        <v>132</v>
      </c>
      <c r="X125" s="187">
        <f>SUM(X121:X124)</f>
        <v>880.45386679823537</v>
      </c>
    </row>
    <row r="126" spans="1:35">
      <c r="A126" s="1" t="s">
        <v>140</v>
      </c>
      <c r="C126" s="328">
        <v>2009</v>
      </c>
      <c r="D126" s="328">
        <v>2010</v>
      </c>
      <c r="E126" s="328">
        <v>2011</v>
      </c>
      <c r="F126" s="328">
        <v>2012</v>
      </c>
      <c r="G126" s="328">
        <v>2013</v>
      </c>
      <c r="H126" s="400">
        <v>2014</v>
      </c>
      <c r="I126" s="13">
        <v>2015</v>
      </c>
      <c r="J126" s="13">
        <v>2016</v>
      </c>
      <c r="K126" s="13">
        <v>2017</v>
      </c>
      <c r="L126" s="13">
        <v>2018</v>
      </c>
      <c r="M126" s="13">
        <v>2019</v>
      </c>
      <c r="N126" s="176">
        <v>2020</v>
      </c>
      <c r="O126" s="13">
        <v>2021</v>
      </c>
      <c r="P126" s="13">
        <v>2022</v>
      </c>
      <c r="Q126" s="13">
        <v>2023</v>
      </c>
      <c r="R126" s="13">
        <v>2024</v>
      </c>
      <c r="S126" s="13">
        <v>2025</v>
      </c>
      <c r="T126" s="13">
        <v>2026</v>
      </c>
      <c r="U126" s="13">
        <v>2027</v>
      </c>
      <c r="V126" s="13">
        <v>2028</v>
      </c>
      <c r="W126" s="13">
        <v>2029</v>
      </c>
      <c r="X126" s="176">
        <v>2030</v>
      </c>
      <c r="Y126" s="13">
        <v>2031</v>
      </c>
      <c r="Z126" s="13">
        <v>2032</v>
      </c>
      <c r="AA126" s="13">
        <v>2033</v>
      </c>
      <c r="AB126" s="13">
        <v>2034</v>
      </c>
      <c r="AC126" s="13">
        <v>2035</v>
      </c>
      <c r="AD126" s="13">
        <v>2036</v>
      </c>
      <c r="AE126" s="13">
        <v>2037</v>
      </c>
      <c r="AF126" s="13">
        <v>2038</v>
      </c>
      <c r="AG126" s="13">
        <v>2039</v>
      </c>
      <c r="AH126" s="176">
        <v>2040</v>
      </c>
      <c r="AI126" s="1" t="s">
        <v>0</v>
      </c>
    </row>
    <row r="127" spans="1:35">
      <c r="A127" s="10" t="s">
        <v>61</v>
      </c>
      <c r="B127" s="35">
        <v>0</v>
      </c>
      <c r="C127" s="331">
        <v>0</v>
      </c>
      <c r="D127" s="331">
        <f xml:space="preserve"> IF(D100&gt; 0, D100*Inputs!$H44, 0)</f>
        <v>0</v>
      </c>
      <c r="E127" s="331">
        <f xml:space="preserve"> IF(E100&gt; 0, E100*Inputs!$H44, 0)</f>
        <v>0</v>
      </c>
      <c r="F127" s="331">
        <f xml:space="preserve"> IF(F100&gt; 0, F100*Inputs!$H44, 0)</f>
        <v>0</v>
      </c>
      <c r="G127" s="331">
        <f xml:space="preserve"> IF(G100&gt; 0, G100*Inputs!$H44, 0)</f>
        <v>0</v>
      </c>
      <c r="H127" s="402">
        <f xml:space="preserve"> IF(H100&gt; 0, H100*Inputs!$H44, 0)</f>
        <v>0</v>
      </c>
      <c r="I127" s="14">
        <f xml:space="preserve"> IF(I100&gt; 0, I100*Inputs!$H44, 0)</f>
        <v>0</v>
      </c>
      <c r="J127" s="14">
        <f xml:space="preserve"> IF(J100&gt; 0, J100*Inputs!$H44, 0)</f>
        <v>0</v>
      </c>
      <c r="K127" s="14">
        <f xml:space="preserve"> IF(K100&gt; 0, K100*Inputs!$H44, 0)</f>
        <v>0</v>
      </c>
      <c r="L127" s="14">
        <f xml:space="preserve"> IF(L100&gt; 0, L100*Inputs!$H44, 0)</f>
        <v>0</v>
      </c>
      <c r="M127" s="14">
        <f xml:space="preserve"> IF(M100&gt; 0, M100*Inputs!$H44, 0)</f>
        <v>0</v>
      </c>
      <c r="N127" s="182">
        <f xml:space="preserve"> IF(N100&gt; 0, N100*Inputs!$H44, 0)</f>
        <v>0</v>
      </c>
      <c r="O127" s="14">
        <f xml:space="preserve"> IF(O100&gt; 0, O100*Inputs!$H44, 0)</f>
        <v>0</v>
      </c>
      <c r="P127" s="14">
        <f xml:space="preserve"> IF(P100&gt; 0, P100*Inputs!$H44, 0)</f>
        <v>0</v>
      </c>
      <c r="Q127" s="14">
        <f xml:space="preserve"> IF(Q100&gt; 0, Q100*Inputs!$H44, 0)</f>
        <v>0</v>
      </c>
      <c r="R127" s="14">
        <f xml:space="preserve"> IF(R100&gt; 0, R100*Inputs!$H44, 0)</f>
        <v>0</v>
      </c>
      <c r="S127" s="14">
        <f xml:space="preserve"> IF(S100&gt; 0, S100*Inputs!$H44, 0)</f>
        <v>0</v>
      </c>
      <c r="T127" s="14">
        <f xml:space="preserve"> IF(T100&gt; 0, T100*Inputs!$H44, 0)</f>
        <v>0</v>
      </c>
      <c r="U127" s="14">
        <f xml:space="preserve"> IF(U100&gt; 0, U100*Inputs!$H44, 0)</f>
        <v>0</v>
      </c>
      <c r="V127" s="14">
        <f xml:space="preserve"> IF(V100&gt; 0, V100*Inputs!$H44, 0)</f>
        <v>0</v>
      </c>
      <c r="W127" s="14">
        <f xml:space="preserve"> IF(W100&gt; 0, W100*Inputs!$H44, 0)</f>
        <v>0</v>
      </c>
      <c r="X127" s="187">
        <f xml:space="preserve"> IF(X100&gt; 0, X100*Inputs!$H44, 0)</f>
        <v>0</v>
      </c>
      <c r="Y127" s="158">
        <f xml:space="preserve"> IF(Y100&gt; 0, Y100*Inputs!$H44, 0)</f>
        <v>0</v>
      </c>
      <c r="Z127" s="158">
        <f xml:space="preserve"> IF(Z100&gt; 0, Z100*Inputs!$H44, 0)</f>
        <v>0</v>
      </c>
      <c r="AA127" s="158">
        <f xml:space="preserve"> IF(AA100&gt; 0, AA100*Inputs!$H44, 0)</f>
        <v>0</v>
      </c>
      <c r="AB127" s="158">
        <f xml:space="preserve"> IF(AB100&gt; 0, AB100*Inputs!$H44, 0)</f>
        <v>0</v>
      </c>
      <c r="AC127" s="158">
        <f xml:space="preserve"> IF(AC100&gt; 0, AC100*Inputs!$H44, 0)</f>
        <v>0</v>
      </c>
      <c r="AD127" s="158">
        <f xml:space="preserve"> IF(AD100&gt; 0, AD100*Inputs!$H44, 0)</f>
        <v>0</v>
      </c>
      <c r="AE127" s="158">
        <f xml:space="preserve"> IF(AE100&gt; 0, AE100*Inputs!$H44, 0)</f>
        <v>0</v>
      </c>
      <c r="AF127" s="158">
        <f xml:space="preserve"> IF(AF100&gt; 0, AF100*Inputs!$H44, 0)</f>
        <v>0</v>
      </c>
      <c r="AG127" s="158">
        <f xml:space="preserve"> IF(AG100&gt; 0, AG100*Inputs!$H44, 0)</f>
        <v>0</v>
      </c>
      <c r="AH127" s="187">
        <f xml:space="preserve"> IF(AH100&gt; 0, AH100*Inputs!$H44, 0)</f>
        <v>0</v>
      </c>
    </row>
    <row r="128" spans="1:35">
      <c r="A128" s="10" t="s">
        <v>60</v>
      </c>
      <c r="B128" s="35">
        <v>0</v>
      </c>
      <c r="C128" s="331">
        <f>C101*Inputs!$H47</f>
        <v>0</v>
      </c>
      <c r="D128" s="331">
        <f>D101*Inputs!$H47</f>
        <v>0</v>
      </c>
      <c r="E128" s="331">
        <f>E101*Inputs!$H47</f>
        <v>0</v>
      </c>
      <c r="F128" s="331">
        <f>F101*Inputs!$H47</f>
        <v>0</v>
      </c>
      <c r="G128" s="331">
        <f>G101*Inputs!$H47</f>
        <v>0</v>
      </c>
      <c r="H128" s="402">
        <f>H101*Inputs!$H47</f>
        <v>0</v>
      </c>
      <c r="I128" s="14">
        <f>I101*Inputs!$H47</f>
        <v>0</v>
      </c>
      <c r="J128" s="14">
        <f>J101*Inputs!$H47</f>
        <v>0</v>
      </c>
      <c r="K128" s="14">
        <f>K101*Inputs!$H47</f>
        <v>0</v>
      </c>
      <c r="L128" s="14">
        <f>L101*Inputs!$H47</f>
        <v>0</v>
      </c>
      <c r="M128" s="14">
        <f>M101*Inputs!$H47</f>
        <v>0</v>
      </c>
      <c r="N128" s="182">
        <f>N101*Inputs!$H47</f>
        <v>0</v>
      </c>
      <c r="O128" s="14">
        <f>O101*Inputs!$H47</f>
        <v>0</v>
      </c>
      <c r="P128" s="14">
        <f>P101*Inputs!$H47</f>
        <v>0</v>
      </c>
      <c r="Q128" s="14">
        <f>Q101*Inputs!$H47</f>
        <v>0</v>
      </c>
      <c r="R128" s="14">
        <f>R101*Inputs!$H47</f>
        <v>0</v>
      </c>
      <c r="S128" s="14">
        <f>S101*Inputs!$H47</f>
        <v>0</v>
      </c>
      <c r="T128" s="14">
        <f>T101*Inputs!$H47</f>
        <v>0</v>
      </c>
      <c r="U128" s="14">
        <f>U101*Inputs!$H47</f>
        <v>0</v>
      </c>
      <c r="V128" s="14">
        <f>V101*Inputs!$H47</f>
        <v>0</v>
      </c>
      <c r="W128" s="14">
        <f>W101*Inputs!$H47</f>
        <v>0</v>
      </c>
      <c r="X128" s="187">
        <f>X101*Inputs!$H47</f>
        <v>0</v>
      </c>
      <c r="Y128" s="158">
        <f>Y101*Inputs!$H47</f>
        <v>0</v>
      </c>
      <c r="Z128" s="158">
        <f>Z101*Inputs!$H47</f>
        <v>0</v>
      </c>
      <c r="AA128" s="158">
        <f>AA101*Inputs!$H47</f>
        <v>0</v>
      </c>
      <c r="AB128" s="158">
        <f>AB101*Inputs!$H47</f>
        <v>0</v>
      </c>
      <c r="AC128" s="158">
        <f>AC101*Inputs!$H47</f>
        <v>0</v>
      </c>
      <c r="AD128" s="158">
        <f>AD101*Inputs!$H47</f>
        <v>0</v>
      </c>
      <c r="AE128" s="158">
        <f>AE101*Inputs!$H47</f>
        <v>0</v>
      </c>
      <c r="AF128" s="158">
        <f>AF101*Inputs!$H47</f>
        <v>0</v>
      </c>
      <c r="AG128" s="158">
        <f>AG101*Inputs!$H47</f>
        <v>0</v>
      </c>
      <c r="AH128" s="187">
        <f>AH101*Inputs!$H47</f>
        <v>0</v>
      </c>
    </row>
    <row r="129" spans="1:35">
      <c r="A129" s="10" t="s">
        <v>49</v>
      </c>
      <c r="B129" s="35">
        <v>0</v>
      </c>
      <c r="C129" s="331">
        <f>C102*Inputs!$H48</f>
        <v>166.85864999999998</v>
      </c>
      <c r="D129" s="331">
        <f>D102*Inputs!$H48</f>
        <v>188.23844111245978</v>
      </c>
      <c r="E129" s="331">
        <f>E102*Inputs!$H48</f>
        <v>173.17702258197451</v>
      </c>
      <c r="F129" s="331">
        <f>F102*Inputs!$H48</f>
        <v>180.91659924123559</v>
      </c>
      <c r="G129" s="331">
        <f>G102*Inputs!$H48</f>
        <v>170.90216751246595</v>
      </c>
      <c r="H129" s="402">
        <f>H102*Inputs!$H48</f>
        <v>178.12821981511036</v>
      </c>
      <c r="I129" s="14">
        <f>I102*Inputs!$H48</f>
        <v>182.74970404093071</v>
      </c>
      <c r="J129" s="14">
        <f>J102*Inputs!$H48</f>
        <v>189.93860806090481</v>
      </c>
      <c r="K129" s="14">
        <f>K102*Inputs!$H48</f>
        <v>186.39603762453481</v>
      </c>
      <c r="L129" s="14">
        <f>L102*Inputs!$H48</f>
        <v>185.3782563350332</v>
      </c>
      <c r="M129" s="14">
        <f>M102*Inputs!$H48</f>
        <v>185.90024913824348</v>
      </c>
      <c r="N129" s="182">
        <f>N102*Inputs!$H48</f>
        <v>187.17418240511773</v>
      </c>
      <c r="O129" s="14">
        <f>O102*Inputs!$H48</f>
        <v>187.17972626166241</v>
      </c>
      <c r="P129" s="14">
        <f>P102*Inputs!$H48</f>
        <v>187.53067302200193</v>
      </c>
      <c r="Q129" s="14">
        <f>Q102*Inputs!$H48</f>
        <v>189.98252271043177</v>
      </c>
      <c r="R129" s="14">
        <f>R102*Inputs!$H48</f>
        <v>190.70808739222778</v>
      </c>
      <c r="S129" s="14">
        <f>S102*Inputs!$H48</f>
        <v>191.00143160313399</v>
      </c>
      <c r="T129" s="14">
        <f>T102*Inputs!$H48</f>
        <v>190.3966527222853</v>
      </c>
      <c r="U129" s="14">
        <f>U102*Inputs!$H48</f>
        <v>189.62943481776588</v>
      </c>
      <c r="V129" s="14">
        <f>V102*Inputs!$H48</f>
        <v>189.06763538736578</v>
      </c>
      <c r="W129" s="14">
        <f>W102*Inputs!$H48</f>
        <v>188.41227178775551</v>
      </c>
      <c r="X129" s="187">
        <f>X102*Inputs!$H48</f>
        <v>187.55501274947852</v>
      </c>
      <c r="Y129" s="158">
        <f>Y102*Inputs!$H48</f>
        <v>186.70536260759485</v>
      </c>
      <c r="Z129" s="158">
        <f>Z102*Inputs!$H48</f>
        <v>186.27443965648351</v>
      </c>
      <c r="AA129" s="158">
        <f>AA102*Inputs!$H48</f>
        <v>185.5125024652134</v>
      </c>
      <c r="AB129" s="158">
        <f>AB102*Inputs!$H48</f>
        <v>185.07438389469317</v>
      </c>
      <c r="AC129" s="158">
        <f>AC102*Inputs!$H48</f>
        <v>185.23549381252442</v>
      </c>
      <c r="AD129" s="158">
        <f>AD102*Inputs!$H48</f>
        <v>185.23389152951711</v>
      </c>
      <c r="AE129" s="158">
        <f>AE102*Inputs!$H48</f>
        <v>186.11088722818121</v>
      </c>
      <c r="AF129" s="158">
        <f>AF102*Inputs!$H48</f>
        <v>187.23772543953038</v>
      </c>
      <c r="AG129" s="158">
        <f>AG102*Inputs!$H48</f>
        <v>187.74716769285862</v>
      </c>
      <c r="AH129" s="187">
        <f>AH102*Inputs!$H48</f>
        <v>187.73387385964131</v>
      </c>
    </row>
    <row r="130" spans="1:35">
      <c r="A130" s="10" t="s">
        <v>59</v>
      </c>
      <c r="B130" s="35">
        <v>0</v>
      </c>
      <c r="C130" s="331">
        <f>C103*Inputs!$H53</f>
        <v>2114.5320000000002</v>
      </c>
      <c r="D130" s="331">
        <f>D103*Inputs!$H53</f>
        <v>2393.9718565977782</v>
      </c>
      <c r="E130" s="331">
        <f>E103*Inputs!$H53</f>
        <v>2210.2551248936261</v>
      </c>
      <c r="F130" s="331">
        <f>F103*Inputs!$H53</f>
        <v>2317.2250751313609</v>
      </c>
      <c r="G130" s="331">
        <f>G103*Inputs!$H53</f>
        <v>2196.7028613637362</v>
      </c>
      <c r="H130" s="402">
        <f>H103*Inputs!$H53</f>
        <v>2118.7263039705863</v>
      </c>
      <c r="I130" s="14">
        <f>I103*Inputs!$H53</f>
        <v>2210.6629570086275</v>
      </c>
      <c r="J130" s="14">
        <f>J103*Inputs!$H53</f>
        <v>2336.8250977076541</v>
      </c>
      <c r="K130" s="14">
        <f>K103*Inputs!$H53</f>
        <v>2332.4980654276492</v>
      </c>
      <c r="L130" s="14">
        <f>L103*Inputs!$H53</f>
        <v>2359.6131733000252</v>
      </c>
      <c r="M130" s="14">
        <f>M103*Inputs!$H53</f>
        <v>2407.0568745428291</v>
      </c>
      <c r="N130" s="182">
        <f>N103*Inputs!$H53</f>
        <v>2465.4992946986449</v>
      </c>
      <c r="O130" s="14">
        <f>O103*Inputs!$H53</f>
        <v>2465.5723195903543</v>
      </c>
      <c r="P130" s="14">
        <f>P103*Inputs!$H53</f>
        <v>2470.1950671240984</v>
      </c>
      <c r="Q130" s="14">
        <f>Q103*Inputs!$H53</f>
        <v>2502.4913678203502</v>
      </c>
      <c r="R130" s="14">
        <f>R103*Inputs!$H53</f>
        <v>2512.0486646026307</v>
      </c>
      <c r="S130" s="14">
        <f>S103*Inputs!$H53</f>
        <v>2515.9126587486166</v>
      </c>
      <c r="T130" s="14">
        <f>T103*Inputs!$H53</f>
        <v>2507.9463789710253</v>
      </c>
      <c r="U130" s="14">
        <f>U103*Inputs!$H53</f>
        <v>2497.8404168230049</v>
      </c>
      <c r="V130" s="14">
        <f>V103*Inputs!$H53</f>
        <v>2490.4402717730022</v>
      </c>
      <c r="W130" s="14">
        <f>W103*Inputs!$H53</f>
        <v>2481.80767900915</v>
      </c>
      <c r="X130" s="187">
        <f>X103*Inputs!$H53</f>
        <v>2470.515675341298</v>
      </c>
      <c r="Y130" s="158">
        <f>Y103*Inputs!$H53</f>
        <v>2459.3238977219853</v>
      </c>
      <c r="Z130" s="158">
        <f>Z103*Inputs!$H53</f>
        <v>2453.6476863001826</v>
      </c>
      <c r="AA130" s="158">
        <f>AA103*Inputs!$H53</f>
        <v>2443.6112828627943</v>
      </c>
      <c r="AB130" s="158">
        <f>AB103*Inputs!$H53</f>
        <v>2437.8402891673386</v>
      </c>
      <c r="AC130" s="158">
        <f>AC103*Inputs!$H53</f>
        <v>2439.9624642647677</v>
      </c>
      <c r="AD130" s="158">
        <f>AD103*Inputs!$H53</f>
        <v>2439.9413586423279</v>
      </c>
      <c r="AE130" s="158">
        <f>AE103*Inputs!$H53</f>
        <v>2451.4933379202721</v>
      </c>
      <c r="AF130" s="158">
        <f>AF103*Inputs!$H53</f>
        <v>2466.3362974546576</v>
      </c>
      <c r="AG130" s="158">
        <f>AG103*Inputs!$H53</f>
        <v>2473.0467823096251</v>
      </c>
      <c r="AH130" s="187">
        <f>AH103*Inputs!$H53</f>
        <v>2472.8716730290616</v>
      </c>
    </row>
    <row r="131" spans="1:35">
      <c r="A131" s="10" t="s">
        <v>121</v>
      </c>
      <c r="B131" s="35">
        <v>1</v>
      </c>
      <c r="C131" s="330">
        <f>Inputs!$H46*'Output -Jobs vs Yr'!C104</f>
        <v>434.13300000000004</v>
      </c>
      <c r="D131" s="330">
        <f>Inputs!$H46*'Output -Jobs vs Yr'!D104</f>
        <v>524.41284646722261</v>
      </c>
      <c r="E131" s="330">
        <f>Inputs!$H46*'Output -Jobs vs Yr'!E104</f>
        <v>518.27143698321493</v>
      </c>
      <c r="F131" s="330">
        <f>Inputs!$H46*'Output -Jobs vs Yr'!F104</f>
        <v>577.86405686041178</v>
      </c>
      <c r="G131" s="330">
        <f>Inputs!$H46*'Output -Jobs vs Yr'!G104</f>
        <v>584.50222596559433</v>
      </c>
      <c r="H131" s="286">
        <f>Inputs!$H46*'Output -Jobs vs Yr'!H104</f>
        <v>570.35668364831452</v>
      </c>
      <c r="I131" s="40">
        <f>Inputs!$H46*'Output -Jobs vs Yr'!I104</f>
        <v>632.49725120625169</v>
      </c>
      <c r="J131" s="40">
        <f>Inputs!$H46*'Output -Jobs vs Yr'!J104</f>
        <v>710.63588394690908</v>
      </c>
      <c r="K131" s="40">
        <f>Inputs!$H46*'Output -Jobs vs Yr'!K104</f>
        <v>753.95798169992372</v>
      </c>
      <c r="L131" s="40">
        <f>Inputs!$H46*'Output -Jobs vs Yr'!L104</f>
        <v>810.75834337407161</v>
      </c>
      <c r="M131" s="40">
        <f>Inputs!$H46*'Output -Jobs vs Yr'!M104</f>
        <v>879.18709048241533</v>
      </c>
      <c r="N131" s="177">
        <f>Inputs!$H46*'Output -Jobs vs Yr'!N104</f>
        <v>957.33399573226268</v>
      </c>
      <c r="O131" s="40">
        <f>Inputs!$H46*'Output -Jobs vs Yr'!O104</f>
        <v>1039.3126977040888</v>
      </c>
      <c r="P131" s="40">
        <f>Inputs!$H46*'Output -Jobs vs Yr'!P104</f>
        <v>1130.5815967019382</v>
      </c>
      <c r="Q131" s="40">
        <f>Inputs!$H46*'Output -Jobs vs Yr'!Q104</f>
        <v>1243.8259440470158</v>
      </c>
      <c r="R131" s="40">
        <f>Inputs!$H46*'Output -Jobs vs Yr'!R104</f>
        <v>1356.1495938844707</v>
      </c>
      <c r="S131" s="40">
        <f>Inputs!$H46*'Output -Jobs vs Yr'!S104</f>
        <v>1475.5225805305899</v>
      </c>
      <c r="T131" s="40">
        <f>Inputs!$H46*'Output -Jobs vs Yr'!T104</f>
        <v>1598.1578153373512</v>
      </c>
      <c r="U131" s="40">
        <f>Inputs!$H46*'Output -Jobs vs Yr'!U104</f>
        <v>1729.8156388177922</v>
      </c>
      <c r="V131" s="40">
        <f>Inputs!$H46*'Output -Jobs vs Yr'!V104</f>
        <v>1874.6918884023673</v>
      </c>
      <c r="W131" s="40">
        <f>Inputs!$H46*'Output -Jobs vs Yr'!W104</f>
        <v>2031.0839927985182</v>
      </c>
      <c r="X131" s="184">
        <f>Inputs!$H46*'Output -Jobs vs Yr'!X104</f>
        <v>2198.5849213694819</v>
      </c>
      <c r="Y131" s="271">
        <f>Inputs!$H46*'Output -Jobs vs Yr'!Y104</f>
        <v>2299.7888322974909</v>
      </c>
      <c r="Z131" s="271">
        <f>Inputs!$H46*'Output -Jobs vs Yr'!Z104</f>
        <v>2411.2181825149446</v>
      </c>
      <c r="AA131" s="271">
        <f>Inputs!$H46*'Output -Jobs vs Yr'!AA104</f>
        <v>2523.7401093131102</v>
      </c>
      <c r="AB131" s="271">
        <f>Inputs!$H46*'Output -Jobs vs Yr'!AB104</f>
        <v>2646.3224094387056</v>
      </c>
      <c r="AC131" s="271">
        <f>Inputs!$H46*'Output -Jobs vs Yr'!AC104</f>
        <v>2784.0890798588462</v>
      </c>
      <c r="AD131" s="271">
        <f>Inputs!$H46*'Output -Jobs vs Yr'!AD104</f>
        <v>2926.7123139279161</v>
      </c>
      <c r="AE131" s="271">
        <f>Inputs!$H46*'Output -Jobs vs Yr'!AE104</f>
        <v>3091.5120378165839</v>
      </c>
      <c r="AF131" s="271">
        <f>Inputs!$H46*'Output -Jobs vs Yr'!AF104</f>
        <v>3270.1807562185322</v>
      </c>
      <c r="AG131" s="271">
        <f>Inputs!$H46*'Output -Jobs vs Yr'!AG104</f>
        <v>3448.0334116572953</v>
      </c>
      <c r="AH131" s="184">
        <f>Inputs!$H46*'Output -Jobs vs Yr'!AH104</f>
        <v>3625.7812989924141</v>
      </c>
    </row>
    <row r="132" spans="1:35">
      <c r="A132" s="10" t="s">
        <v>50</v>
      </c>
      <c r="B132" s="35">
        <v>1</v>
      </c>
      <c r="C132" s="331">
        <f>C105*Inputs!$H49</f>
        <v>0</v>
      </c>
      <c r="D132" s="331">
        <f>D105*Inputs!$H49</f>
        <v>0</v>
      </c>
      <c r="E132" s="331">
        <f>E105*Inputs!$H49</f>
        <v>9.0267367500000001E-4</v>
      </c>
      <c r="F132" s="331">
        <f>F105*Inputs!$H49</f>
        <v>8.4559477500000002E-4</v>
      </c>
      <c r="G132" s="331">
        <f>G105*Inputs!$H49</f>
        <v>9.2453715000000007E-4</v>
      </c>
      <c r="H132" s="402">
        <f>H105*Inputs!$H49</f>
        <v>9.2454074999999988E-4</v>
      </c>
      <c r="I132" s="14">
        <f>I105*Inputs!$H49</f>
        <v>1.0039896333054119E-3</v>
      </c>
      <c r="J132" s="14">
        <f>J105*Inputs!$H49</f>
        <v>1.1046095232147884E-3</v>
      </c>
      <c r="K132" s="14">
        <f>K105*Inputs!$H49</f>
        <v>1.1476246184659652E-3</v>
      </c>
      <c r="L132" s="14">
        <f>L105*Inputs!$H49</f>
        <v>1.2084681334482883E-3</v>
      </c>
      <c r="M132" s="14">
        <f>M105*Inputs!$H49</f>
        <v>1.2832643874150066E-3</v>
      </c>
      <c r="N132" s="182">
        <f>N105*Inputs!$H49</f>
        <v>1.36832538588287E-3</v>
      </c>
      <c r="O132" s="14">
        <f>O105*Inputs!$H49</f>
        <v>1.4854982216014783E-3</v>
      </c>
      <c r="P132" s="14">
        <f>P105*Inputs!$H49</f>
        <v>1.6159496126489806E-3</v>
      </c>
      <c r="Q132" s="14">
        <f>Q105*Inputs!$H49</f>
        <v>1.7778106934951507E-3</v>
      </c>
      <c r="R132" s="14">
        <f>R105*Inputs!$H49</f>
        <v>1.9383558137904416E-3</v>
      </c>
      <c r="S132" s="14">
        <f>S105*Inputs!$H49</f>
        <v>2.1089766094006535E-3</v>
      </c>
      <c r="T132" s="14">
        <f>T105*Inputs!$H49</f>
        <v>2.2842601632469201E-3</v>
      </c>
      <c r="U132" s="14">
        <f>U105*Inputs!$H49</f>
        <v>2.4724397775941322E-3</v>
      </c>
      <c r="V132" s="14">
        <f>V105*Inputs!$H49</f>
        <v>2.679512597531384E-3</v>
      </c>
      <c r="W132" s="14">
        <f>W105*Inputs!$H49</f>
        <v>2.903045123850177E-3</v>
      </c>
      <c r="X132" s="187">
        <f>X105*Inputs!$H49</f>
        <v>3.1424555843000777E-3</v>
      </c>
      <c r="Y132" s="158">
        <f>Y105*Inputs!$H49</f>
        <v>3.2871071699439162E-3</v>
      </c>
      <c r="Z132" s="158">
        <f>Z105*Inputs!$H49</f>
        <v>3.4463740604071028E-3</v>
      </c>
      <c r="AA132" s="158">
        <f>AA105*Inputs!$H49</f>
        <v>3.6072025795997336E-3</v>
      </c>
      <c r="AB132" s="158">
        <f>AB105*Inputs!$H49</f>
        <v>3.782410473469069E-3</v>
      </c>
      <c r="AC132" s="158">
        <f>AC105*Inputs!$H49</f>
        <v>3.9793215131948088E-3</v>
      </c>
      <c r="AD132" s="158">
        <f>AD105*Inputs!$H49</f>
        <v>4.1831740794500685E-3</v>
      </c>
      <c r="AE132" s="158">
        <f>AE105*Inputs!$H49</f>
        <v>4.4187236857406798E-3</v>
      </c>
      <c r="AF132" s="158">
        <f>AF105*Inputs!$H49</f>
        <v>4.6740963604209968E-3</v>
      </c>
      <c r="AG132" s="158">
        <f>AG105*Inputs!$H49</f>
        <v>4.9283026295688856E-3</v>
      </c>
      <c r="AH132" s="187">
        <f>AH105*Inputs!$H49</f>
        <v>5.1823591528010462E-3</v>
      </c>
    </row>
    <row r="133" spans="1:35">
      <c r="A133" s="10" t="s">
        <v>119</v>
      </c>
      <c r="B133" s="35">
        <v>1</v>
      </c>
      <c r="C133" s="331">
        <f>C106*Inputs!$H50</f>
        <v>0</v>
      </c>
      <c r="D133" s="331">
        <f>D106*Inputs!$H50</f>
        <v>0</v>
      </c>
      <c r="E133" s="331">
        <f>E106*Inputs!$H50</f>
        <v>0</v>
      </c>
      <c r="F133" s="331">
        <f>F106*Inputs!$H50</f>
        <v>0</v>
      </c>
      <c r="G133" s="331">
        <f>G106*Inputs!$H50</f>
        <v>0</v>
      </c>
      <c r="H133" s="402">
        <f>H106*Inputs!$H50</f>
        <v>0</v>
      </c>
      <c r="I133" s="14">
        <f>I106*Inputs!$H50</f>
        <v>0</v>
      </c>
      <c r="J133" s="14">
        <f>J106*Inputs!$H50</f>
        <v>0</v>
      </c>
      <c r="K133" s="14">
        <f>K106*Inputs!$H50</f>
        <v>0</v>
      </c>
      <c r="L133" s="14">
        <f>L106*Inputs!$H50</f>
        <v>0</v>
      </c>
      <c r="M133" s="14">
        <f>M106*Inputs!$H50</f>
        <v>0</v>
      </c>
      <c r="N133" s="182">
        <f>N106*Inputs!$H50</f>
        <v>0</v>
      </c>
      <c r="O133" s="14">
        <f>O106*Inputs!$H50</f>
        <v>0</v>
      </c>
      <c r="P133" s="14">
        <f>P106*Inputs!$H50</f>
        <v>0</v>
      </c>
      <c r="Q133" s="14">
        <f>Q106*Inputs!$H50</f>
        <v>0</v>
      </c>
      <c r="R133" s="14">
        <f>R106*Inputs!$H50</f>
        <v>0</v>
      </c>
      <c r="S133" s="14">
        <f>S106*Inputs!$H50</f>
        <v>0</v>
      </c>
      <c r="T133" s="14">
        <f>T106*Inputs!$H50</f>
        <v>0</v>
      </c>
      <c r="U133" s="14">
        <f>U106*Inputs!$H50</f>
        <v>0</v>
      </c>
      <c r="V133" s="14">
        <f>V106*Inputs!$H50</f>
        <v>0</v>
      </c>
      <c r="W133" s="14">
        <f>W106*Inputs!$H50</f>
        <v>0</v>
      </c>
      <c r="X133" s="187">
        <f>X106*Inputs!$H50</f>
        <v>0</v>
      </c>
      <c r="Y133" s="158">
        <f>Y106*Inputs!$H50</f>
        <v>0</v>
      </c>
      <c r="Z133" s="158">
        <f>Z106*Inputs!$H50</f>
        <v>0</v>
      </c>
      <c r="AA133" s="158">
        <f>AA106*Inputs!$H50</f>
        <v>0</v>
      </c>
      <c r="AB133" s="158">
        <f>AB106*Inputs!$H50</f>
        <v>0</v>
      </c>
      <c r="AC133" s="158">
        <f>AC106*Inputs!$H50</f>
        <v>0</v>
      </c>
      <c r="AD133" s="158">
        <f>AD106*Inputs!$H50</f>
        <v>0</v>
      </c>
      <c r="AE133" s="158">
        <f>AE106*Inputs!$H50</f>
        <v>0</v>
      </c>
      <c r="AF133" s="158">
        <f>AF106*Inputs!$H50</f>
        <v>0</v>
      </c>
      <c r="AG133" s="158">
        <f>AG106*Inputs!$H50</f>
        <v>0</v>
      </c>
      <c r="AH133" s="187">
        <f>AH106*Inputs!$H50</f>
        <v>0</v>
      </c>
    </row>
    <row r="134" spans="1:35">
      <c r="A134" s="10" t="s">
        <v>51</v>
      </c>
      <c r="B134" s="35">
        <v>1</v>
      </c>
      <c r="C134" s="331">
        <f>C107*Inputs!$H52</f>
        <v>0</v>
      </c>
      <c r="D134" s="331">
        <f>D107*Inputs!$H52</f>
        <v>0</v>
      </c>
      <c r="E134" s="331">
        <f>E107*Inputs!$H52</f>
        <v>1.8081265499999999E-4</v>
      </c>
      <c r="F134" s="331">
        <f>F107*Inputs!$H52</f>
        <v>1.8722339999999998E-4</v>
      </c>
      <c r="G134" s="331">
        <f>G107*Inputs!$H52</f>
        <v>1.52281485E-4</v>
      </c>
      <c r="H134" s="402">
        <f>H107*Inputs!$H52</f>
        <v>1.63859625E-4</v>
      </c>
      <c r="I134" s="14">
        <f>I107*Inputs!$H52</f>
        <v>1.7469542004726083E-4</v>
      </c>
      <c r="J134" s="14">
        <f>J107*Inputs!$H52</f>
        <v>1.8869807334794716E-4</v>
      </c>
      <c r="K134" s="14">
        <f>K107*Inputs!$H52</f>
        <v>1.9247083520240114E-4</v>
      </c>
      <c r="L134" s="14">
        <f>L107*Inputs!$H52</f>
        <v>1.9897873692006018E-4</v>
      </c>
      <c r="M134" s="14">
        <f>M107*Inputs!$H52</f>
        <v>2.0744071516217425E-4</v>
      </c>
      <c r="N134" s="182">
        <f>N107*Inputs!$H52</f>
        <v>2.1715690097555838E-4</v>
      </c>
      <c r="O134" s="14">
        <f>O107*Inputs!$H52</f>
        <v>2.3575254360975065E-4</v>
      </c>
      <c r="P134" s="14">
        <f>P107*Inputs!$H52</f>
        <v>2.5645552851384797E-4</v>
      </c>
      <c r="Q134" s="14">
        <f>Q107*Inputs!$H52</f>
        <v>2.821433152550328E-4</v>
      </c>
      <c r="R134" s="14">
        <f>R107*Inputs!$H52</f>
        <v>3.0762225553470832E-4</v>
      </c>
      <c r="S134" s="14">
        <f>S107*Inputs!$H52</f>
        <v>3.3470023245376647E-4</v>
      </c>
      <c r="T134" s="14">
        <f>T107*Inputs!$H52</f>
        <v>3.6251820158446271E-4</v>
      </c>
      <c r="U134" s="14">
        <f>U107*Inputs!$H52</f>
        <v>3.9238281003214546E-4</v>
      </c>
      <c r="V134" s="14">
        <f>V107*Inputs!$H52</f>
        <v>4.2524582077343174E-4</v>
      </c>
      <c r="W134" s="14">
        <f>W107*Inputs!$H52</f>
        <v>4.6072103097082674E-4</v>
      </c>
      <c r="X134" s="187">
        <f>X107*Inputs!$H52</f>
        <v>4.9871611181111046E-4</v>
      </c>
      <c r="Y134" s="158">
        <f>Y107*Inputs!$H52</f>
        <v>5.2167270560356499E-4</v>
      </c>
      <c r="Z134" s="158">
        <f>Z107*Inputs!$H52</f>
        <v>5.4694878738778476E-4</v>
      </c>
      <c r="AA134" s="158">
        <f>AA107*Inputs!$H52</f>
        <v>5.7247270383096723E-4</v>
      </c>
      <c r="AB134" s="158">
        <f>AB107*Inputs!$H52</f>
        <v>6.002786655208255E-4</v>
      </c>
      <c r="AC134" s="158">
        <f>AC107*Inputs!$H52</f>
        <v>6.3152897454518567E-4</v>
      </c>
      <c r="AD134" s="158">
        <f>AD107*Inputs!$H52</f>
        <v>6.6388092240833542E-4</v>
      </c>
      <c r="AE134" s="158">
        <f>AE107*Inputs!$H52</f>
        <v>7.0126327536020885E-4</v>
      </c>
      <c r="AF134" s="158">
        <f>AF107*Inputs!$H52</f>
        <v>7.4179160232071164E-4</v>
      </c>
      <c r="AG134" s="158">
        <f>AG107*Inputs!$H52</f>
        <v>7.8213481760140778E-4</v>
      </c>
      <c r="AH134" s="187">
        <f>AH107*Inputs!$H52</f>
        <v>8.2245426780449258E-4</v>
      </c>
    </row>
    <row r="135" spans="1:35">
      <c r="A135" s="9" t="s">
        <v>347</v>
      </c>
      <c r="B135" s="35">
        <v>1</v>
      </c>
      <c r="C135" s="331">
        <f>C108*Inputs!$H54</f>
        <v>0</v>
      </c>
      <c r="D135" s="331">
        <f>D108*Inputs!$H54</f>
        <v>0</v>
      </c>
      <c r="E135" s="331">
        <f>E108*Inputs!$H54</f>
        <v>0.14220000000000002</v>
      </c>
      <c r="F135" s="331">
        <f>F108*Inputs!$H54</f>
        <v>0.14220000000000002</v>
      </c>
      <c r="G135" s="331">
        <f>G108*Inputs!$H54</f>
        <v>0.14220000000000002</v>
      </c>
      <c r="H135" s="402">
        <f>H108*Inputs!$H54</f>
        <v>0.14220000000000002</v>
      </c>
      <c r="I135" s="14">
        <f>I108*Inputs!$H54</f>
        <v>0.14988192425273425</v>
      </c>
      <c r="J135" s="14">
        <f>J108*Inputs!$H54</f>
        <v>0.16005723412191461</v>
      </c>
      <c r="K135" s="14">
        <f>K108*Inputs!$H54</f>
        <v>0.16140347237860572</v>
      </c>
      <c r="L135" s="14">
        <f>L108*Inputs!$H54</f>
        <v>0.16496610240986961</v>
      </c>
      <c r="M135" s="14">
        <f>M108*Inputs!$H54</f>
        <v>0.17002866540170278</v>
      </c>
      <c r="N135" s="182">
        <f>N108*Inputs!$H54</f>
        <v>0.17597131571628821</v>
      </c>
      <c r="O135" s="14">
        <f>O108*Inputs!$H54</f>
        <v>0.19104014238598271</v>
      </c>
      <c r="P135" s="14">
        <f>P108*Inputs!$H54</f>
        <v>0.20781663660035957</v>
      </c>
      <c r="Q135" s="14">
        <f>Q108*Inputs!$H54</f>
        <v>0.22863252414700716</v>
      </c>
      <c r="R135" s="14">
        <f>R108*Inputs!$H54</f>
        <v>0.24927917467447933</v>
      </c>
      <c r="S135" s="14">
        <f>S108*Inputs!$H54</f>
        <v>0.27122159144307306</v>
      </c>
      <c r="T135" s="14">
        <f>T108*Inputs!$H54</f>
        <v>0.29376365483821554</v>
      </c>
      <c r="U135" s="14">
        <f>U108*Inputs!$H54</f>
        <v>0.3179641956374325</v>
      </c>
      <c r="V135" s="14">
        <f>V108*Inputs!$H54</f>
        <v>0.34459446717180819</v>
      </c>
      <c r="W135" s="14">
        <f>W108*Inputs!$H54</f>
        <v>0.37334151313582348</v>
      </c>
      <c r="X135" s="187">
        <f>X108*Inputs!$H54</f>
        <v>0.40413051563206004</v>
      </c>
      <c r="Y135" s="158">
        <f>Y108*Inputs!$H54</f>
        <v>0.42273320334713876</v>
      </c>
      <c r="Z135" s="158">
        <f>Z108*Inputs!$H54</f>
        <v>0.44321546915467236</v>
      </c>
      <c r="AA135" s="158">
        <f>AA108*Inputs!$H54</f>
        <v>0.46389856574778937</v>
      </c>
      <c r="AB135" s="158">
        <f>AB108*Inputs!$H54</f>
        <v>0.4864308990116159</v>
      </c>
      <c r="AC135" s="158">
        <f>AC108*Inputs!$H54</f>
        <v>0.51175433092122957</v>
      </c>
      <c r="AD135" s="158">
        <f>AD108*Inputs!$H54</f>
        <v>0.53797046683902827</v>
      </c>
      <c r="AE135" s="158">
        <f>AE108*Inputs!$H54</f>
        <v>0.56826295031047125</v>
      </c>
      <c r="AF135" s="158">
        <f>AF108*Inputs!$H54</f>
        <v>0.60110474804740932</v>
      </c>
      <c r="AG135" s="158">
        <f>AG108*Inputs!$H54</f>
        <v>0.63379654205108493</v>
      </c>
      <c r="AH135" s="187">
        <f>AH108*Inputs!$H54</f>
        <v>0.66646907821880608</v>
      </c>
    </row>
    <row r="136" spans="1:35">
      <c r="A136" s="9" t="s">
        <v>348</v>
      </c>
      <c r="B136" s="35">
        <v>1</v>
      </c>
      <c r="C136" s="331">
        <f>C109*Inputs!$H55</f>
        <v>0</v>
      </c>
      <c r="D136" s="331">
        <f>D109*Inputs!$H55</f>
        <v>0</v>
      </c>
      <c r="E136" s="331">
        <f>E109*Inputs!$H55</f>
        <v>2.0700000000000003E-2</v>
      </c>
      <c r="F136" s="331">
        <f>F109*Inputs!$H55</f>
        <v>2.0700000000000003E-2</v>
      </c>
      <c r="G136" s="331">
        <f>G109*Inputs!$H55</f>
        <v>2.0700000000000003E-2</v>
      </c>
      <c r="H136" s="402">
        <f>H109*Inputs!$H55</f>
        <v>2.0700000000000003E-2</v>
      </c>
      <c r="I136" s="14">
        <f>I109*Inputs!$H55</f>
        <v>2.18182547962841E-2</v>
      </c>
      <c r="J136" s="14">
        <f>J109*Inputs!$H55</f>
        <v>2.3299470789898961E-2</v>
      </c>
      <c r="K136" s="14">
        <f>K109*Inputs!$H55</f>
        <v>2.3495442181695768E-2</v>
      </c>
      <c r="L136" s="14">
        <f>L109*Inputs!$H55</f>
        <v>2.4014052882449372E-2</v>
      </c>
      <c r="M136" s="14">
        <f>M109*Inputs!$H55</f>
        <v>2.4751008254678256E-2</v>
      </c>
      <c r="N136" s="187">
        <f>N109*Inputs!$H55</f>
        <v>2.5616077604269802E-2</v>
      </c>
      <c r="O136" s="14">
        <f>O109*Inputs!$H55</f>
        <v>2.7809640980237992E-2</v>
      </c>
      <c r="P136" s="14">
        <f>P109*Inputs!$H55</f>
        <v>3.0251788872204238E-2</v>
      </c>
      <c r="Q136" s="14">
        <f>Q109*Inputs!$H55</f>
        <v>3.3281949717602309E-2</v>
      </c>
      <c r="R136" s="14">
        <f>R109*Inputs!$H55</f>
        <v>3.6287474794386231E-2</v>
      </c>
      <c r="S136" s="14">
        <f>S109*Inputs!$H55</f>
        <v>3.9481624070827094E-2</v>
      </c>
      <c r="T136" s="14">
        <f>T109*Inputs!$H55</f>
        <v>4.2763063678980744E-2</v>
      </c>
      <c r="U136" s="14">
        <f>U109*Inputs!$H55</f>
        <v>4.6285927213043976E-2</v>
      </c>
      <c r="V136" s="14">
        <f>V109*Inputs!$H55</f>
        <v>5.01624857275417E-2</v>
      </c>
      <c r="W136" s="14">
        <f>W109*Inputs!$H55</f>
        <v>5.4347182291923667E-2</v>
      </c>
      <c r="X136" s="187">
        <f>X109*Inputs!$H55</f>
        <v>5.8829125693274559E-2</v>
      </c>
      <c r="Y136" s="158">
        <f>Y109*Inputs!$H55</f>
        <v>6.1537111879646784E-2</v>
      </c>
      <c r="Z136" s="158">
        <f>Z109*Inputs!$H55</f>
        <v>6.4518707535173817E-2</v>
      </c>
      <c r="AA136" s="158">
        <f>AA109*Inputs!$H55</f>
        <v>6.7529538051893392E-2</v>
      </c>
      <c r="AB136" s="158">
        <f>AB109*Inputs!$H55</f>
        <v>7.0809561248526373E-2</v>
      </c>
      <c r="AC136" s="158">
        <f>AC109*Inputs!$H55</f>
        <v>7.4495883615115693E-2</v>
      </c>
      <c r="AD136" s="158">
        <f>AD109*Inputs!$H55</f>
        <v>7.8312156565175012E-2</v>
      </c>
      <c r="AE136" s="158">
        <f>AE109*Inputs!$H55</f>
        <v>8.2721821880638216E-2</v>
      </c>
      <c r="AF136" s="158">
        <f>AF109*Inputs!$H55</f>
        <v>8.7502589905635531E-2</v>
      </c>
      <c r="AG136" s="158">
        <f>AG109*Inputs!$H55</f>
        <v>9.2261521944145289E-2</v>
      </c>
      <c r="AH136" s="187">
        <f>AH109*Inputs!$H55</f>
        <v>9.7017650626788229E-2</v>
      </c>
    </row>
    <row r="137" spans="1:35">
      <c r="A137" s="9" t="s">
        <v>344</v>
      </c>
      <c r="B137" s="35">
        <v>1</v>
      </c>
      <c r="C137" s="331">
        <f>C110*Inputs!$H56</f>
        <v>2.16E-3</v>
      </c>
      <c r="D137" s="331">
        <f>D110*Inputs!$H56</f>
        <v>2.4799437496056372E-3</v>
      </c>
      <c r="E137" s="331">
        <f>E110*Inputs!$H56</f>
        <v>2.3219475314618927E-3</v>
      </c>
      <c r="F137" s="331">
        <f>F110*Inputs!$H56</f>
        <v>2.4687056061597152E-3</v>
      </c>
      <c r="G137" s="331">
        <f>G110*Inputs!$H56</f>
        <v>2.3733803749971596E-3</v>
      </c>
      <c r="H137" s="402">
        <f>H110*Inputs!$H56</f>
        <v>2.16E-3</v>
      </c>
      <c r="I137" s="14">
        <f>I110*Inputs!$H56</f>
        <v>2.2766874570035582E-3</v>
      </c>
      <c r="J137" s="14">
        <f>J110*Inputs!$H56</f>
        <v>2.431249125902501E-3</v>
      </c>
      <c r="K137" s="14">
        <f>K110*Inputs!$H56</f>
        <v>2.4516983146117329E-3</v>
      </c>
      <c r="L137" s="14">
        <f>L110*Inputs!$H56</f>
        <v>2.5058142138208042E-3</v>
      </c>
      <c r="M137" s="14">
        <f>M110*Inputs!$H56</f>
        <v>2.5827139048359912E-3</v>
      </c>
      <c r="N137" s="187">
        <f>N110*Inputs!$H56</f>
        <v>2.672982010880327E-3</v>
      </c>
      <c r="O137" s="14">
        <f>O110*Inputs!$H56</f>
        <v>2.901875580546573E-3</v>
      </c>
      <c r="P137" s="14">
        <f>P110*Inputs!$H56</f>
        <v>3.1567084040560953E-3</v>
      </c>
      <c r="Q137" s="14">
        <f>Q110*Inputs!$H56</f>
        <v>3.4728991009671979E-3</v>
      </c>
      <c r="R137" s="14">
        <f>R110*Inputs!$H56</f>
        <v>3.7865191089794335E-3</v>
      </c>
      <c r="S137" s="14">
        <f>S110*Inputs!$H56</f>
        <v>4.1198216421732617E-3</v>
      </c>
      <c r="T137" s="14">
        <f>T110*Inputs!$H56</f>
        <v>4.46223273171973E-3</v>
      </c>
      <c r="U137" s="14">
        <f>U110*Inputs!$H56</f>
        <v>4.8298358831002407E-3</v>
      </c>
      <c r="V137" s="14">
        <f>V110*Inputs!$H56</f>
        <v>5.2343463367869603E-3</v>
      </c>
      <c r="W137" s="14">
        <f>W110*Inputs!$H56</f>
        <v>5.6710103261137746E-3</v>
      </c>
      <c r="X137" s="187">
        <f>X110*Inputs!$H56</f>
        <v>6.1386913766895207E-3</v>
      </c>
      <c r="Y137" s="158">
        <f>Y110*Inputs!$H56</f>
        <v>6.4212638483109701E-3</v>
      </c>
      <c r="Z137" s="158">
        <f>Z110*Inputs!$H56</f>
        <v>6.7323868732355298E-3</v>
      </c>
      <c r="AA137" s="158">
        <f>AA110*Inputs!$H56</f>
        <v>7.0465604923714859E-3</v>
      </c>
      <c r="AB137" s="158">
        <f>AB110*Inputs!$H56</f>
        <v>7.3888237824549265E-3</v>
      </c>
      <c r="AC137" s="158">
        <f>AC110*Inputs!$H56</f>
        <v>7.7734835076642486E-3</v>
      </c>
      <c r="AD137" s="158">
        <f>AD110*Inputs!$H56</f>
        <v>8.1717032937573958E-3</v>
      </c>
      <c r="AE137" s="158">
        <f>AE110*Inputs!$H56</f>
        <v>8.6318422831970342E-3</v>
      </c>
      <c r="AF137" s="158">
        <f>AF110*Inputs!$H56</f>
        <v>9.1307050336315362E-3</v>
      </c>
      <c r="AG137" s="158">
        <f>AG110*Inputs!$H56</f>
        <v>9.6272892463455991E-3</v>
      </c>
      <c r="AH137" s="187">
        <f>AH110*Inputs!$H56</f>
        <v>1.0123580934969212E-2</v>
      </c>
    </row>
    <row r="138" spans="1:35">
      <c r="A138" s="10" t="s">
        <v>120</v>
      </c>
      <c r="B138" s="35">
        <v>1</v>
      </c>
      <c r="C138" s="331">
        <f>C111*Inputs!$H56</f>
        <v>0</v>
      </c>
      <c r="D138" s="331">
        <f>D111*Inputs!$H56</f>
        <v>0</v>
      </c>
      <c r="E138" s="331">
        <f>E111*Inputs!$H56</f>
        <v>0</v>
      </c>
      <c r="F138" s="331">
        <f>F111*Inputs!$H56</f>
        <v>0</v>
      </c>
      <c r="G138" s="331">
        <f>G111*Inputs!$H56</f>
        <v>0</v>
      </c>
      <c r="H138" s="402">
        <f>H111*Inputs!$H56</f>
        <v>0</v>
      </c>
      <c r="I138" s="14">
        <f>I111*Inputs!$H56</f>
        <v>0</v>
      </c>
      <c r="J138" s="14">
        <f>J111*Inputs!$H56</f>
        <v>0</v>
      </c>
      <c r="K138" s="14">
        <f>K111*Inputs!$H56</f>
        <v>0</v>
      </c>
      <c r="L138" s="14">
        <f>L111*Inputs!$H56</f>
        <v>0</v>
      </c>
      <c r="M138" s="14">
        <f>M111*Inputs!$H56</f>
        <v>0</v>
      </c>
      <c r="N138" s="182">
        <f>N111*Inputs!$H56</f>
        <v>0</v>
      </c>
      <c r="O138" s="14">
        <f>O111*Inputs!$H56</f>
        <v>0</v>
      </c>
      <c r="P138" s="14">
        <f>P111*Inputs!$H56</f>
        <v>0</v>
      </c>
      <c r="Q138" s="14">
        <f>Q111*Inputs!$H56</f>
        <v>0</v>
      </c>
      <c r="R138" s="14">
        <f>R111*Inputs!$H56</f>
        <v>0</v>
      </c>
      <c r="S138" s="14">
        <f>S111*Inputs!$H56</f>
        <v>0</v>
      </c>
      <c r="T138" s="14">
        <f>T111*Inputs!$H56</f>
        <v>0</v>
      </c>
      <c r="U138" s="14">
        <f>U111*Inputs!$H56</f>
        <v>0</v>
      </c>
      <c r="V138" s="14">
        <f>V111*Inputs!$H56</f>
        <v>0</v>
      </c>
      <c r="W138" s="14">
        <f>W111*Inputs!$H56</f>
        <v>0</v>
      </c>
      <c r="X138" s="187">
        <f>X111*Inputs!$H56</f>
        <v>0</v>
      </c>
      <c r="Y138" s="158">
        <f>Y111*Inputs!$H56</f>
        <v>0</v>
      </c>
      <c r="Z138" s="158">
        <f>Z111*Inputs!$H56</f>
        <v>0</v>
      </c>
      <c r="AA138" s="158">
        <f>AA111*Inputs!$H56</f>
        <v>0</v>
      </c>
      <c r="AB138" s="158">
        <f>AB111*Inputs!$H56</f>
        <v>0</v>
      </c>
      <c r="AC138" s="158">
        <f>AC111*Inputs!$H56</f>
        <v>0</v>
      </c>
      <c r="AD138" s="158">
        <f>AD111*Inputs!$H56</f>
        <v>0</v>
      </c>
      <c r="AE138" s="158">
        <f>AE111*Inputs!$H56</f>
        <v>0</v>
      </c>
      <c r="AF138" s="158">
        <f>AF111*Inputs!$H56</f>
        <v>0</v>
      </c>
      <c r="AG138" s="158">
        <f>AG111*Inputs!$H56</f>
        <v>0</v>
      </c>
      <c r="AH138" s="187">
        <f>AH111*Inputs!$H56</f>
        <v>0</v>
      </c>
    </row>
    <row r="139" spans="1:35">
      <c r="A139" s="10" t="s">
        <v>53</v>
      </c>
      <c r="B139" s="35">
        <v>1</v>
      </c>
      <c r="C139" s="331">
        <f>C112*Inputs!$H57</f>
        <v>0</v>
      </c>
      <c r="D139" s="331">
        <f>D112*Inputs!$H57</f>
        <v>0</v>
      </c>
      <c r="E139" s="331">
        <f>E112*Inputs!$H57</f>
        <v>5.9645399130000014E-4</v>
      </c>
      <c r="F139" s="331">
        <f>F112*Inputs!$H57</f>
        <v>6.6717062190000005E-4</v>
      </c>
      <c r="G139" s="331">
        <f>G112*Inputs!$H57</f>
        <v>7.1574773939999986E-4</v>
      </c>
      <c r="H139" s="402">
        <f>H112*Inputs!$H57</f>
        <v>7.1972352090000002E-4</v>
      </c>
      <c r="I139" s="14">
        <f>I112*Inputs!$H57</f>
        <v>9.084061962000001E-4</v>
      </c>
      <c r="J139" s="14">
        <f>J112*Inputs!$H57</f>
        <v>1.0309237920000001E-3</v>
      </c>
      <c r="K139" s="14">
        <f>K112*Inputs!$H57</f>
        <v>1.0309288409999999E-3</v>
      </c>
      <c r="L139" s="14">
        <f>L112*Inputs!$H57</f>
        <v>1.0610377198181299E-3</v>
      </c>
      <c r="M139" s="14">
        <f>M112*Inputs!$H57</f>
        <v>1.161116397262422E-3</v>
      </c>
      <c r="N139" s="182">
        <f>N112*Inputs!$H57</f>
        <v>1.2758893020760101E-3</v>
      </c>
      <c r="O139" s="14">
        <f>O112*Inputs!$H57</f>
        <v>1.3851466242960618E-3</v>
      </c>
      <c r="P139" s="14">
        <f>P112*Inputs!$H57</f>
        <v>1.506785480079659E-3</v>
      </c>
      <c r="Q139" s="14">
        <f>Q112*Inputs!$H57</f>
        <v>1.6577121701818384E-3</v>
      </c>
      <c r="R139" s="14">
        <f>R112*Inputs!$H57</f>
        <v>1.8074117983540529E-3</v>
      </c>
      <c r="S139" s="14">
        <f>S112*Inputs!$H57</f>
        <v>1.9665064479722845E-3</v>
      </c>
      <c r="T139" s="14">
        <f>T112*Inputs!$H57</f>
        <v>2.1299488670705881E-3</v>
      </c>
      <c r="U139" s="14">
        <f>U112*Inputs!$H57</f>
        <v>2.3054161640245819E-3</v>
      </c>
      <c r="V139" s="14">
        <f>V112*Inputs!$H57</f>
        <v>2.4985003517729388E-3</v>
      </c>
      <c r="W139" s="14">
        <f>W112*Inputs!$H57</f>
        <v>2.7069323241229607E-3</v>
      </c>
      <c r="X139" s="187">
        <f>X112*Inputs!$H57</f>
        <v>2.9301696099649052E-3</v>
      </c>
      <c r="Y139" s="158">
        <f>Y112*Inputs!$H57</f>
        <v>3.0650493780050368E-3</v>
      </c>
      <c r="Z139" s="158">
        <f>Z112*Inputs!$H57</f>
        <v>3.2135571260987249E-3</v>
      </c>
      <c r="AA139" s="158">
        <f>AA112*Inputs!$H57</f>
        <v>3.36352100839139E-3</v>
      </c>
      <c r="AB139" s="158">
        <f>AB112*Inputs!$H57</f>
        <v>3.5268928786596002E-3</v>
      </c>
      <c r="AC139" s="158">
        <f>AC112*Inputs!$H57</f>
        <v>3.7105017568100501E-3</v>
      </c>
      <c r="AD139" s="158">
        <f>AD112*Inputs!$H57</f>
        <v>3.9005832324365578E-3</v>
      </c>
      <c r="AE139" s="158">
        <f>AE112*Inputs!$H57</f>
        <v>4.1202204809119968E-3</v>
      </c>
      <c r="AF139" s="158">
        <f>AF112*Inputs!$H57</f>
        <v>4.3583416668731296E-3</v>
      </c>
      <c r="AG139" s="158">
        <f>AG112*Inputs!$H57</f>
        <v>4.5953752428578186E-3</v>
      </c>
      <c r="AH139" s="187">
        <f>AH112*Inputs!$H57</f>
        <v>4.8322691888876166E-3</v>
      </c>
      <c r="AI139" s="31">
        <f>SUM(C139:X139)</f>
        <v>3.0061927959696432E-2</v>
      </c>
    </row>
    <row r="140" spans="1:35">
      <c r="A140" s="10" t="s">
        <v>384</v>
      </c>
      <c r="C140" s="331">
        <f t="shared" ref="C140:AH140" si="91">SUM(C127:C139)</f>
        <v>2715.5258100000001</v>
      </c>
      <c r="D140" s="331">
        <f t="shared" si="91"/>
        <v>3106.6256241212104</v>
      </c>
      <c r="E140" s="331">
        <f t="shared" si="91"/>
        <v>2901.8704863466678</v>
      </c>
      <c r="F140" s="331">
        <f t="shared" si="91"/>
        <v>3076.1727999274112</v>
      </c>
      <c r="G140" s="331">
        <f t="shared" si="91"/>
        <v>2952.2743207885455</v>
      </c>
      <c r="H140" s="402">
        <f t="shared" si="91"/>
        <v>2867.3780755579069</v>
      </c>
      <c r="I140" s="14">
        <f t="shared" si="91"/>
        <v>3026.085976213566</v>
      </c>
      <c r="J140" s="14">
        <f t="shared" si="91"/>
        <v>3237.587701900894</v>
      </c>
      <c r="K140" s="14">
        <f t="shared" si="91"/>
        <v>3273.0418063892771</v>
      </c>
      <c r="L140" s="14">
        <f t="shared" si="91"/>
        <v>3355.9437274632264</v>
      </c>
      <c r="M140" s="14">
        <f t="shared" si="91"/>
        <v>3472.344228372549</v>
      </c>
      <c r="N140" s="182">
        <f t="shared" si="91"/>
        <v>3610.2145945829461</v>
      </c>
      <c r="O140" s="14">
        <f t="shared" si="91"/>
        <v>3692.2896016124414</v>
      </c>
      <c r="P140" s="14">
        <f t="shared" si="91"/>
        <v>3788.5519411725363</v>
      </c>
      <c r="Q140" s="14">
        <f t="shared" si="91"/>
        <v>3936.5689396169423</v>
      </c>
      <c r="R140" s="14">
        <f t="shared" si="91"/>
        <v>4059.1997524377744</v>
      </c>
      <c r="S140" s="14">
        <f t="shared" si="91"/>
        <v>4182.7559041027862</v>
      </c>
      <c r="T140" s="14">
        <f t="shared" si="91"/>
        <v>4296.8466127091424</v>
      </c>
      <c r="U140" s="14">
        <f t="shared" si="91"/>
        <v>4417.6597406560477</v>
      </c>
      <c r="V140" s="14">
        <f t="shared" si="91"/>
        <v>4554.6053901207433</v>
      </c>
      <c r="W140" s="14">
        <f t="shared" si="91"/>
        <v>4701.7433739996568</v>
      </c>
      <c r="X140" s="187">
        <f t="shared" si="91"/>
        <v>4857.131279134268</v>
      </c>
      <c r="Y140" s="158">
        <f t="shared" si="91"/>
        <v>4946.3156580353989</v>
      </c>
      <c r="Z140" s="158">
        <f t="shared" si="91"/>
        <v>5051.6619819151492</v>
      </c>
      <c r="AA140" s="158">
        <f t="shared" si="91"/>
        <v>5153.4099125017001</v>
      </c>
      <c r="AB140" s="158">
        <f t="shared" si="91"/>
        <v>5269.8096213667977</v>
      </c>
      <c r="AC140" s="158">
        <f t="shared" si="91"/>
        <v>5409.8893829864264</v>
      </c>
      <c r="AD140" s="158">
        <f t="shared" si="91"/>
        <v>5552.5207660646938</v>
      </c>
      <c r="AE140" s="158">
        <f t="shared" si="91"/>
        <v>5729.7851197869541</v>
      </c>
      <c r="AF140" s="158">
        <f t="shared" si="91"/>
        <v>5924.4622913853364</v>
      </c>
      <c r="AG140" s="158">
        <f t="shared" si="91"/>
        <v>6109.5733528257097</v>
      </c>
      <c r="AH140" s="187">
        <f t="shared" si="91"/>
        <v>6287.171293273509</v>
      </c>
      <c r="AI140" s="48" t="s">
        <v>0</v>
      </c>
    </row>
    <row r="141" spans="1:35">
      <c r="A141" s="10" t="s">
        <v>387</v>
      </c>
      <c r="C141" s="331">
        <f>SUM(C128:C130)</f>
        <v>2281.3906500000003</v>
      </c>
      <c r="D141" s="331">
        <f t="shared" ref="D141:AH141" si="92">SUM(D128:D130)</f>
        <v>2582.2102977102381</v>
      </c>
      <c r="E141" s="331">
        <f t="shared" si="92"/>
        <v>2383.4321474756007</v>
      </c>
      <c r="F141" s="331">
        <f t="shared" si="92"/>
        <v>2498.1416743725963</v>
      </c>
      <c r="G141" s="331">
        <f t="shared" si="92"/>
        <v>2367.6050288762021</v>
      </c>
      <c r="H141" s="402">
        <f t="shared" si="92"/>
        <v>2296.8545237856965</v>
      </c>
      <c r="I141" s="14">
        <f t="shared" si="92"/>
        <v>2393.4126610495582</v>
      </c>
      <c r="J141" s="14">
        <f t="shared" si="92"/>
        <v>2526.7637057685588</v>
      </c>
      <c r="K141" s="14">
        <f t="shared" si="92"/>
        <v>2518.8941030521842</v>
      </c>
      <c r="L141" s="14">
        <f t="shared" si="92"/>
        <v>2544.9914296350585</v>
      </c>
      <c r="M141" s="14">
        <f t="shared" si="92"/>
        <v>2592.9571236810725</v>
      </c>
      <c r="N141" s="187">
        <f t="shared" si="92"/>
        <v>2652.6734771037627</v>
      </c>
      <c r="O141" s="14">
        <f t="shared" si="92"/>
        <v>2652.7520458520166</v>
      </c>
      <c r="P141" s="14">
        <f t="shared" si="92"/>
        <v>2657.7257401461002</v>
      </c>
      <c r="Q141" s="14">
        <f t="shared" si="92"/>
        <v>2692.4738905307818</v>
      </c>
      <c r="R141" s="14">
        <f t="shared" si="92"/>
        <v>2702.7567519948584</v>
      </c>
      <c r="S141" s="14">
        <f t="shared" si="92"/>
        <v>2706.9140903517505</v>
      </c>
      <c r="T141" s="14">
        <f t="shared" si="92"/>
        <v>2698.3430316933104</v>
      </c>
      <c r="U141" s="14">
        <f t="shared" si="92"/>
        <v>2687.4698516407707</v>
      </c>
      <c r="V141" s="14">
        <f t="shared" si="92"/>
        <v>2679.5079071603682</v>
      </c>
      <c r="W141" s="14">
        <f t="shared" si="92"/>
        <v>2670.2199507969053</v>
      </c>
      <c r="X141" s="187">
        <f t="shared" si="92"/>
        <v>2658.0706880907765</v>
      </c>
      <c r="Y141" s="158">
        <f t="shared" si="92"/>
        <v>2646.0292603295802</v>
      </c>
      <c r="Z141" s="158">
        <f t="shared" si="92"/>
        <v>2639.9221259566662</v>
      </c>
      <c r="AA141" s="158">
        <f t="shared" si="92"/>
        <v>2629.1237853280077</v>
      </c>
      <c r="AB141" s="158">
        <f t="shared" si="92"/>
        <v>2622.9146730620319</v>
      </c>
      <c r="AC141" s="158">
        <f t="shared" si="92"/>
        <v>2625.1979580772922</v>
      </c>
      <c r="AD141" s="158">
        <f t="shared" si="92"/>
        <v>2625.1752501718452</v>
      </c>
      <c r="AE141" s="158">
        <f t="shared" si="92"/>
        <v>2637.6042251484532</v>
      </c>
      <c r="AF141" s="158">
        <f t="shared" si="92"/>
        <v>2653.5740228941881</v>
      </c>
      <c r="AG141" s="158">
        <f t="shared" si="92"/>
        <v>2660.7939500024836</v>
      </c>
      <c r="AH141" s="187">
        <f t="shared" si="92"/>
        <v>2660.605546888703</v>
      </c>
      <c r="AI141" s="48"/>
    </row>
    <row r="142" spans="1:35">
      <c r="A142" s="10" t="s">
        <v>386</v>
      </c>
      <c r="C142" s="330">
        <f t="shared" ref="C142:AH142" si="93">SUMPRODUCT($B131:$B139,C131:C139)</f>
        <v>434.13516000000004</v>
      </c>
      <c r="D142" s="330">
        <f t="shared" si="93"/>
        <v>524.41532641097217</v>
      </c>
      <c r="E142" s="330">
        <f t="shared" si="93"/>
        <v>518.43833887106769</v>
      </c>
      <c r="F142" s="330">
        <f t="shared" si="93"/>
        <v>578.03112555481482</v>
      </c>
      <c r="G142" s="330">
        <f t="shared" si="93"/>
        <v>584.66929191234385</v>
      </c>
      <c r="H142" s="286">
        <f t="shared" si="93"/>
        <v>570.52355177221045</v>
      </c>
      <c r="I142" s="40">
        <f t="shared" si="93"/>
        <v>632.67331516400725</v>
      </c>
      <c r="J142" s="40">
        <f t="shared" si="93"/>
        <v>710.82399613233531</v>
      </c>
      <c r="K142" s="40">
        <f t="shared" si="93"/>
        <v>754.1477033370935</v>
      </c>
      <c r="L142" s="40">
        <f t="shared" si="93"/>
        <v>810.95229782816784</v>
      </c>
      <c r="M142" s="40">
        <f t="shared" si="93"/>
        <v>879.38710469147645</v>
      </c>
      <c r="N142" s="177">
        <f t="shared" si="93"/>
        <v>957.54111747918296</v>
      </c>
      <c r="O142" s="40">
        <f t="shared" si="93"/>
        <v>1039.537555760425</v>
      </c>
      <c r="P142" s="40">
        <f t="shared" si="93"/>
        <v>1130.8262010264361</v>
      </c>
      <c r="Q142" s="40">
        <f t="shared" si="93"/>
        <v>1244.0950490861601</v>
      </c>
      <c r="R142" s="40">
        <f t="shared" si="93"/>
        <v>1356.4430004429162</v>
      </c>
      <c r="S142" s="40">
        <f t="shared" si="93"/>
        <v>1475.8418137510359</v>
      </c>
      <c r="T142" s="40">
        <f t="shared" si="93"/>
        <v>1598.5035810158317</v>
      </c>
      <c r="U142" s="40">
        <f t="shared" si="93"/>
        <v>1730.1898890152777</v>
      </c>
      <c r="V142" s="40">
        <f t="shared" si="93"/>
        <v>1875.0974829603733</v>
      </c>
      <c r="W142" s="40">
        <f t="shared" si="93"/>
        <v>2031.523423202751</v>
      </c>
      <c r="X142" s="184">
        <f t="shared" si="93"/>
        <v>2199.0605910434897</v>
      </c>
      <c r="Y142" s="271">
        <f t="shared" si="93"/>
        <v>2300.2863977058191</v>
      </c>
      <c r="Z142" s="271">
        <f t="shared" si="93"/>
        <v>2411.7398559584817</v>
      </c>
      <c r="AA142" s="271">
        <f t="shared" si="93"/>
        <v>2524.2861271736942</v>
      </c>
      <c r="AB142" s="271">
        <f t="shared" si="93"/>
        <v>2646.8949483047659</v>
      </c>
      <c r="AC142" s="271">
        <f t="shared" si="93"/>
        <v>2784.6914249091351</v>
      </c>
      <c r="AD142" s="271">
        <f t="shared" si="93"/>
        <v>2927.3455158928477</v>
      </c>
      <c r="AE142" s="271">
        <f t="shared" si="93"/>
        <v>3092.1808946385004</v>
      </c>
      <c r="AF142" s="271">
        <f t="shared" si="93"/>
        <v>3270.8882684911487</v>
      </c>
      <c r="AG142" s="271">
        <f t="shared" si="93"/>
        <v>3448.7794028232274</v>
      </c>
      <c r="AH142" s="184">
        <f t="shared" si="93"/>
        <v>3626.5657463848038</v>
      </c>
    </row>
    <row r="143" spans="1:35">
      <c r="A143" s="10" t="s">
        <v>142</v>
      </c>
      <c r="C143" s="331">
        <f>C116*Inputs!$H$60</f>
        <v>4652.5940999999984</v>
      </c>
      <c r="D143" s="331">
        <f>D116*Inputs!$H$60</f>
        <v>2338.4934472976183</v>
      </c>
      <c r="E143" s="331">
        <f>E116*Inputs!$H$60</f>
        <v>2274.0824659406458</v>
      </c>
      <c r="F143" s="331">
        <f>F116*Inputs!$H$60</f>
        <v>1915.0193719017975</v>
      </c>
      <c r="G143" s="331">
        <f>G116*Inputs!$H$60</f>
        <v>2082.2980923338009</v>
      </c>
      <c r="H143" s="402">
        <f>H116*Inputs!$H$60</f>
        <v>2169.7949147328418</v>
      </c>
      <c r="I143" s="14">
        <f>I116*Inputs!$H$60</f>
        <v>2047.119453756759</v>
      </c>
      <c r="J143" s="14">
        <f>J116*Inputs!$H$60</f>
        <v>1953.5343362924527</v>
      </c>
      <c r="K143" s="14">
        <f>K116*Inputs!$H$60</f>
        <v>2079.9525466957425</v>
      </c>
      <c r="L143" s="14">
        <f>L116*Inputs!$H$60</f>
        <v>2123.5091731532916</v>
      </c>
      <c r="M143" s="14">
        <f>M116*Inputs!$H$60</f>
        <v>2128.6100617178317</v>
      </c>
      <c r="N143" s="182">
        <f>N116*Inputs!$H$60</f>
        <v>2103.8161981611456</v>
      </c>
      <c r="O143" s="14">
        <f>O116*Inputs!$H$60</f>
        <v>2117.9164804680922</v>
      </c>
      <c r="P143" s="14">
        <f>P116*Inputs!$H$60</f>
        <v>2125.9623468868317</v>
      </c>
      <c r="Q143" s="14">
        <f>Q116*Inputs!$H$60</f>
        <v>2120.1188294285816</v>
      </c>
      <c r="R143" s="14">
        <f>R116*Inputs!$H$60</f>
        <v>2136.3986872945165</v>
      </c>
      <c r="S143" s="14">
        <f>S116*Inputs!$H$60</f>
        <v>2158.885966610695</v>
      </c>
      <c r="T143" s="14">
        <f>T116*Inputs!$H$60</f>
        <v>2148.1458042609411</v>
      </c>
      <c r="U143" s="14">
        <f>U116*Inputs!$H$60</f>
        <v>2137.0879295639679</v>
      </c>
      <c r="V143" s="14">
        <f>V116*Inputs!$H$60</f>
        <v>2123.2721625376089</v>
      </c>
      <c r="W143" s="14">
        <f>W116*Inputs!$H$60</f>
        <v>2116.9670804747229</v>
      </c>
      <c r="X143" s="187">
        <f>X116*Inputs!$H$60</f>
        <v>2103.0723188346833</v>
      </c>
      <c r="Y143" s="158">
        <f>Y116*Inputs!$H$60</f>
        <v>2094.0764462580714</v>
      </c>
      <c r="Z143" s="158">
        <f>Z116*Inputs!$H$60</f>
        <v>2082.8180807477211</v>
      </c>
      <c r="AA143" s="158">
        <f>AA116*Inputs!$H$60</f>
        <v>2071.2743946698565</v>
      </c>
      <c r="AB143" s="158">
        <f>AB116*Inputs!$H$60</f>
        <v>2058.7281727445379</v>
      </c>
      <c r="AC143" s="158">
        <f>AC116*Inputs!$H$60</f>
        <v>2043.0926356193233</v>
      </c>
      <c r="AD143" s="158">
        <f>AD116*Inputs!$H$60</f>
        <v>2028.3090126039453</v>
      </c>
      <c r="AE143" s="158">
        <f>AE116*Inputs!$H$60</f>
        <v>2010.2032096679757</v>
      </c>
      <c r="AF143" s="158">
        <f>AF116*Inputs!$H$60</f>
        <v>1991.2994933695306</v>
      </c>
      <c r="AG143" s="158">
        <f>AG116*Inputs!$H$60</f>
        <v>1975.5713273537581</v>
      </c>
      <c r="AH143" s="187">
        <f>AH116*Inputs!$H$60</f>
        <v>1960.4640927740149</v>
      </c>
      <c r="AI143" s="48"/>
    </row>
    <row r="144" spans="1:35">
      <c r="A144" s="10" t="s">
        <v>222</v>
      </c>
      <c r="C144" s="331">
        <f>C117*Inputs!$H$61</f>
        <v>1993.9688999999994</v>
      </c>
      <c r="D144" s="331">
        <f>D117*Inputs!$H$61</f>
        <v>5018.7095618646081</v>
      </c>
      <c r="E144" s="331">
        <f>E117*Inputs!$H$61</f>
        <v>4555.8888860778407</v>
      </c>
      <c r="F144" s="331">
        <f>F117*Inputs!$H$61</f>
        <v>5294.7462930735765</v>
      </c>
      <c r="G144" s="331">
        <f>G117*Inputs!$H$61</f>
        <v>4806.5568231192292</v>
      </c>
      <c r="H144" s="402">
        <f>H117*Inputs!$H$61</f>
        <v>4634.2012354809021</v>
      </c>
      <c r="I144" s="14">
        <f>I117*Inputs!$H$61</f>
        <v>4977.5730107371173</v>
      </c>
      <c r="J144" s="14">
        <f>J117*Inputs!$H$61</f>
        <v>5394.7885797580066</v>
      </c>
      <c r="K144" s="14">
        <f>K117*Inputs!$H$61</f>
        <v>5211.601601052419</v>
      </c>
      <c r="L144" s="14">
        <f>L117*Inputs!$H$61</f>
        <v>5163.2678335427936</v>
      </c>
      <c r="M144" s="14">
        <f>M117*Inputs!$H$61</f>
        <v>5213.3518341547324</v>
      </c>
      <c r="N144" s="182">
        <f>N117*Inputs!$H$61</f>
        <v>5322.7348594528275</v>
      </c>
      <c r="O144" s="14">
        <f>O117*Inputs!$H$61</f>
        <v>5394.5342133224767</v>
      </c>
      <c r="P144" s="14">
        <f>P117*Inputs!$H$61</f>
        <v>5486.2502840922798</v>
      </c>
      <c r="Q144" s="14">
        <f>Q117*Inputs!$H$61</f>
        <v>5678.3311783195322</v>
      </c>
      <c r="R144" s="14">
        <f>R117*Inputs!$H$61</f>
        <v>5777.1921623484659</v>
      </c>
      <c r="S144" s="14">
        <f>S117*Inputs!$H$61</f>
        <v>5850.9375745806956</v>
      </c>
      <c r="T144" s="14">
        <f>T117*Inputs!$H$61</f>
        <v>5920.3144849267474</v>
      </c>
      <c r="U144" s="14">
        <f>U117*Inputs!$H$61</f>
        <v>5980.2445163765342</v>
      </c>
      <c r="V144" s="14">
        <f>V117*Inputs!$H$61</f>
        <v>6048.7971481989271</v>
      </c>
      <c r="W144" s="14">
        <f>W117*Inputs!$H$61</f>
        <v>6102.9246507013859</v>
      </c>
      <c r="X144" s="187">
        <f>X117*Inputs!$H$61</f>
        <v>6152.150812943687</v>
      </c>
      <c r="Y144" s="158">
        <f>Y117*Inputs!$H$61</f>
        <v>6168.8700633498511</v>
      </c>
      <c r="Z144" s="158">
        <f>Z117*Inputs!$H$61</f>
        <v>6204.9916539067972</v>
      </c>
      <c r="AA144" s="158">
        <f>AA117*Inputs!$H$61</f>
        <v>6225.1124821084704</v>
      </c>
      <c r="AB144" s="158">
        <f>AB117*Inputs!$H$61</f>
        <v>6259.0764886300967</v>
      </c>
      <c r="AC144" s="158">
        <f>AC117*Inputs!$H$61</f>
        <v>6321.5849567534815</v>
      </c>
      <c r="AD144" s="158">
        <f>AD117*Inputs!$H$61</f>
        <v>6374.2267218407324</v>
      </c>
      <c r="AE144" s="158">
        <f>AE117*Inputs!$H$61</f>
        <v>6468.5239667648166</v>
      </c>
      <c r="AF144" s="158">
        <f>AF117*Inputs!$H$61</f>
        <v>6573.4683627762188</v>
      </c>
      <c r="AG144" s="158">
        <f>AG117*Inputs!$H$61</f>
        <v>6644.959352107644</v>
      </c>
      <c r="AH144" s="187">
        <f>AH117*Inputs!$H$61</f>
        <v>6689.4372433966291</v>
      </c>
      <c r="AI144" s="48"/>
    </row>
    <row r="145" spans="1:35">
      <c r="A145" s="10" t="s">
        <v>58</v>
      </c>
      <c r="C145" s="331">
        <f>SUM(C140,C143,C144)</f>
        <v>9362.0888099999975</v>
      </c>
      <c r="D145" s="331">
        <f>SUM(D140,D143,D144)</f>
        <v>10463.828633283436</v>
      </c>
      <c r="E145" s="331">
        <f t="shared" ref="E145:AH145" si="94">SUM(E140,E143,E144)</f>
        <v>9731.8418383651551</v>
      </c>
      <c r="F145" s="331">
        <f t="shared" si="94"/>
        <v>10285.938464902785</v>
      </c>
      <c r="G145" s="331">
        <f t="shared" si="94"/>
        <v>9841.129236241577</v>
      </c>
      <c r="H145" s="402">
        <f t="shared" si="94"/>
        <v>9671.3742257716513</v>
      </c>
      <c r="I145" s="14">
        <f t="shared" si="94"/>
        <v>10050.778440707443</v>
      </c>
      <c r="J145" s="14">
        <f t="shared" si="94"/>
        <v>10585.910617951355</v>
      </c>
      <c r="K145" s="14">
        <f t="shared" si="94"/>
        <v>10564.59595413744</v>
      </c>
      <c r="L145" s="14">
        <f t="shared" si="94"/>
        <v>10642.720734159311</v>
      </c>
      <c r="M145" s="14">
        <f t="shared" si="94"/>
        <v>10814.306124245113</v>
      </c>
      <c r="N145" s="187">
        <f t="shared" si="94"/>
        <v>11036.765652196918</v>
      </c>
      <c r="O145" s="14">
        <f t="shared" si="94"/>
        <v>11204.740295403011</v>
      </c>
      <c r="P145" s="14">
        <f t="shared" si="94"/>
        <v>11400.764572151649</v>
      </c>
      <c r="Q145" s="14">
        <f t="shared" si="94"/>
        <v>11735.018947365057</v>
      </c>
      <c r="R145" s="14">
        <f t="shared" si="94"/>
        <v>11972.790602080757</v>
      </c>
      <c r="S145" s="14">
        <f t="shared" si="94"/>
        <v>12192.579445294177</v>
      </c>
      <c r="T145" s="14">
        <f t="shared" si="94"/>
        <v>12365.306901896831</v>
      </c>
      <c r="U145" s="14">
        <f t="shared" si="94"/>
        <v>12534.99218659655</v>
      </c>
      <c r="V145" s="14">
        <f t="shared" si="94"/>
        <v>12726.674700857278</v>
      </c>
      <c r="W145" s="14">
        <f t="shared" si="94"/>
        <v>12921.635105175767</v>
      </c>
      <c r="X145" s="187">
        <f t="shared" si="94"/>
        <v>13112.354410912638</v>
      </c>
      <c r="Y145" s="158">
        <f t="shared" si="94"/>
        <v>13209.262167643323</v>
      </c>
      <c r="Z145" s="158">
        <f t="shared" si="94"/>
        <v>13339.471716569667</v>
      </c>
      <c r="AA145" s="158">
        <f t="shared" si="94"/>
        <v>13449.796789280026</v>
      </c>
      <c r="AB145" s="158">
        <f t="shared" si="94"/>
        <v>13587.614282741433</v>
      </c>
      <c r="AC145" s="158">
        <f t="shared" si="94"/>
        <v>13774.56697535923</v>
      </c>
      <c r="AD145" s="158">
        <f t="shared" si="94"/>
        <v>13955.05650050937</v>
      </c>
      <c r="AE145" s="158">
        <f t="shared" si="94"/>
        <v>14208.512296219746</v>
      </c>
      <c r="AF145" s="158">
        <f t="shared" si="94"/>
        <v>14489.230147531085</v>
      </c>
      <c r="AG145" s="158">
        <f t="shared" si="94"/>
        <v>14730.104032287112</v>
      </c>
      <c r="AH145" s="187">
        <f t="shared" si="94"/>
        <v>14937.072629444154</v>
      </c>
      <c r="AI145" s="48"/>
    </row>
    <row r="146" spans="1:35" s="1" customFormat="1">
      <c r="A146" s="1" t="s">
        <v>335</v>
      </c>
      <c r="B146" s="13"/>
      <c r="C146" s="341">
        <f>C145-'Output - Jobs vs Yr (BAU)'!C73</f>
        <v>6.6327299999975367</v>
      </c>
      <c r="D146" s="341">
        <f>D145-'Output - Jobs vs Yr (BAU)'!D73</f>
        <v>61.789553283435453</v>
      </c>
      <c r="E146" s="341">
        <f>E145-'Output - Jobs vs Yr (BAU)'!E73</f>
        <v>10.560940864004806</v>
      </c>
      <c r="F146" s="341">
        <f>F145-'Output - Jobs vs Yr (BAU)'!F73</f>
        <v>85.057953769111919</v>
      </c>
      <c r="G146" s="341">
        <f>G145-'Output - Jobs vs Yr (BAU)'!G73</f>
        <v>31.566685740777757</v>
      </c>
      <c r="H146" s="405">
        <f>H145-'Output - Jobs vs Yr (BAU)'!H73</f>
        <v>-0.12896999999975378</v>
      </c>
      <c r="I146" s="15">
        <f>I145-'Output - Jobs vs Yr (BAU)'!I73</f>
        <v>22.111097087890812</v>
      </c>
      <c r="J146" s="15">
        <f>J145-'Output - Jobs vs Yr (BAU)'!J73</f>
        <v>51.019076134363786</v>
      </c>
      <c r="K146" s="15">
        <f>K145-'Output - Jobs vs Yr (BAU)'!K73</f>
        <v>24.523452119479771</v>
      </c>
      <c r="L146" s="15">
        <f>L145-'Output - Jobs vs Yr (BAU)'!L73</f>
        <v>27.48277415035227</v>
      </c>
      <c r="M146" s="15">
        <f>M145-'Output - Jobs vs Yr (BAU)'!M73</f>
        <v>54.082639009813647</v>
      </c>
      <c r="N146" s="182">
        <f>N145-'Output - Jobs vs Yr (BAU)'!N73</f>
        <v>86.797548500493576</v>
      </c>
      <c r="O146" s="15">
        <f>O145-'Output - Jobs vs Yr (BAU)'!O73</f>
        <v>99.115403093885107</v>
      </c>
      <c r="P146" s="15">
        <f>P145-'Output - Jobs vs Yr (BAU)'!P73</f>
        <v>125.49647215304321</v>
      </c>
      <c r="Q146" s="15">
        <f>Q145-'Output - Jobs vs Yr (BAU)'!Q73</f>
        <v>134.79545156196036</v>
      </c>
      <c r="R146" s="15">
        <f>R145-'Output - Jobs vs Yr (BAU)'!R73</f>
        <v>170.23822985366496</v>
      </c>
      <c r="S146" s="15">
        <f>S145-'Output - Jobs vs Yr (BAU)'!S73</f>
        <v>165.23726134590106</v>
      </c>
      <c r="T146" s="15">
        <f>T145-'Output - Jobs vs Yr (BAU)'!T73</f>
        <v>203.15016181457031</v>
      </c>
      <c r="U146" s="15">
        <f>U145-'Output - Jobs vs Yr (BAU)'!U73</f>
        <v>250.78393299255731</v>
      </c>
      <c r="V146" s="15">
        <f>V145-'Output - Jobs vs Yr (BAU)'!V73</f>
        <v>305.90138418943752</v>
      </c>
      <c r="W146" s="15">
        <f>W145-'Output - Jobs vs Yr (BAU)'!W73</f>
        <v>307.07040209760089</v>
      </c>
      <c r="X146" s="190">
        <f>X145-'Output - Jobs vs Yr (BAU)'!X73</f>
        <v>372.97965608775849</v>
      </c>
      <c r="Y146" s="130">
        <f>Y145-'Output - Jobs vs Yr (BAU)'!Y73</f>
        <v>409.46303521787559</v>
      </c>
      <c r="Z146" s="130">
        <f>Z145-'Output - Jobs vs Yr (BAU)'!Z73</f>
        <v>454.1321500979393</v>
      </c>
      <c r="AA146" s="130">
        <f>AA145-'Output - Jobs vs Yr (BAU)'!AA73</f>
        <v>496.22343604925118</v>
      </c>
      <c r="AB146" s="130">
        <f>AB145-'Output - Jobs vs Yr (BAU)'!AB73</f>
        <v>542.74811167659209</v>
      </c>
      <c r="AC146" s="130">
        <f>AC145-'Output - Jobs vs Yr (BAU)'!AC73</f>
        <v>599.67748149588442</v>
      </c>
      <c r="AD146" s="130">
        <f>AD145-'Output - Jobs vs Yr (BAU)'!AD73</f>
        <v>654.9978539182157</v>
      </c>
      <c r="AE146" s="130">
        <f>AE145-'Output - Jobs vs Yr (BAU)'!AE73</f>
        <v>722.7569929723395</v>
      </c>
      <c r="AF146" s="130">
        <f>AF145-'Output - Jobs vs Yr (BAU)'!AF73</f>
        <v>795.73663941415725</v>
      </c>
      <c r="AG146" s="130">
        <f>AG145-'Output - Jobs vs Yr (BAU)'!AG73</f>
        <v>865.91456545982146</v>
      </c>
      <c r="AH146" s="190">
        <f>AH145-'Output - Jobs vs Yr (BAU)'!AH73</f>
        <v>936.17007124455813</v>
      </c>
    </row>
    <row r="147" spans="1:35" s="1" customFormat="1">
      <c r="A147" s="11"/>
      <c r="B147" s="13"/>
      <c r="C147" s="328"/>
      <c r="D147" s="341"/>
      <c r="E147" s="341"/>
      <c r="F147" s="341"/>
      <c r="G147" s="341"/>
      <c r="H147" s="405"/>
      <c r="I147" s="15"/>
      <c r="J147" s="15"/>
      <c r="K147" s="15"/>
      <c r="L147" s="15"/>
      <c r="M147" s="15"/>
      <c r="N147" s="187" t="s">
        <v>0</v>
      </c>
      <c r="O147" s="15"/>
      <c r="P147" s="15"/>
      <c r="Q147" s="15"/>
      <c r="R147" s="15"/>
      <c r="S147" s="15"/>
      <c r="T147" s="15"/>
      <c r="U147" s="15"/>
      <c r="V147" s="15"/>
      <c r="W147" s="15"/>
      <c r="X147" s="190"/>
      <c r="Y147"/>
      <c r="Z147"/>
      <c r="AA147"/>
      <c r="AB147"/>
      <c r="AC147"/>
      <c r="AD147"/>
      <c r="AE147"/>
      <c r="AF147"/>
      <c r="AG147"/>
      <c r="AH147" s="280"/>
    </row>
    <row r="148" spans="1:35" hidden="1">
      <c r="A148" s="1" t="s">
        <v>199</v>
      </c>
    </row>
    <row r="149" spans="1:35" hidden="1">
      <c r="A149" s="20" t="s">
        <v>197</v>
      </c>
      <c r="C149" s="333">
        <f>'backup - EIA liq_fuelS_aeo2014'!E44</f>
        <v>7088.7783050537164</v>
      </c>
      <c r="D149" s="333">
        <f>'backup - EIA liq_fuelS_aeo2014'!F44</f>
        <v>7149.5953941345133</v>
      </c>
      <c r="E149" s="333">
        <f>'backup - EIA liq_fuelS_aeo2014'!G44</f>
        <v>6912.5827950000003</v>
      </c>
      <c r="F149" s="333">
        <f>'backup - EIA liq_fuelS_aeo2014'!H44</f>
        <v>6786.185485</v>
      </c>
      <c r="G149" s="333">
        <f>'backup - EIA liq_fuelS_aeo2014'!I44</f>
        <v>6929.6414350000005</v>
      </c>
      <c r="H149" s="406">
        <f>'backup - EIA liq_fuelS_aeo2014'!J44</f>
        <v>6867.5629650000001</v>
      </c>
      <c r="I149" s="16">
        <f>'backup - EIA liq_fuelS_aeo2014'!K44</f>
        <v>6992.4677899999997</v>
      </c>
      <c r="J149" s="16">
        <f>'backup - EIA liq_fuelS_aeo2014'!L44</f>
        <v>7066.0167499999998</v>
      </c>
      <c r="K149" s="16">
        <f>'backup - EIA liq_fuelS_aeo2014'!M44</f>
        <v>7109.2984500000002</v>
      </c>
      <c r="L149" s="16">
        <f>'backup - EIA liq_fuelS_aeo2014'!N44</f>
        <v>7127.5772850000003</v>
      </c>
      <c r="M149" s="16">
        <f>'backup - EIA liq_fuelS_aeo2014'!O44</f>
        <v>7130.4432650000008</v>
      </c>
      <c r="N149" s="188">
        <f>'backup - EIA liq_fuelS_aeo2014'!P44</f>
        <v>7124.9339550000004</v>
      </c>
      <c r="O149" s="16">
        <f>'backup - EIA liq_fuelS_aeo2014'!Q44</f>
        <v>7109.1374850000002</v>
      </c>
      <c r="P149" s="16">
        <f>'backup - EIA liq_fuelS_aeo2014'!R44</f>
        <v>7094.8002850000003</v>
      </c>
      <c r="Q149" s="16">
        <f>'backup - EIA liq_fuelS_aeo2014'!S44</f>
        <v>7076.8999550000008</v>
      </c>
      <c r="R149" s="16">
        <f>'backup - EIA liq_fuelS_aeo2014'!T44</f>
        <v>7055.4562050000004</v>
      </c>
      <c r="S149" s="16">
        <f>'backup - EIA liq_fuelS_aeo2014'!U44</f>
        <v>7030.7460700000001</v>
      </c>
      <c r="T149" s="16">
        <f>'backup - EIA liq_fuelS_aeo2014'!V44</f>
        <v>7000.2776949999998</v>
      </c>
      <c r="U149" s="16">
        <f>'backup - EIA liq_fuelS_aeo2014'!W44</f>
        <v>6978.5350100000005</v>
      </c>
      <c r="V149" s="16">
        <f>'backup - EIA liq_fuelS_aeo2014'!X44</f>
        <v>6956.8587550000002</v>
      </c>
      <c r="W149" s="16">
        <f>'backup - EIA liq_fuelS_aeo2014'!Y44</f>
        <v>6927.9325050000007</v>
      </c>
      <c r="X149" s="370">
        <f>'backup - EIA liq_fuelS_aeo2014'!Z44</f>
        <v>6908.05278</v>
      </c>
    </row>
    <row r="150" spans="1:35" hidden="1">
      <c r="A150" s="20" t="s">
        <v>198</v>
      </c>
      <c r="C150" s="333">
        <f>'backup - EIA liq_fuelS_aeo2014'!E44</f>
        <v>7088.7783050537164</v>
      </c>
      <c r="D150" s="333">
        <f>'backup - EIA liq_fuelS_aeo2014'!F44</f>
        <v>7149.5953941345133</v>
      </c>
      <c r="E150" s="333">
        <f>'backup - EIA liq_fuelS_aeo2014'!G44</f>
        <v>6912.5827950000003</v>
      </c>
      <c r="F150" s="333">
        <f>'backup - EIA liq_fuelS_aeo2014'!H44</f>
        <v>6786.185485</v>
      </c>
      <c r="G150" s="333">
        <f>'backup - EIA liq_fuelS_aeo2014'!I44</f>
        <v>6929.6414350000005</v>
      </c>
      <c r="H150" s="406">
        <f>'backup - EIA liq_fuelS_aeo2014'!J44</f>
        <v>6867.5629650000001</v>
      </c>
      <c r="I150" s="16">
        <f>'backup - EIA liq_fuelS_aeo2014'!K44</f>
        <v>6992.4677899999997</v>
      </c>
      <c r="J150" s="16">
        <f>'backup - EIA liq_fuelS_aeo2014'!L44</f>
        <v>7066.0167499999998</v>
      </c>
      <c r="K150" s="16">
        <f>'backup - EIA liq_fuelS_aeo2014'!M44</f>
        <v>7109.2984500000002</v>
      </c>
      <c r="L150" s="16">
        <f>'backup - EIA liq_fuelS_aeo2014'!N44</f>
        <v>7127.5772850000003</v>
      </c>
      <c r="M150" s="16">
        <f>'backup - EIA liq_fuelS_aeo2014'!O44</f>
        <v>7130.4432650000008</v>
      </c>
      <c r="N150" s="188">
        <f>'backup - EIA liq_fuelS_aeo2014'!P44</f>
        <v>7124.9339550000004</v>
      </c>
      <c r="O150" s="16">
        <f>'backup - EIA liq_fuelS_aeo2014'!Q44</f>
        <v>7109.1374850000002</v>
      </c>
      <c r="P150" s="16">
        <f>'backup - EIA liq_fuelS_aeo2014'!R44</f>
        <v>7094.8002850000003</v>
      </c>
      <c r="Q150" s="16">
        <f>'backup - EIA liq_fuelS_aeo2014'!S44</f>
        <v>7076.8999550000008</v>
      </c>
      <c r="R150" s="16">
        <f>'backup - EIA liq_fuelS_aeo2014'!T44</f>
        <v>7055.4562050000004</v>
      </c>
      <c r="S150" s="16">
        <f>'backup - EIA liq_fuelS_aeo2014'!U44</f>
        <v>7030.7460700000001</v>
      </c>
      <c r="T150" s="16">
        <f>'backup - EIA liq_fuelS_aeo2014'!V44</f>
        <v>7000.2776949999998</v>
      </c>
      <c r="U150" s="16">
        <f>'backup - EIA liq_fuelS_aeo2014'!W44</f>
        <v>6978.5350100000005</v>
      </c>
      <c r="V150" s="16">
        <f>'backup - EIA liq_fuelS_aeo2014'!X44</f>
        <v>6956.8587550000002</v>
      </c>
      <c r="W150" s="16">
        <f>'backup - EIA liq_fuelS_aeo2014'!Y44</f>
        <v>6927.9325050000007</v>
      </c>
      <c r="X150" s="370">
        <f>'backup - EIA liq_fuelS_aeo2014'!Z44</f>
        <v>6908.05278</v>
      </c>
    </row>
    <row r="151" spans="1:35" hidden="1">
      <c r="A151" s="20" t="s">
        <v>200</v>
      </c>
      <c r="C151" s="342">
        <f>'backup - EIA liq_fuelS_aeo2014'!E46</f>
        <v>273.77869168296451</v>
      </c>
      <c r="D151" s="342">
        <f>'backup - EIA liq_fuelS_aeo2014'!F46</f>
        <v>330.59007454663532</v>
      </c>
      <c r="E151" s="342">
        <f>'backup - EIA liq_fuelS_aeo2014'!G46</f>
        <v>346.41273999999999</v>
      </c>
      <c r="F151" s="342">
        <f>'backup - EIA liq_fuelS_aeo2014'!H46</f>
        <v>332.23648773503913</v>
      </c>
      <c r="G151" s="342">
        <f>'backup - EIA liq_fuelS_aeo2014'!I46</f>
        <v>336.63400877733272</v>
      </c>
      <c r="H151" s="407">
        <f>'backup - EIA liq_fuelS_aeo2014'!J46</f>
        <v>352.19858305216189</v>
      </c>
      <c r="I151" s="52">
        <f>'backup - EIA liq_fuelS_aeo2014'!K46</f>
        <v>332.67387741278202</v>
      </c>
      <c r="J151" s="52">
        <f>'backup - EIA liq_fuelS_aeo2014'!L46</f>
        <v>334.25860074671806</v>
      </c>
      <c r="K151" s="52">
        <f>'backup - EIA liq_fuelS_aeo2014'!M46</f>
        <v>341.17813427402433</v>
      </c>
      <c r="L151" s="52">
        <f>'backup - EIA liq_fuelS_aeo2014'!N46</f>
        <v>345.58877710595249</v>
      </c>
      <c r="M151" s="52">
        <f>'backup - EIA liq_fuelS_aeo2014'!O46</f>
        <v>352.0193896929872</v>
      </c>
      <c r="N151" s="189">
        <f>'backup - EIA liq_fuelS_aeo2014'!P46</f>
        <v>362.16295876265764</v>
      </c>
      <c r="O151" s="52">
        <f>'backup - EIA liq_fuelS_aeo2014'!Q46</f>
        <v>371.28950968144909</v>
      </c>
      <c r="P151" s="52">
        <f>'backup - EIA liq_fuelS_aeo2014'!R46</f>
        <v>386.73310267300621</v>
      </c>
      <c r="Q151" s="52">
        <f>'backup - EIA liq_fuelS_aeo2014'!S46</f>
        <v>401.15959175664915</v>
      </c>
      <c r="R151" s="52">
        <f>'backup - EIA liq_fuelS_aeo2014'!T46</f>
        <v>414.56272820760728</v>
      </c>
      <c r="S151" s="52">
        <f>'backup - EIA liq_fuelS_aeo2014'!U46</f>
        <v>426.01426158540727</v>
      </c>
      <c r="T151" s="52">
        <f>'backup - EIA liq_fuelS_aeo2014'!V46</f>
        <v>436.3142303161336</v>
      </c>
      <c r="U151" s="52">
        <f>'backup - EIA liq_fuelS_aeo2014'!W46</f>
        <v>444.95490300330164</v>
      </c>
      <c r="V151" s="52">
        <f>'backup - EIA liq_fuelS_aeo2014'!X46</f>
        <v>451.53307562319765</v>
      </c>
      <c r="W151" s="52">
        <f>'backup - EIA liq_fuelS_aeo2014'!Y46</f>
        <v>456.17321024350161</v>
      </c>
      <c r="X151" s="371">
        <f>'backup - EIA liq_fuelS_aeo2014'!Z46</f>
        <v>459.60339229062083</v>
      </c>
    </row>
    <row r="152" spans="1:35" hidden="1">
      <c r="A152" s="20" t="s">
        <v>203</v>
      </c>
      <c r="C152" s="332">
        <f>C151/C149</f>
        <v>3.8621421054708789E-2</v>
      </c>
      <c r="D152" s="332">
        <f t="shared" ref="D152:X152" si="95">D151/D149</f>
        <v>4.62389906452398E-2</v>
      </c>
      <c r="E152" s="332">
        <f t="shared" si="95"/>
        <v>5.0113358533740347E-2</v>
      </c>
      <c r="F152" s="332">
        <f t="shared" si="95"/>
        <v>4.8957766991398283E-2</v>
      </c>
      <c r="G152" s="332">
        <f t="shared" si="95"/>
        <v>4.8578849560248959E-2</v>
      </c>
      <c r="H152" s="284">
        <f t="shared" si="95"/>
        <v>5.1284361693822764E-2</v>
      </c>
      <c r="I152" s="91">
        <f t="shared" si="95"/>
        <v>4.7576032869045513E-2</v>
      </c>
      <c r="J152" s="91">
        <f t="shared" si="95"/>
        <v>4.7305096007127082E-2</v>
      </c>
      <c r="K152" s="91">
        <f t="shared" si="95"/>
        <v>4.7990408149769591E-2</v>
      </c>
      <c r="L152" s="91">
        <f t="shared" si="95"/>
        <v>4.8486149400757073E-2</v>
      </c>
      <c r="M152" s="91">
        <f t="shared" si="95"/>
        <v>4.9368514215783074E-2</v>
      </c>
      <c r="N152" s="180">
        <f t="shared" si="95"/>
        <v>5.0830360119830421E-2</v>
      </c>
      <c r="O152" s="91">
        <f t="shared" si="95"/>
        <v>5.2227082464624618E-2</v>
      </c>
      <c r="P152" s="91">
        <f t="shared" si="95"/>
        <v>5.4509371249060634E-2</v>
      </c>
      <c r="Q152" s="91">
        <f t="shared" si="95"/>
        <v>5.6685779692733994E-2</v>
      </c>
      <c r="R152" s="91">
        <f t="shared" si="95"/>
        <v>5.8757749486676496E-2</v>
      </c>
      <c r="S152" s="91">
        <f t="shared" si="95"/>
        <v>6.059303768673973E-2</v>
      </c>
      <c r="T152" s="91">
        <f t="shared" si="95"/>
        <v>6.2328131729370434E-2</v>
      </c>
      <c r="U152" s="91">
        <f t="shared" si="95"/>
        <v>6.3760503080617439E-2</v>
      </c>
      <c r="V152" s="91">
        <f t="shared" si="95"/>
        <v>6.4904735244002754E-2</v>
      </c>
      <c r="W152" s="91">
        <f t="shared" si="95"/>
        <v>6.5845504400378327E-2</v>
      </c>
      <c r="X152" s="185">
        <f t="shared" si="95"/>
        <v>6.6531540352623195E-2</v>
      </c>
    </row>
    <row r="153" spans="1:35" hidden="1">
      <c r="A153" t="s">
        <v>201</v>
      </c>
      <c r="C153" s="342">
        <f>'backup - EIA liq_fuelS_aeo2014'!E46</f>
        <v>273.77869168296451</v>
      </c>
      <c r="D153" s="342">
        <f>'backup - EIA liq_fuelS_aeo2014'!F46</f>
        <v>330.59007454663532</v>
      </c>
      <c r="E153" s="342">
        <f>'backup - EIA liq_fuelS_aeo2014'!G46</f>
        <v>346.41273999999999</v>
      </c>
      <c r="F153" s="342">
        <f>'backup - EIA liq_fuelS_aeo2014'!H46</f>
        <v>332.23648773503913</v>
      </c>
      <c r="G153" s="342">
        <f>'backup - EIA liq_fuelS_aeo2014'!I46</f>
        <v>336.63400877733272</v>
      </c>
      <c r="H153" s="407">
        <f>'backup - EIA liq_fuelS_aeo2014'!J46</f>
        <v>352.19858305216189</v>
      </c>
      <c r="I153" s="52">
        <f>'backup - EIA liq_fuelS_aeo2014'!K46</f>
        <v>332.67387741278202</v>
      </c>
      <c r="J153" s="52">
        <f>'backup - EIA liq_fuelS_aeo2014'!L46</f>
        <v>334.25860074671806</v>
      </c>
      <c r="K153" s="52">
        <f>'backup - EIA liq_fuelS_aeo2014'!M46</f>
        <v>341.17813427402433</v>
      </c>
      <c r="L153" s="52">
        <f>'backup - EIA liq_fuelS_aeo2014'!N46</f>
        <v>345.58877710595249</v>
      </c>
      <c r="M153" s="52">
        <f>'backup - EIA liq_fuelS_aeo2014'!O46</f>
        <v>352.0193896929872</v>
      </c>
      <c r="N153" s="189">
        <f>'backup - EIA liq_fuelS_aeo2014'!P46</f>
        <v>362.16295876265764</v>
      </c>
      <c r="O153" s="52">
        <f>'backup - EIA liq_fuelS_aeo2014'!Q46</f>
        <v>371.28950968144909</v>
      </c>
      <c r="P153" s="52">
        <f>'backup - EIA liq_fuelS_aeo2014'!R46</f>
        <v>386.73310267300621</v>
      </c>
      <c r="Q153" s="52">
        <f>'backup - EIA liq_fuelS_aeo2014'!S46</f>
        <v>401.15959175664915</v>
      </c>
      <c r="R153" s="52">
        <f>'backup - EIA liq_fuelS_aeo2014'!T46</f>
        <v>414.56272820760728</v>
      </c>
      <c r="S153" s="52">
        <f>'backup - EIA liq_fuelS_aeo2014'!U46</f>
        <v>426.01426158540727</v>
      </c>
      <c r="T153" s="52">
        <f>'backup - EIA liq_fuelS_aeo2014'!V46</f>
        <v>436.3142303161336</v>
      </c>
      <c r="U153" s="52">
        <f>'backup - EIA liq_fuelS_aeo2014'!W46</f>
        <v>444.95490300330164</v>
      </c>
      <c r="V153" s="52">
        <f>'backup - EIA liq_fuelS_aeo2014'!X46</f>
        <v>451.53307562319765</v>
      </c>
      <c r="W153" s="52">
        <f>'backup - EIA liq_fuelS_aeo2014'!Y46</f>
        <v>456.17321024350161</v>
      </c>
      <c r="X153" s="371">
        <f>'backup - EIA liq_fuelS_aeo2014'!Z46</f>
        <v>459.60339229062083</v>
      </c>
    </row>
    <row r="154" spans="1:35" hidden="1">
      <c r="A154" t="s">
        <v>204</v>
      </c>
      <c r="C154" s="332">
        <f>C153/C149</f>
        <v>3.8621421054708789E-2</v>
      </c>
      <c r="D154" s="332">
        <f t="shared" ref="D154:X154" si="96">D153/D149</f>
        <v>4.62389906452398E-2</v>
      </c>
      <c r="E154" s="332">
        <f t="shared" si="96"/>
        <v>5.0113358533740347E-2</v>
      </c>
      <c r="F154" s="332">
        <f t="shared" si="96"/>
        <v>4.8957766991398283E-2</v>
      </c>
      <c r="G154" s="332">
        <f t="shared" si="96"/>
        <v>4.8578849560248959E-2</v>
      </c>
      <c r="H154" s="284">
        <f t="shared" si="96"/>
        <v>5.1284361693822764E-2</v>
      </c>
      <c r="I154" s="91">
        <f t="shared" si="96"/>
        <v>4.7576032869045513E-2</v>
      </c>
      <c r="J154" s="91">
        <f t="shared" si="96"/>
        <v>4.7305096007127082E-2</v>
      </c>
      <c r="K154" s="91">
        <f t="shared" si="96"/>
        <v>4.7990408149769591E-2</v>
      </c>
      <c r="L154" s="91">
        <f t="shared" si="96"/>
        <v>4.8486149400757073E-2</v>
      </c>
      <c r="M154" s="91">
        <f t="shared" si="96"/>
        <v>4.9368514215783074E-2</v>
      </c>
      <c r="N154" s="180">
        <f t="shared" si="96"/>
        <v>5.0830360119830421E-2</v>
      </c>
      <c r="O154" s="91">
        <f t="shared" si="96"/>
        <v>5.2227082464624618E-2</v>
      </c>
      <c r="P154" s="91">
        <f t="shared" si="96"/>
        <v>5.4509371249060634E-2</v>
      </c>
      <c r="Q154" s="91">
        <f t="shared" si="96"/>
        <v>5.6685779692733994E-2</v>
      </c>
      <c r="R154" s="91">
        <f t="shared" si="96"/>
        <v>5.8757749486676496E-2</v>
      </c>
      <c r="S154" s="91">
        <f t="shared" si="96"/>
        <v>6.059303768673973E-2</v>
      </c>
      <c r="T154" s="91">
        <f t="shared" si="96"/>
        <v>6.2328131729370434E-2</v>
      </c>
      <c r="U154" s="91">
        <f t="shared" si="96"/>
        <v>6.3760503080617439E-2</v>
      </c>
      <c r="V154" s="91">
        <f t="shared" si="96"/>
        <v>6.4904735244002754E-2</v>
      </c>
      <c r="W154" s="91">
        <f t="shared" si="96"/>
        <v>6.5845504400378327E-2</v>
      </c>
      <c r="X154" s="185">
        <f t="shared" si="96"/>
        <v>6.6531540352623195E-2</v>
      </c>
    </row>
    <row r="155" spans="1:35" hidden="1">
      <c r="A155" s="1" t="s">
        <v>202</v>
      </c>
      <c r="C155" s="342">
        <f>MAX(C151,C153)</f>
        <v>273.77869168296451</v>
      </c>
      <c r="D155" s="342">
        <f t="shared" ref="D155:X155" si="97">MAX(D151,D153)</f>
        <v>330.59007454663532</v>
      </c>
      <c r="E155" s="342">
        <f t="shared" si="97"/>
        <v>346.41273999999999</v>
      </c>
      <c r="F155" s="342">
        <f t="shared" si="97"/>
        <v>332.23648773503913</v>
      </c>
      <c r="G155" s="342">
        <f t="shared" si="97"/>
        <v>336.63400877733272</v>
      </c>
      <c r="H155" s="407">
        <f t="shared" si="97"/>
        <v>352.19858305216189</v>
      </c>
      <c r="I155" s="52">
        <f t="shared" si="97"/>
        <v>332.67387741278202</v>
      </c>
      <c r="J155" s="52">
        <f t="shared" si="97"/>
        <v>334.25860074671806</v>
      </c>
      <c r="K155" s="52">
        <f t="shared" si="97"/>
        <v>341.17813427402433</v>
      </c>
      <c r="L155" s="52">
        <f t="shared" si="97"/>
        <v>345.58877710595249</v>
      </c>
      <c r="M155" s="52">
        <f t="shared" si="97"/>
        <v>352.0193896929872</v>
      </c>
      <c r="N155" s="189">
        <f t="shared" si="97"/>
        <v>362.16295876265764</v>
      </c>
      <c r="O155" s="52">
        <f t="shared" si="97"/>
        <v>371.28950968144909</v>
      </c>
      <c r="P155" s="52">
        <f t="shared" si="97"/>
        <v>386.73310267300621</v>
      </c>
      <c r="Q155" s="52">
        <f t="shared" si="97"/>
        <v>401.15959175664915</v>
      </c>
      <c r="R155" s="52">
        <f t="shared" si="97"/>
        <v>414.56272820760728</v>
      </c>
      <c r="S155" s="52">
        <f t="shared" si="97"/>
        <v>426.01426158540727</v>
      </c>
      <c r="T155" s="52">
        <f t="shared" si="97"/>
        <v>436.3142303161336</v>
      </c>
      <c r="U155" s="52">
        <f t="shared" si="97"/>
        <v>444.95490300330164</v>
      </c>
      <c r="V155" s="52">
        <f t="shared" si="97"/>
        <v>451.53307562319765</v>
      </c>
      <c r="W155" s="52">
        <f t="shared" si="97"/>
        <v>456.17321024350161</v>
      </c>
      <c r="X155" s="371">
        <f t="shared" si="97"/>
        <v>459.60339229062083</v>
      </c>
    </row>
    <row r="156" spans="1:35" hidden="1">
      <c r="A156" t="s">
        <v>205</v>
      </c>
      <c r="I156" s="101"/>
      <c r="J156" s="101"/>
      <c r="K156" s="101"/>
      <c r="L156" s="101"/>
      <c r="M156" s="101"/>
      <c r="O156" s="101"/>
      <c r="P156" s="101"/>
      <c r="Q156" s="101"/>
      <c r="R156" s="101"/>
      <c r="S156" s="101"/>
      <c r="T156" s="101"/>
      <c r="U156" s="101"/>
      <c r="V156" s="101"/>
      <c r="W156" s="101"/>
    </row>
    <row r="157" spans="1:35" hidden="1">
      <c r="A157" t="s">
        <v>207</v>
      </c>
      <c r="C157" s="333">
        <f>C149-C150</f>
        <v>0</v>
      </c>
      <c r="D157" s="333">
        <f t="shared" ref="D157:X157" si="98">D149-D150</f>
        <v>0</v>
      </c>
      <c r="E157" s="333">
        <f t="shared" si="98"/>
        <v>0</v>
      </c>
      <c r="F157" s="333">
        <f t="shared" si="98"/>
        <v>0</v>
      </c>
      <c r="G157" s="333">
        <f t="shared" si="98"/>
        <v>0</v>
      </c>
      <c r="H157" s="406">
        <f t="shared" si="98"/>
        <v>0</v>
      </c>
      <c r="I157" s="16">
        <f t="shared" si="98"/>
        <v>0</v>
      </c>
      <c r="J157" s="16">
        <f t="shared" si="98"/>
        <v>0</v>
      </c>
      <c r="K157" s="16">
        <f t="shared" si="98"/>
        <v>0</v>
      </c>
      <c r="L157" s="16">
        <f t="shared" si="98"/>
        <v>0</v>
      </c>
      <c r="M157" s="16">
        <f t="shared" si="98"/>
        <v>0</v>
      </c>
      <c r="N157" s="188">
        <f t="shared" si="98"/>
        <v>0</v>
      </c>
      <c r="O157" s="16">
        <f t="shared" si="98"/>
        <v>0</v>
      </c>
      <c r="P157" s="16">
        <f t="shared" si="98"/>
        <v>0</v>
      </c>
      <c r="Q157" s="16">
        <f t="shared" si="98"/>
        <v>0</v>
      </c>
      <c r="R157" s="16">
        <f t="shared" si="98"/>
        <v>0</v>
      </c>
      <c r="S157" s="16">
        <f t="shared" si="98"/>
        <v>0</v>
      </c>
      <c r="T157" s="16">
        <f t="shared" si="98"/>
        <v>0</v>
      </c>
      <c r="U157" s="16">
        <f t="shared" si="98"/>
        <v>0</v>
      </c>
      <c r="V157" s="16">
        <f t="shared" si="98"/>
        <v>0</v>
      </c>
      <c r="W157" s="16">
        <f t="shared" si="98"/>
        <v>0</v>
      </c>
      <c r="X157" s="370">
        <f t="shared" si="98"/>
        <v>0</v>
      </c>
    </row>
    <row r="158" spans="1:35" hidden="1"/>
    <row r="159" spans="1:35" hidden="1">
      <c r="A159" s="1" t="s">
        <v>252</v>
      </c>
    </row>
    <row r="160" spans="1:35" hidden="1">
      <c r="A160" t="s">
        <v>285</v>
      </c>
      <c r="C160" s="330">
        <v>0</v>
      </c>
      <c r="D160" s="330">
        <v>0</v>
      </c>
      <c r="E160" s="330">
        <v>0</v>
      </c>
      <c r="F160" s="330">
        <v>0</v>
      </c>
      <c r="G160" s="330">
        <v>0</v>
      </c>
      <c r="H160" s="286">
        <v>0</v>
      </c>
      <c r="I160" s="83">
        <v>0</v>
      </c>
      <c r="J160" s="83">
        <v>0</v>
      </c>
      <c r="K160" s="83">
        <v>0</v>
      </c>
      <c r="L160" s="83">
        <v>0</v>
      </c>
      <c r="M160" s="83">
        <v>0</v>
      </c>
      <c r="N160" s="177">
        <v>0</v>
      </c>
      <c r="O160" s="83">
        <v>0</v>
      </c>
      <c r="P160" s="83">
        <v>0</v>
      </c>
      <c r="Q160" s="83">
        <v>0</v>
      </c>
      <c r="R160" s="83">
        <v>0</v>
      </c>
      <c r="S160" s="83">
        <v>0</v>
      </c>
      <c r="T160" s="83">
        <v>0</v>
      </c>
      <c r="U160" s="83">
        <v>0</v>
      </c>
      <c r="V160" s="83">
        <v>0</v>
      </c>
      <c r="W160" s="83">
        <v>0</v>
      </c>
      <c r="X160" s="184">
        <v>0</v>
      </c>
    </row>
    <row r="161" spans="1:35" hidden="1">
      <c r="A161" t="s">
        <v>286</v>
      </c>
      <c r="C161" s="330">
        <v>0</v>
      </c>
      <c r="D161" s="330">
        <v>0</v>
      </c>
      <c r="E161" s="330">
        <v>0</v>
      </c>
      <c r="F161" s="330">
        <v>0</v>
      </c>
      <c r="G161" s="330">
        <v>0</v>
      </c>
      <c r="H161" s="286">
        <v>0</v>
      </c>
      <c r="I161" s="83">
        <v>0</v>
      </c>
      <c r="J161" s="83">
        <v>0</v>
      </c>
      <c r="K161" s="83">
        <v>0</v>
      </c>
      <c r="L161" s="83">
        <v>0</v>
      </c>
      <c r="M161" s="83">
        <v>0</v>
      </c>
      <c r="N161" s="177">
        <v>0</v>
      </c>
      <c r="O161" s="83">
        <v>0</v>
      </c>
      <c r="P161" s="83">
        <v>0</v>
      </c>
      <c r="Q161" s="83">
        <v>0</v>
      </c>
      <c r="R161" s="83">
        <v>0</v>
      </c>
      <c r="S161" s="83">
        <v>0</v>
      </c>
      <c r="T161" s="83">
        <v>0</v>
      </c>
      <c r="U161" s="83">
        <v>0</v>
      </c>
      <c r="V161" s="83">
        <v>0</v>
      </c>
      <c r="W161" s="83">
        <v>0</v>
      </c>
      <c r="X161" s="184">
        <v>0</v>
      </c>
    </row>
    <row r="162" spans="1:35" hidden="1">
      <c r="A162" t="s">
        <v>287</v>
      </c>
      <c r="C162" s="330">
        <v>0</v>
      </c>
      <c r="D162" s="330">
        <v>0</v>
      </c>
      <c r="E162" s="330">
        <v>0</v>
      </c>
      <c r="F162" s="330">
        <v>0</v>
      </c>
      <c r="G162" s="330">
        <v>0</v>
      </c>
      <c r="H162" s="286">
        <v>0</v>
      </c>
      <c r="I162" s="83">
        <v>0</v>
      </c>
      <c r="J162" s="83">
        <v>0</v>
      </c>
      <c r="K162" s="83">
        <v>0</v>
      </c>
      <c r="L162" s="83">
        <v>0</v>
      </c>
      <c r="M162" s="83">
        <v>0</v>
      </c>
      <c r="N162" s="177">
        <v>0</v>
      </c>
      <c r="O162" s="83">
        <v>0</v>
      </c>
      <c r="P162" s="83">
        <v>0</v>
      </c>
      <c r="Q162" s="83">
        <v>0</v>
      </c>
      <c r="R162" s="83">
        <v>0</v>
      </c>
      <c r="S162" s="83">
        <v>0</v>
      </c>
      <c r="T162" s="83">
        <v>0</v>
      </c>
      <c r="U162" s="83">
        <v>0</v>
      </c>
      <c r="V162" s="83">
        <v>0</v>
      </c>
      <c r="W162" s="83">
        <v>0</v>
      </c>
      <c r="X162" s="184">
        <v>0</v>
      </c>
    </row>
    <row r="163" spans="1:35" hidden="1">
      <c r="A163" t="s">
        <v>288</v>
      </c>
      <c r="C163" s="330">
        <v>0</v>
      </c>
      <c r="D163" s="330">
        <v>0</v>
      </c>
      <c r="E163" s="330">
        <v>0</v>
      </c>
      <c r="F163" s="330">
        <v>0</v>
      </c>
      <c r="G163" s="330">
        <v>0</v>
      </c>
      <c r="H163" s="286">
        <v>0</v>
      </c>
      <c r="I163" s="83">
        <v>0</v>
      </c>
      <c r="J163" s="83">
        <v>0</v>
      </c>
      <c r="K163" s="83">
        <v>0</v>
      </c>
      <c r="L163" s="83">
        <v>0</v>
      </c>
      <c r="M163" s="83">
        <v>0</v>
      </c>
      <c r="N163" s="177">
        <v>0</v>
      </c>
      <c r="O163" s="83">
        <v>0</v>
      </c>
      <c r="P163" s="83">
        <v>0</v>
      </c>
      <c r="Q163" s="83">
        <v>0</v>
      </c>
      <c r="R163" s="83">
        <v>0</v>
      </c>
      <c r="S163" s="83">
        <v>0</v>
      </c>
      <c r="T163" s="83">
        <v>0</v>
      </c>
      <c r="U163" s="83">
        <v>0</v>
      </c>
      <c r="V163" s="83">
        <v>0</v>
      </c>
      <c r="W163" s="83">
        <v>0</v>
      </c>
      <c r="X163" s="184">
        <v>0</v>
      </c>
      <c r="AI163" s="79" t="s">
        <v>0</v>
      </c>
    </row>
    <row r="164" spans="1:35" hidden="1">
      <c r="A164" t="s">
        <v>289</v>
      </c>
      <c r="C164" s="330" t="e">
        <f>C157*#REF!</f>
        <v>#REF!</v>
      </c>
      <c r="D164" s="330" t="e">
        <f>D157*#REF!</f>
        <v>#REF!</v>
      </c>
      <c r="E164" s="330" t="e">
        <f>E157*#REF!</f>
        <v>#REF!</v>
      </c>
      <c r="F164" s="330" t="e">
        <f>F157*#REF!</f>
        <v>#REF!</v>
      </c>
      <c r="G164" s="330" t="e">
        <f>G157*#REF!</f>
        <v>#REF!</v>
      </c>
      <c r="H164" s="286" t="e">
        <f>H157*#REF!</f>
        <v>#REF!</v>
      </c>
      <c r="I164" s="83" t="e">
        <f>I157*#REF!</f>
        <v>#REF!</v>
      </c>
      <c r="J164" s="83" t="e">
        <f>J157*#REF!</f>
        <v>#REF!</v>
      </c>
      <c r="K164" s="83" t="e">
        <f>K157*#REF!</f>
        <v>#REF!</v>
      </c>
      <c r="L164" s="83" t="e">
        <f>L157*#REF!</f>
        <v>#REF!</v>
      </c>
      <c r="M164" s="83" t="e">
        <f>M157*#REF!</f>
        <v>#REF!</v>
      </c>
      <c r="N164" s="177" t="e">
        <f>N157*#REF!</f>
        <v>#REF!</v>
      </c>
      <c r="O164" s="83" t="e">
        <f>O157*#REF!</f>
        <v>#REF!</v>
      </c>
      <c r="P164" s="83" t="e">
        <f>P157*#REF!</f>
        <v>#REF!</v>
      </c>
      <c r="Q164" s="83" t="e">
        <f>Q157*#REF!</f>
        <v>#REF!</v>
      </c>
      <c r="R164" s="83" t="e">
        <f>R157*#REF!</f>
        <v>#REF!</v>
      </c>
      <c r="S164" s="83" t="e">
        <f>S157*#REF!</f>
        <v>#REF!</v>
      </c>
      <c r="T164" s="83" t="e">
        <f>T157*#REF!</f>
        <v>#REF!</v>
      </c>
      <c r="U164" s="83" t="e">
        <f>U157*#REF!</f>
        <v>#REF!</v>
      </c>
      <c r="V164" s="83" t="e">
        <f>V157*#REF!</f>
        <v>#REF!</v>
      </c>
      <c r="W164" s="83" t="e">
        <f>W157*#REF!</f>
        <v>#REF!</v>
      </c>
      <c r="X164" s="184" t="e">
        <f>X157*#REF!</f>
        <v>#REF!</v>
      </c>
    </row>
    <row r="165" spans="1:35" hidden="1">
      <c r="A165" t="s">
        <v>290</v>
      </c>
      <c r="C165" s="330">
        <v>0</v>
      </c>
      <c r="D165" s="330">
        <v>0</v>
      </c>
      <c r="E165" s="330">
        <v>0</v>
      </c>
      <c r="F165" s="330">
        <v>0</v>
      </c>
      <c r="G165" s="330">
        <v>0</v>
      </c>
      <c r="H165" s="286">
        <v>0</v>
      </c>
      <c r="I165" s="83">
        <v>0</v>
      </c>
      <c r="J165" s="83">
        <v>0</v>
      </c>
      <c r="K165" s="83">
        <v>0</v>
      </c>
      <c r="L165" s="83">
        <v>0</v>
      </c>
      <c r="M165" s="83">
        <v>0</v>
      </c>
      <c r="N165" s="177">
        <v>0</v>
      </c>
      <c r="O165" s="83">
        <v>0</v>
      </c>
      <c r="P165" s="83">
        <v>0</v>
      </c>
      <c r="Q165" s="83">
        <v>0</v>
      </c>
      <c r="R165" s="83">
        <v>0</v>
      </c>
      <c r="S165" s="83">
        <v>0</v>
      </c>
      <c r="T165" s="83">
        <v>0</v>
      </c>
      <c r="U165" s="83">
        <v>0</v>
      </c>
      <c r="V165" s="83">
        <v>0</v>
      </c>
      <c r="W165" s="83">
        <v>0</v>
      </c>
      <c r="X165" s="184">
        <v>0</v>
      </c>
    </row>
    <row r="166" spans="1:35" hidden="1">
      <c r="A166" t="s">
        <v>254</v>
      </c>
      <c r="C166" s="330" t="e">
        <f>C162-C160+C164+C165</f>
        <v>#REF!</v>
      </c>
      <c r="D166" s="330">
        <v>0</v>
      </c>
      <c r="E166" s="330">
        <v>0</v>
      </c>
      <c r="F166" s="330">
        <v>0</v>
      </c>
      <c r="G166" s="330">
        <v>0</v>
      </c>
      <c r="H166" s="286">
        <v>0</v>
      </c>
      <c r="I166" s="83">
        <v>0</v>
      </c>
      <c r="J166" s="83">
        <v>0</v>
      </c>
      <c r="K166" s="83">
        <v>0</v>
      </c>
      <c r="L166" s="83">
        <v>0</v>
      </c>
      <c r="M166" s="83">
        <v>0</v>
      </c>
      <c r="N166" s="177">
        <v>0</v>
      </c>
      <c r="O166" s="83">
        <v>0</v>
      </c>
      <c r="P166" s="83">
        <v>0</v>
      </c>
      <c r="Q166" s="83">
        <v>0</v>
      </c>
      <c r="R166" s="83">
        <v>0</v>
      </c>
      <c r="S166" s="83">
        <v>0</v>
      </c>
      <c r="T166" s="83">
        <v>0</v>
      </c>
      <c r="U166" s="83">
        <v>0</v>
      </c>
      <c r="V166" s="83">
        <v>0</v>
      </c>
      <c r="W166" s="83">
        <v>0</v>
      </c>
      <c r="X166" s="184">
        <v>0</v>
      </c>
    </row>
    <row r="167" spans="1:35" hidden="1">
      <c r="I167" s="100"/>
      <c r="J167" s="100"/>
      <c r="K167" s="100"/>
      <c r="L167" s="100"/>
      <c r="M167" s="100"/>
      <c r="O167" s="100"/>
      <c r="P167" s="100"/>
      <c r="Q167" s="100"/>
      <c r="R167" s="100"/>
      <c r="S167" s="100"/>
      <c r="T167" s="100"/>
      <c r="U167" s="100"/>
      <c r="V167" s="100"/>
      <c r="W167" s="100"/>
    </row>
    <row r="168" spans="1:35" hidden="1">
      <c r="A168" s="1" t="s">
        <v>253</v>
      </c>
      <c r="I168" s="100"/>
      <c r="J168" s="100"/>
      <c r="K168" s="100"/>
      <c r="L168" s="100"/>
      <c r="M168" s="100"/>
      <c r="O168" s="100"/>
      <c r="P168" s="100"/>
      <c r="Q168" s="100"/>
      <c r="R168" s="100"/>
      <c r="S168" s="100"/>
      <c r="T168" s="100"/>
      <c r="U168" s="100"/>
      <c r="V168" s="100"/>
      <c r="W168" s="100"/>
    </row>
    <row r="169" spans="1:35" hidden="1">
      <c r="A169" s="55" t="s">
        <v>294</v>
      </c>
      <c r="C169" s="330">
        <v>0</v>
      </c>
      <c r="D169" s="330">
        <v>0</v>
      </c>
      <c r="E169" s="330">
        <v>0</v>
      </c>
      <c r="F169" s="330">
        <v>0</v>
      </c>
      <c r="G169" s="330">
        <v>0</v>
      </c>
      <c r="H169" s="286">
        <v>0</v>
      </c>
      <c r="I169" s="83">
        <v>0</v>
      </c>
      <c r="J169" s="83">
        <v>0</v>
      </c>
      <c r="K169" s="83">
        <v>0</v>
      </c>
      <c r="L169" s="83">
        <v>0</v>
      </c>
      <c r="M169" s="83">
        <v>0</v>
      </c>
      <c r="N169" s="177">
        <v>0</v>
      </c>
      <c r="O169" s="83">
        <v>0</v>
      </c>
      <c r="P169" s="83">
        <v>0</v>
      </c>
      <c r="Q169" s="83">
        <v>0</v>
      </c>
      <c r="R169" s="83">
        <v>0</v>
      </c>
      <c r="S169" s="83">
        <v>0</v>
      </c>
      <c r="T169" s="83">
        <v>0</v>
      </c>
      <c r="U169" s="83">
        <v>0</v>
      </c>
      <c r="V169" s="83">
        <v>0</v>
      </c>
      <c r="W169" s="83">
        <v>0</v>
      </c>
      <c r="X169" s="184">
        <v>0</v>
      </c>
    </row>
    <row r="170" spans="1:35" hidden="1">
      <c r="A170" s="55" t="s">
        <v>295</v>
      </c>
      <c r="C170" s="330">
        <v>0</v>
      </c>
      <c r="D170" s="330">
        <v>0</v>
      </c>
      <c r="E170" s="330">
        <v>0</v>
      </c>
      <c r="F170" s="330">
        <v>0</v>
      </c>
      <c r="G170" s="330">
        <v>0</v>
      </c>
      <c r="H170" s="286">
        <v>0</v>
      </c>
      <c r="I170" s="83">
        <v>0</v>
      </c>
      <c r="J170" s="83">
        <v>0</v>
      </c>
      <c r="K170" s="83">
        <v>0</v>
      </c>
      <c r="L170" s="83">
        <v>0</v>
      </c>
      <c r="M170" s="83">
        <v>0</v>
      </c>
      <c r="N170" s="177">
        <v>0</v>
      </c>
      <c r="O170" s="83">
        <v>0</v>
      </c>
      <c r="P170" s="83">
        <v>0</v>
      </c>
      <c r="Q170" s="83">
        <v>0</v>
      </c>
      <c r="R170" s="83">
        <v>0</v>
      </c>
      <c r="S170" s="83">
        <v>0</v>
      </c>
      <c r="T170" s="83">
        <v>0</v>
      </c>
      <c r="U170" s="83">
        <v>0</v>
      </c>
      <c r="V170" s="83">
        <v>0</v>
      </c>
      <c r="W170" s="83">
        <v>0</v>
      </c>
      <c r="X170" s="184">
        <v>0</v>
      </c>
    </row>
    <row r="171" spans="1:35" hidden="1">
      <c r="A171" s="55" t="s">
        <v>296</v>
      </c>
      <c r="C171" s="330">
        <v>0</v>
      </c>
      <c r="D171" s="330">
        <v>0</v>
      </c>
      <c r="E171" s="330">
        <v>0</v>
      </c>
      <c r="F171" s="330">
        <v>0</v>
      </c>
      <c r="G171" s="330">
        <v>0</v>
      </c>
      <c r="H171" s="286">
        <v>0</v>
      </c>
      <c r="I171" s="83">
        <v>0</v>
      </c>
      <c r="J171" s="83">
        <v>0</v>
      </c>
      <c r="K171" s="83">
        <v>0</v>
      </c>
      <c r="L171" s="83">
        <v>0</v>
      </c>
      <c r="M171" s="83">
        <v>0</v>
      </c>
      <c r="N171" s="177">
        <v>0</v>
      </c>
      <c r="O171" s="83">
        <v>0</v>
      </c>
      <c r="P171" s="83">
        <v>0</v>
      </c>
      <c r="Q171" s="83">
        <v>0</v>
      </c>
      <c r="R171" s="83">
        <v>0</v>
      </c>
      <c r="S171" s="83">
        <v>0</v>
      </c>
      <c r="T171" s="83">
        <v>0</v>
      </c>
      <c r="U171" s="83">
        <v>0</v>
      </c>
      <c r="V171" s="83">
        <v>0</v>
      </c>
      <c r="W171" s="83">
        <v>0</v>
      </c>
      <c r="X171" s="184">
        <v>0</v>
      </c>
    </row>
    <row r="172" spans="1:35" hidden="1">
      <c r="A172" s="55" t="s">
        <v>297</v>
      </c>
      <c r="C172" s="330">
        <v>0</v>
      </c>
      <c r="D172" s="330">
        <v>0</v>
      </c>
      <c r="E172" s="330">
        <v>0</v>
      </c>
      <c r="F172" s="330">
        <v>0</v>
      </c>
      <c r="G172" s="330">
        <v>0</v>
      </c>
      <c r="H172" s="286">
        <v>0</v>
      </c>
      <c r="I172" s="83">
        <v>0</v>
      </c>
      <c r="J172" s="83">
        <v>0</v>
      </c>
      <c r="K172" s="83">
        <v>0</v>
      </c>
      <c r="L172" s="83">
        <v>0</v>
      </c>
      <c r="M172" s="83">
        <v>0</v>
      </c>
      <c r="N172" s="177">
        <v>0</v>
      </c>
      <c r="O172" s="83">
        <v>0</v>
      </c>
      <c r="P172" s="83">
        <v>0</v>
      </c>
      <c r="Q172" s="83">
        <v>0</v>
      </c>
      <c r="R172" s="83">
        <v>0</v>
      </c>
      <c r="S172" s="83">
        <v>0</v>
      </c>
      <c r="T172" s="83">
        <v>0</v>
      </c>
      <c r="U172" s="83">
        <v>0</v>
      </c>
      <c r="V172" s="83">
        <v>0</v>
      </c>
      <c r="W172" s="83">
        <v>0</v>
      </c>
      <c r="X172" s="184">
        <v>0</v>
      </c>
    </row>
    <row r="173" spans="1:35" hidden="1">
      <c r="A173" s="55" t="s">
        <v>255</v>
      </c>
      <c r="C173" s="330" t="e">
        <f>'backup - Mass Transit'!BC34</f>
        <v>#REF!</v>
      </c>
      <c r="D173" s="330" t="e">
        <f>'backup - Mass Transit'!BD34</f>
        <v>#REF!</v>
      </c>
      <c r="E173" s="330" t="e">
        <f>'backup - Mass Transit'!BE34</f>
        <v>#REF!</v>
      </c>
      <c r="F173" s="330" t="e">
        <f>'backup - Mass Transit'!BF34</f>
        <v>#REF!</v>
      </c>
      <c r="G173" s="330" t="e">
        <f>'backup - Mass Transit'!BG34</f>
        <v>#REF!</v>
      </c>
      <c r="H173" s="286" t="e">
        <f>'backup - Mass Transit'!BH34</f>
        <v>#REF!</v>
      </c>
      <c r="I173" s="83" t="e">
        <f>'backup - Mass Transit'!BI34</f>
        <v>#REF!</v>
      </c>
      <c r="J173" s="83" t="e">
        <f>'backup - Mass Transit'!BJ34</f>
        <v>#REF!</v>
      </c>
      <c r="K173" s="83" t="e">
        <f>'backup - Mass Transit'!BK34</f>
        <v>#REF!</v>
      </c>
      <c r="L173" s="83" t="e">
        <f>'backup - Mass Transit'!BL34</f>
        <v>#REF!</v>
      </c>
      <c r="M173" s="83" t="e">
        <f>'backup - Mass Transit'!BM34</f>
        <v>#REF!</v>
      </c>
      <c r="N173" s="177" t="e">
        <f>'backup - Mass Transit'!BN34</f>
        <v>#REF!</v>
      </c>
      <c r="O173" s="83" t="e">
        <f>'backup - Mass Transit'!BO34</f>
        <v>#REF!</v>
      </c>
      <c r="P173" s="83" t="e">
        <f>'backup - Mass Transit'!BP34</f>
        <v>#REF!</v>
      </c>
      <c r="Q173" s="83" t="e">
        <f>'backup - Mass Transit'!BQ34</f>
        <v>#REF!</v>
      </c>
      <c r="R173" s="83" t="e">
        <f>'backup - Mass Transit'!BR34</f>
        <v>#REF!</v>
      </c>
      <c r="S173" s="83" t="e">
        <f>'backup - Mass Transit'!BS34</f>
        <v>#REF!</v>
      </c>
      <c r="T173" s="83" t="e">
        <f>'backup - Mass Transit'!BT34</f>
        <v>#REF!</v>
      </c>
      <c r="U173" s="83" t="e">
        <f>'backup - Mass Transit'!BU34</f>
        <v>#REF!</v>
      </c>
      <c r="V173" s="83" t="e">
        <f>'backup - Mass Transit'!BV34</f>
        <v>#REF!</v>
      </c>
      <c r="W173" s="83" t="e">
        <f>'backup - Mass Transit'!BW34</f>
        <v>#REF!</v>
      </c>
      <c r="X173" s="184" t="e">
        <f>'backup - Mass Transit'!BX34</f>
        <v>#REF!</v>
      </c>
    </row>
    <row r="175" spans="1:35">
      <c r="A175" s="75" t="s">
        <v>256</v>
      </c>
      <c r="C175" s="328">
        <v>2009</v>
      </c>
      <c r="D175" s="328">
        <v>2010</v>
      </c>
      <c r="E175" s="328">
        <v>2011</v>
      </c>
      <c r="F175" s="328">
        <v>2012</v>
      </c>
      <c r="G175" s="328">
        <v>2013</v>
      </c>
      <c r="H175" s="400">
        <v>2014</v>
      </c>
      <c r="I175" s="13">
        <v>2015</v>
      </c>
      <c r="J175" s="13">
        <v>2016</v>
      </c>
      <c r="K175" s="13">
        <v>2017</v>
      </c>
      <c r="L175" s="13">
        <v>2018</v>
      </c>
      <c r="M175" s="13">
        <v>2019</v>
      </c>
      <c r="N175" s="176">
        <v>2020</v>
      </c>
      <c r="O175" s="13">
        <v>2021</v>
      </c>
      <c r="P175" s="13">
        <v>2022</v>
      </c>
      <c r="Q175" s="13">
        <v>2023</v>
      </c>
      <c r="R175" s="13">
        <v>2024</v>
      </c>
      <c r="S175" s="13">
        <v>2025</v>
      </c>
      <c r="T175" s="13">
        <v>2026</v>
      </c>
      <c r="U175" s="13">
        <v>2027</v>
      </c>
      <c r="V175" s="13">
        <v>2028</v>
      </c>
      <c r="W175" s="13">
        <v>2029</v>
      </c>
      <c r="X175" s="176">
        <v>2030</v>
      </c>
      <c r="Y175" s="13">
        <v>2031</v>
      </c>
      <c r="Z175" s="13">
        <v>2032</v>
      </c>
      <c r="AA175" s="13">
        <v>2033</v>
      </c>
      <c r="AB175" s="13">
        <v>2034</v>
      </c>
      <c r="AC175" s="13">
        <v>2035</v>
      </c>
      <c r="AD175" s="13">
        <v>2036</v>
      </c>
      <c r="AE175" s="13">
        <v>2037</v>
      </c>
      <c r="AF175" s="13">
        <v>2038</v>
      </c>
      <c r="AG175" s="13">
        <v>2039</v>
      </c>
      <c r="AH175" s="176">
        <v>2040</v>
      </c>
      <c r="AI175" s="1" t="s">
        <v>0</v>
      </c>
    </row>
    <row r="176" spans="1:35">
      <c r="A176" s="75" t="s">
        <v>299</v>
      </c>
      <c r="C176" s="334">
        <f>'Output - Jobs vs Yr (BAU)'!C55+'Output - Jobs vs Yr (BAU)'!C73</f>
        <v>19750.407279999999</v>
      </c>
      <c r="D176" s="334">
        <f>'Output - Jobs vs Yr (BAU)'!D55+'Output - Jobs vs Yr (BAU)'!D73</f>
        <v>21959.860280000001</v>
      </c>
      <c r="E176" s="334">
        <f>'Output - Jobs vs Yr (BAU)'!E55+'Output - Jobs vs Yr (BAU)'!E73</f>
        <v>20522.704116946872</v>
      </c>
      <c r="F176" s="334">
        <f>'Output - Jobs vs Yr (BAU)'!F55+'Output - Jobs vs Yr (BAU)'!F73</f>
        <v>21535.192190171088</v>
      </c>
      <c r="G176" s="334">
        <f>'Output - Jobs vs Yr (BAU)'!G55+'Output - Jobs vs Yr (BAU)'!G73</f>
        <v>20709.076495501686</v>
      </c>
      <c r="H176" s="404">
        <f>'Output - Jobs vs Yr (BAU)'!H55+'Output - Jobs vs Yr (BAU)'!H73</f>
        <v>20417.617857740152</v>
      </c>
      <c r="I176" s="19">
        <f>'Output - Jobs vs Yr (BAU)'!I55+'Output - Jobs vs Yr (BAU)'!I73</f>
        <v>21171.631058752388</v>
      </c>
      <c r="J176" s="19">
        <f>'Output - Jobs vs Yr (BAU)'!J55+'Output - Jobs vs Yr (BAU)'!J73</f>
        <v>22240.326588280313</v>
      </c>
      <c r="K176" s="19">
        <f>'Output - Jobs vs Yr (BAU)'!K55+'Output - Jobs vs Yr (BAU)'!K73</f>
        <v>22251.264170926803</v>
      </c>
      <c r="L176" s="19">
        <f>'Output - Jobs vs Yr (BAU)'!L55+'Output - Jobs vs Yr (BAU)'!L73</f>
        <v>22409.946804463361</v>
      </c>
      <c r="M176" s="19">
        <f>'Output - Jobs vs Yr (BAU)'!M55+'Output - Jobs vs Yr (BAU)'!M73</f>
        <v>22716.027357718966</v>
      </c>
      <c r="N176" s="182">
        <f>'Output - Jobs vs Yr (BAU)'!N55+'Output - Jobs vs Yr (BAU)'!N73</f>
        <v>23116.599330025787</v>
      </c>
      <c r="O176" s="19">
        <f>'Output - Jobs vs Yr (BAU)'!O55+'Output - Jobs vs Yr (BAU)'!O73</f>
        <v>23445.208105985934</v>
      </c>
      <c r="P176" s="19">
        <f>'Output - Jobs vs Yr (BAU)'!P55+'Output - Jobs vs Yr (BAU)'!P73</f>
        <v>23803.343766663726</v>
      </c>
      <c r="Q176" s="19">
        <f>'Output - Jobs vs Yr (BAU)'!Q55+'Output - Jobs vs Yr (BAU)'!Q73</f>
        <v>24489.36071336209</v>
      </c>
      <c r="R176" s="19">
        <f>'Output - Jobs vs Yr (BAU)'!R55+'Output - Jobs vs Yr (BAU)'!R73</f>
        <v>24916.499452479417</v>
      </c>
      <c r="S176" s="19">
        <f>'Output - Jobs vs Yr (BAU)'!S55+'Output - Jobs vs Yr (BAU)'!S73</f>
        <v>25391.055721668585</v>
      </c>
      <c r="T176" s="19">
        <f>'Output - Jobs vs Yr (BAU)'!T55+'Output - Jobs vs Yr (BAU)'!T73</f>
        <v>25675.66422906255</v>
      </c>
      <c r="U176" s="19">
        <f>'Output - Jobs vs Yr (BAU)'!U55+'Output - Jobs vs Yr (BAU)'!U73</f>
        <v>25933.328535386208</v>
      </c>
      <c r="V176" s="19">
        <f>'Output - Jobs vs Yr (BAU)'!V55+'Output - Jobs vs Yr (BAU)'!V73</f>
        <v>26221.632557409888</v>
      </c>
      <c r="W176" s="19">
        <f>'Output - Jobs vs Yr (BAU)'!W55+'Output - Jobs vs Yr (BAU)'!W73</f>
        <v>26630.747706498347</v>
      </c>
      <c r="X176" s="182">
        <f>'Output - Jobs vs Yr (BAU)'!X55+'Output - Jobs vs Yr (BAU)'!X73</f>
        <v>26894.235593519188</v>
      </c>
      <c r="Y176" s="206">
        <f>'Output - Jobs vs Yr (BAU)'!Y55+'Output - Jobs vs Yr (BAU)'!Y73</f>
        <v>27021.798168453723</v>
      </c>
      <c r="Z176" s="206">
        <f>'Output - Jobs vs Yr (BAU)'!Z55+'Output - Jobs vs Yr (BAU)'!Z73</f>
        <v>27202.383529218096</v>
      </c>
      <c r="AA176" s="206">
        <f>'Output - Jobs vs Yr (BAU)'!AA55+'Output - Jobs vs Yr (BAU)'!AA73</f>
        <v>27346.432634598299</v>
      </c>
      <c r="AB176" s="206">
        <f>'Output - Jobs vs Yr (BAU)'!AB55+'Output - Jobs vs Yr (BAU)'!AB73</f>
        <v>27539.161916692443</v>
      </c>
      <c r="AC176" s="206">
        <f>'Output - Jobs vs Yr (BAU)'!AC55+'Output - Jobs vs Yr (BAU)'!AC73</f>
        <v>27813.655598155954</v>
      </c>
      <c r="AD176" s="206">
        <f>'Output - Jobs vs Yr (BAU)'!AD55+'Output - Jobs vs Yr (BAU)'!AD73</f>
        <v>28077.901587247994</v>
      </c>
      <c r="AE176" s="206">
        <f>'Output - Jobs vs Yr (BAU)'!AE55+'Output - Jobs vs Yr (BAU)'!AE73</f>
        <v>28469.92786241119</v>
      </c>
      <c r="AF176" s="206">
        <f>'Output - Jobs vs Yr (BAU)'!AF55+'Output - Jobs vs Yr (BAU)'!AF73</f>
        <v>28908.486294913517</v>
      </c>
      <c r="AG176" s="206">
        <f>'Output - Jobs vs Yr (BAU)'!AG55+'Output - Jobs vs Yr (BAU)'!AG73</f>
        <v>29268.844429968722</v>
      </c>
      <c r="AH176" s="182">
        <f>'Output - Jobs vs Yr (BAU)'!AH55+'Output - Jobs vs Yr (BAU)'!AH73</f>
        <v>29557.460956199146</v>
      </c>
      <c r="AI176" s="1"/>
    </row>
    <row r="177" spans="1:35">
      <c r="A177" s="76" t="s">
        <v>300</v>
      </c>
      <c r="C177" s="334">
        <f>'Output - Jobs vs Yr (BAU)'!C55</f>
        <v>10394.9512</v>
      </c>
      <c r="D177" s="334">
        <f>'Output - Jobs vs Yr (BAU)'!D55</f>
        <v>11557.8212</v>
      </c>
      <c r="E177" s="334">
        <f>'Output - Jobs vs Yr (BAU)'!E55</f>
        <v>10801.423219445722</v>
      </c>
      <c r="F177" s="334">
        <f>'Output - Jobs vs Yr (BAU)'!F55</f>
        <v>11334.311679037415</v>
      </c>
      <c r="G177" s="334">
        <f>'Output - Jobs vs Yr (BAU)'!G55</f>
        <v>10899.513945000886</v>
      </c>
      <c r="H177" s="404">
        <f>'Output - Jobs vs Yr (BAU)'!H55</f>
        <v>10746.114661968502</v>
      </c>
      <c r="I177" s="19">
        <f>'Output - Jobs vs Yr (BAU)'!I55</f>
        <v>11142.963715132835</v>
      </c>
      <c r="J177" s="19">
        <f>'Output - Jobs vs Yr (BAU)'!J55</f>
        <v>11705.435046463323</v>
      </c>
      <c r="K177" s="19">
        <f>'Output - Jobs vs Yr (BAU)'!K55</f>
        <v>11711.191668908843</v>
      </c>
      <c r="L177" s="19">
        <f>'Output - Jobs vs Yr (BAU)'!L55</f>
        <v>11794.708844454401</v>
      </c>
      <c r="M177" s="19">
        <f>'Output - Jobs vs Yr (BAU)'!M55</f>
        <v>11955.803872483666</v>
      </c>
      <c r="N177" s="182">
        <f>'Output - Jobs vs Yr (BAU)'!N55</f>
        <v>12166.631226329362</v>
      </c>
      <c r="O177" s="19">
        <f>'Output - Jobs vs Yr (BAU)'!O55</f>
        <v>12339.583213676808</v>
      </c>
      <c r="P177" s="19">
        <f>'Output - Jobs vs Yr (BAU)'!P55</f>
        <v>12528.075666665118</v>
      </c>
      <c r="Q177" s="19">
        <f>'Output - Jobs vs Yr (BAU)'!Q55</f>
        <v>12889.137217558995</v>
      </c>
      <c r="R177" s="19">
        <f>'Output - Jobs vs Yr (BAU)'!R55</f>
        <v>13113.947080252325</v>
      </c>
      <c r="S177" s="19">
        <f>'Output - Jobs vs Yr (BAU)'!S55</f>
        <v>13363.713537720309</v>
      </c>
      <c r="T177" s="19">
        <f>'Output - Jobs vs Yr (BAU)'!T55</f>
        <v>13513.507488980289</v>
      </c>
      <c r="U177" s="19">
        <f>'Output - Jobs vs Yr (BAU)'!U55</f>
        <v>13649.120281782216</v>
      </c>
      <c r="V177" s="19">
        <f>'Output - Jobs vs Yr (BAU)'!V55</f>
        <v>13800.859240742046</v>
      </c>
      <c r="W177" s="19">
        <f>'Output - Jobs vs Yr (BAU)'!W55</f>
        <v>14016.183003420181</v>
      </c>
      <c r="X177" s="182">
        <f>'Output - Jobs vs Yr (BAU)'!X55</f>
        <v>14154.860838694309</v>
      </c>
      <c r="Y177" s="206">
        <f>'Output - Jobs vs Yr (BAU)'!Y55</f>
        <v>14221.999036028274</v>
      </c>
      <c r="Z177" s="206">
        <f>'Output - Jobs vs Yr (BAU)'!Z55</f>
        <v>14317.043962746366</v>
      </c>
      <c r="AA177" s="206">
        <f>'Output - Jobs vs Yr (BAU)'!AA55</f>
        <v>14392.859281367526</v>
      </c>
      <c r="AB177" s="206">
        <f>'Output - Jobs vs Yr (BAU)'!AB55</f>
        <v>14494.295745627602</v>
      </c>
      <c r="AC177" s="206">
        <f>'Output - Jobs vs Yr (BAU)'!AC55</f>
        <v>14638.766104292608</v>
      </c>
      <c r="AD177" s="206">
        <f>'Output - Jobs vs Yr (BAU)'!AD55</f>
        <v>14777.842940656838</v>
      </c>
      <c r="AE177" s="206">
        <f>'Output - Jobs vs Yr (BAU)'!AE55</f>
        <v>14984.172559163786</v>
      </c>
      <c r="AF177" s="206">
        <f>'Output - Jobs vs Yr (BAU)'!AF55</f>
        <v>15214.992786796589</v>
      </c>
      <c r="AG177" s="206">
        <f>'Output - Jobs vs Yr (BAU)'!AG55</f>
        <v>15404.654963141431</v>
      </c>
      <c r="AH177" s="182">
        <f>'Output - Jobs vs Yr (BAU)'!AH55</f>
        <v>15556.55839799955</v>
      </c>
      <c r="AI177" s="1"/>
    </row>
    <row r="178" spans="1:35">
      <c r="A178" s="76" t="s">
        <v>301</v>
      </c>
      <c r="C178" s="334">
        <f>'Output - Jobs vs Yr (BAU)'!C73</f>
        <v>9355.4560799999999</v>
      </c>
      <c r="D178" s="334">
        <f>'Output - Jobs vs Yr (BAU)'!D73</f>
        <v>10402.03908</v>
      </c>
      <c r="E178" s="334">
        <f>'Output - Jobs vs Yr (BAU)'!E73</f>
        <v>9721.2808975011503</v>
      </c>
      <c r="F178" s="334">
        <f>'Output - Jobs vs Yr (BAU)'!F73</f>
        <v>10200.880511133673</v>
      </c>
      <c r="G178" s="334">
        <f>'Output - Jobs vs Yr (BAU)'!G73</f>
        <v>9809.5625505007993</v>
      </c>
      <c r="H178" s="404">
        <f>'Output - Jobs vs Yr (BAU)'!H73</f>
        <v>9671.503195771651</v>
      </c>
      <c r="I178" s="19">
        <f>'Output - Jobs vs Yr (BAU)'!I73</f>
        <v>10028.667343619552</v>
      </c>
      <c r="J178" s="19">
        <f>'Output - Jobs vs Yr (BAU)'!J73</f>
        <v>10534.891541816991</v>
      </c>
      <c r="K178" s="19">
        <f>'Output - Jobs vs Yr (BAU)'!K73</f>
        <v>10540.07250201796</v>
      </c>
      <c r="L178" s="19">
        <f>'Output - Jobs vs Yr (BAU)'!L73</f>
        <v>10615.237960008959</v>
      </c>
      <c r="M178" s="19">
        <f>'Output - Jobs vs Yr (BAU)'!M73</f>
        <v>10760.223485235299</v>
      </c>
      <c r="N178" s="182">
        <f>'Output - Jobs vs Yr (BAU)'!N73</f>
        <v>10949.968103696425</v>
      </c>
      <c r="O178" s="19">
        <f>'Output - Jobs vs Yr (BAU)'!O73</f>
        <v>11105.624892309126</v>
      </c>
      <c r="P178" s="19">
        <f>'Output - Jobs vs Yr (BAU)'!P73</f>
        <v>11275.268099998606</v>
      </c>
      <c r="Q178" s="19">
        <f>'Output - Jobs vs Yr (BAU)'!Q73</f>
        <v>11600.223495803097</v>
      </c>
      <c r="R178" s="19">
        <f>'Output - Jobs vs Yr (BAU)'!R73</f>
        <v>11802.552372227092</v>
      </c>
      <c r="S178" s="19">
        <f>'Output - Jobs vs Yr (BAU)'!S73</f>
        <v>12027.342183948276</v>
      </c>
      <c r="T178" s="19">
        <f>'Output - Jobs vs Yr (BAU)'!T73</f>
        <v>12162.156740082261</v>
      </c>
      <c r="U178" s="19">
        <f>'Output - Jobs vs Yr (BAU)'!U73</f>
        <v>12284.208253603992</v>
      </c>
      <c r="V178" s="19">
        <f>'Output - Jobs vs Yr (BAU)'!V73</f>
        <v>12420.773316667841</v>
      </c>
      <c r="W178" s="19">
        <f>'Output - Jobs vs Yr (BAU)'!W73</f>
        <v>12614.564703078166</v>
      </c>
      <c r="X178" s="182">
        <f>'Output - Jobs vs Yr (BAU)'!X73</f>
        <v>12739.374754824879</v>
      </c>
      <c r="Y178" s="206">
        <f>'Output - Jobs vs Yr (BAU)'!Y73</f>
        <v>12799.799132425447</v>
      </c>
      <c r="Z178" s="206">
        <f>'Output - Jobs vs Yr (BAU)'!Z73</f>
        <v>12885.339566471728</v>
      </c>
      <c r="AA178" s="206">
        <f>'Output - Jobs vs Yr (BAU)'!AA73</f>
        <v>12953.573353230775</v>
      </c>
      <c r="AB178" s="206">
        <f>'Output - Jobs vs Yr (BAU)'!AB73</f>
        <v>13044.866171064841</v>
      </c>
      <c r="AC178" s="206">
        <f>'Output - Jobs vs Yr (BAU)'!AC73</f>
        <v>13174.889493863346</v>
      </c>
      <c r="AD178" s="206">
        <f>'Output - Jobs vs Yr (BAU)'!AD73</f>
        <v>13300.058646591155</v>
      </c>
      <c r="AE178" s="206">
        <f>'Output - Jobs vs Yr (BAU)'!AE73</f>
        <v>13485.755303247406</v>
      </c>
      <c r="AF178" s="206">
        <f>'Output - Jobs vs Yr (BAU)'!AF73</f>
        <v>13693.493508116928</v>
      </c>
      <c r="AG178" s="206">
        <f>'Output - Jobs vs Yr (BAU)'!AG73</f>
        <v>13864.189466827291</v>
      </c>
      <c r="AH178" s="182">
        <f>'Output - Jobs vs Yr (BAU)'!AH73</f>
        <v>14000.902558199596</v>
      </c>
      <c r="AI178" s="80" t="s">
        <v>0</v>
      </c>
    </row>
    <row r="179" spans="1:35">
      <c r="A179" s="75" t="s">
        <v>298</v>
      </c>
      <c r="C179" s="331">
        <f>SUM(C118,C145)</f>
        <v>19764.410009999992</v>
      </c>
      <c r="D179" s="331">
        <f t="shared" ref="D179:AH179" si="99">SUM(D118,D145)+D249+D252</f>
        <v>22090.305236923887</v>
      </c>
      <c r="E179" s="331">
        <f t="shared" si="99"/>
        <v>20544.999759041373</v>
      </c>
      <c r="F179" s="331">
        <f t="shared" si="99"/>
        <v>21714.759324337214</v>
      </c>
      <c r="G179" s="331">
        <f t="shared" si="99"/>
        <v>20775.717606146158</v>
      </c>
      <c r="H179" s="402">
        <f>SUM(H118,H145)+H249+H252</f>
        <v>20417.34588774015</v>
      </c>
      <c r="I179" s="14">
        <f t="shared" si="99"/>
        <v>21218.31035770008</v>
      </c>
      <c r="J179" s="14">
        <f t="shared" si="99"/>
        <v>22348.033864459681</v>
      </c>
      <c r="K179" s="14">
        <f t="shared" si="99"/>
        <v>22303.036243692695</v>
      </c>
      <c r="L179" s="14">
        <f t="shared" si="99"/>
        <v>22467.966342366075</v>
      </c>
      <c r="M179" s="14">
        <f t="shared" si="99"/>
        <v>22830.202176561055</v>
      </c>
      <c r="N179" s="187">
        <f t="shared" si="99"/>
        <v>23299.838970329885</v>
      </c>
      <c r="O179" s="14">
        <f t="shared" si="99"/>
        <v>23654.452137777964</v>
      </c>
      <c r="P179" s="14">
        <f t="shared" si="99"/>
        <v>24068.281201862981</v>
      </c>
      <c r="Q179" s="14">
        <f t="shared" si="99"/>
        <v>24773.929371228885</v>
      </c>
      <c r="R179" s="14">
        <f t="shared" si="99"/>
        <v>25275.891796964806</v>
      </c>
      <c r="S179" s="14">
        <f t="shared" si="99"/>
        <v>25739.890512262937</v>
      </c>
      <c r="T179" s="14">
        <f t="shared" si="99"/>
        <v>26104.537412647856</v>
      </c>
      <c r="U179" s="14">
        <f t="shared" si="99"/>
        <v>26462.761953625479</v>
      </c>
      <c r="V179" s="14">
        <f t="shared" si="99"/>
        <v>26867.425095469021</v>
      </c>
      <c r="W179" s="14">
        <f t="shared" si="99"/>
        <v>27279.008231900272</v>
      </c>
      <c r="X179" s="187">
        <f t="shared" si="99"/>
        <v>27681.63794230048</v>
      </c>
      <c r="Y179" s="158">
        <f t="shared" si="99"/>
        <v>27886.221023533657</v>
      </c>
      <c r="Z179" s="158">
        <f t="shared" si="99"/>
        <v>28161.107892256361</v>
      </c>
      <c r="AA179" s="158">
        <f t="shared" si="99"/>
        <v>28394.01642272457</v>
      </c>
      <c r="AB179" s="158">
        <f t="shared" si="99"/>
        <v>28684.964512012994</v>
      </c>
      <c r="AC179" s="158">
        <f t="shared" si="99"/>
        <v>29079.642472075531</v>
      </c>
      <c r="AD179" s="158">
        <f t="shared" si="99"/>
        <v>29460.675969367461</v>
      </c>
      <c r="AE179" s="158">
        <f t="shared" si="99"/>
        <v>29995.749379775334</v>
      </c>
      <c r="AF179" s="158">
        <f t="shared" si="99"/>
        <v>30588.376024052435</v>
      </c>
      <c r="AG179" s="158">
        <f t="shared" si="99"/>
        <v>31096.887627507411</v>
      </c>
      <c r="AH179" s="187">
        <f t="shared" si="99"/>
        <v>31533.82140154612</v>
      </c>
    </row>
    <row r="180" spans="1:35">
      <c r="A180" s="76" t="s">
        <v>302</v>
      </c>
      <c r="C180" s="331">
        <f>C118</f>
        <v>10402.321199999997</v>
      </c>
      <c r="D180" s="331">
        <f t="shared" ref="D180:AH180" si="100">D118+D250+D253</f>
        <v>11626.476603640451</v>
      </c>
      <c r="E180" s="331">
        <f t="shared" si="100"/>
        <v>10813.157920676218</v>
      </c>
      <c r="F180" s="331">
        <f t="shared" si="100"/>
        <v>11428.820859434429</v>
      </c>
      <c r="G180" s="331">
        <f t="shared" si="100"/>
        <v>10934.588369904581</v>
      </c>
      <c r="H180" s="402">
        <f t="shared" si="100"/>
        <v>10745.9716619685</v>
      </c>
      <c r="I180" s="14">
        <f t="shared" si="100"/>
        <v>11167.531916992637</v>
      </c>
      <c r="J180" s="14">
        <f t="shared" si="100"/>
        <v>11762.123246508327</v>
      </c>
      <c r="K180" s="14">
        <f t="shared" si="100"/>
        <v>11738.440289555254</v>
      </c>
      <c r="L180" s="14">
        <f t="shared" si="100"/>
        <v>11825.245608206764</v>
      </c>
      <c r="M180" s="14">
        <f t="shared" si="100"/>
        <v>12015.896052315944</v>
      </c>
      <c r="N180" s="187">
        <f t="shared" si="100"/>
        <v>12263.073318132967</v>
      </c>
      <c r="O180" s="14">
        <f t="shared" si="100"/>
        <v>12449.711842374953</v>
      </c>
      <c r="P180" s="14">
        <f t="shared" si="100"/>
        <v>12667.516629711332</v>
      </c>
      <c r="Q180" s="14">
        <f t="shared" si="100"/>
        <v>13038.910423863828</v>
      </c>
      <c r="R180" s="14">
        <f t="shared" si="100"/>
        <v>13303.10119488405</v>
      </c>
      <c r="S180" s="14">
        <f t="shared" si="100"/>
        <v>13547.311066968759</v>
      </c>
      <c r="T180" s="14">
        <f t="shared" si="100"/>
        <v>13739.230510751026</v>
      </c>
      <c r="U180" s="14">
        <f t="shared" si="100"/>
        <v>13927.769767028929</v>
      </c>
      <c r="V180" s="14">
        <f t="shared" si="100"/>
        <v>14140.750394611743</v>
      </c>
      <c r="W180" s="14">
        <f t="shared" si="100"/>
        <v>14357.373126724506</v>
      </c>
      <c r="X180" s="187">
        <f t="shared" si="100"/>
        <v>14569.283531387842</v>
      </c>
      <c r="Y180" s="158">
        <f t="shared" si="100"/>
        <v>14676.958855890334</v>
      </c>
      <c r="Z180" s="158">
        <f t="shared" si="100"/>
        <v>14821.636175686694</v>
      </c>
      <c r="AA180" s="158">
        <f t="shared" si="100"/>
        <v>14944.219633444543</v>
      </c>
      <c r="AB180" s="158">
        <f t="shared" si="100"/>
        <v>15097.35022927156</v>
      </c>
      <c r="AC180" s="158">
        <f t="shared" si="100"/>
        <v>15305.075496716301</v>
      </c>
      <c r="AD180" s="158">
        <f t="shared" si="100"/>
        <v>15505.619468858091</v>
      </c>
      <c r="AE180" s="158">
        <f t="shared" si="100"/>
        <v>15787.237083555588</v>
      </c>
      <c r="AF180" s="158">
        <f t="shared" si="100"/>
        <v>16099.145876521348</v>
      </c>
      <c r="AG180" s="158">
        <f t="shared" si="100"/>
        <v>16366.783595220299</v>
      </c>
      <c r="AH180" s="187">
        <f t="shared" si="100"/>
        <v>16596.748772101964</v>
      </c>
    </row>
    <row r="181" spans="1:35">
      <c r="A181" s="76" t="s">
        <v>303</v>
      </c>
      <c r="C181" s="331">
        <f>C145</f>
        <v>9362.0888099999975</v>
      </c>
      <c r="D181" s="331">
        <f t="shared" ref="D181:AH181" si="101">D145+D251+D254</f>
        <v>10463.828633283436</v>
      </c>
      <c r="E181" s="331">
        <f t="shared" si="101"/>
        <v>9731.8418383651551</v>
      </c>
      <c r="F181" s="331">
        <f t="shared" si="101"/>
        <v>10285.938464902785</v>
      </c>
      <c r="G181" s="331">
        <f t="shared" si="101"/>
        <v>9841.129236241577</v>
      </c>
      <c r="H181" s="402">
        <f>H145+H251+H254</f>
        <v>9671.3742257716513</v>
      </c>
      <c r="I181" s="14">
        <f t="shared" si="101"/>
        <v>10050.778440707443</v>
      </c>
      <c r="J181" s="14">
        <f t="shared" si="101"/>
        <v>10585.910617951355</v>
      </c>
      <c r="K181" s="14">
        <f t="shared" si="101"/>
        <v>10564.59595413744</v>
      </c>
      <c r="L181" s="14">
        <f t="shared" si="101"/>
        <v>10642.720734159311</v>
      </c>
      <c r="M181" s="14">
        <f t="shared" si="101"/>
        <v>10814.306124245113</v>
      </c>
      <c r="N181" s="187">
        <f t="shared" si="101"/>
        <v>11036.765652196918</v>
      </c>
      <c r="O181" s="14">
        <f t="shared" si="101"/>
        <v>11204.740295403011</v>
      </c>
      <c r="P181" s="14">
        <f t="shared" si="101"/>
        <v>11400.764572151649</v>
      </c>
      <c r="Q181" s="14">
        <f t="shared" si="101"/>
        <v>11735.018947365057</v>
      </c>
      <c r="R181" s="14">
        <f t="shared" si="101"/>
        <v>11972.790602080757</v>
      </c>
      <c r="S181" s="14">
        <f t="shared" si="101"/>
        <v>12192.579445294177</v>
      </c>
      <c r="T181" s="14">
        <f t="shared" si="101"/>
        <v>12365.306901896831</v>
      </c>
      <c r="U181" s="14">
        <f t="shared" si="101"/>
        <v>12534.99218659655</v>
      </c>
      <c r="V181" s="14">
        <f t="shared" si="101"/>
        <v>12726.674700857278</v>
      </c>
      <c r="W181" s="14">
        <f t="shared" si="101"/>
        <v>12921.635105175767</v>
      </c>
      <c r="X181" s="187">
        <f t="shared" si="101"/>
        <v>13112.354410912638</v>
      </c>
      <c r="Y181" s="158">
        <f t="shared" si="101"/>
        <v>13209.262167643323</v>
      </c>
      <c r="Z181" s="158">
        <f t="shared" si="101"/>
        <v>13339.471716569667</v>
      </c>
      <c r="AA181" s="158">
        <f t="shared" si="101"/>
        <v>13449.796789280026</v>
      </c>
      <c r="AB181" s="158">
        <f t="shared" si="101"/>
        <v>13587.614282741433</v>
      </c>
      <c r="AC181" s="158">
        <f t="shared" si="101"/>
        <v>13774.56697535923</v>
      </c>
      <c r="AD181" s="158">
        <f t="shared" si="101"/>
        <v>13955.05650050937</v>
      </c>
      <c r="AE181" s="158">
        <f t="shared" si="101"/>
        <v>14208.512296219746</v>
      </c>
      <c r="AF181" s="158">
        <f t="shared" si="101"/>
        <v>14489.230147531085</v>
      </c>
      <c r="AG181" s="158">
        <f t="shared" si="101"/>
        <v>14730.104032287112</v>
      </c>
      <c r="AH181" s="187">
        <f t="shared" si="101"/>
        <v>14937.072629444154</v>
      </c>
      <c r="AI181" s="31" t="s">
        <v>0</v>
      </c>
    </row>
    <row r="182" spans="1:35" s="1" customFormat="1">
      <c r="A182" s="75" t="s">
        <v>304</v>
      </c>
      <c r="B182" s="13"/>
      <c r="C182" s="341" t="s">
        <v>0</v>
      </c>
      <c r="D182" s="341">
        <f t="shared" ref="D182:AH182" si="102">D179-D176</f>
        <v>130.44495692388591</v>
      </c>
      <c r="E182" s="341">
        <f t="shared" si="102"/>
        <v>22.29564209450109</v>
      </c>
      <c r="F182" s="341">
        <f t="shared" si="102"/>
        <v>179.56713416612547</v>
      </c>
      <c r="G182" s="341">
        <f t="shared" si="102"/>
        <v>66.641110644472064</v>
      </c>
      <c r="H182" s="405">
        <f>H179-H176</f>
        <v>-0.27197000000160187</v>
      </c>
      <c r="I182" s="15">
        <f t="shared" si="102"/>
        <v>46.679298947692587</v>
      </c>
      <c r="J182" s="15">
        <f t="shared" si="102"/>
        <v>107.70727617936791</v>
      </c>
      <c r="K182" s="15">
        <f t="shared" si="102"/>
        <v>51.772072765892517</v>
      </c>
      <c r="L182" s="15">
        <f t="shared" si="102"/>
        <v>58.019537902713637</v>
      </c>
      <c r="M182" s="15">
        <f t="shared" si="102"/>
        <v>114.17481884208973</v>
      </c>
      <c r="N182" s="190">
        <f t="shared" si="102"/>
        <v>183.23964030409843</v>
      </c>
      <c r="O182" s="15">
        <f t="shared" si="102"/>
        <v>209.24403179203</v>
      </c>
      <c r="P182" s="15">
        <f t="shared" si="102"/>
        <v>264.93743519925556</v>
      </c>
      <c r="Q182" s="15">
        <f t="shared" si="102"/>
        <v>284.56865786679555</v>
      </c>
      <c r="R182" s="15">
        <f t="shared" si="102"/>
        <v>359.39234448538991</v>
      </c>
      <c r="S182" s="15">
        <f t="shared" si="102"/>
        <v>348.83479059435194</v>
      </c>
      <c r="T182" s="15">
        <f t="shared" si="102"/>
        <v>428.87318358530683</v>
      </c>
      <c r="U182" s="15">
        <f t="shared" si="102"/>
        <v>529.4334182392704</v>
      </c>
      <c r="V182" s="15">
        <f t="shared" si="102"/>
        <v>645.79253805913322</v>
      </c>
      <c r="W182" s="15">
        <f t="shared" si="102"/>
        <v>648.26052540192541</v>
      </c>
      <c r="X182" s="190">
        <f t="shared" si="102"/>
        <v>787.40234878129195</v>
      </c>
      <c r="Y182" s="130">
        <f t="shared" si="102"/>
        <v>864.42285507993438</v>
      </c>
      <c r="Z182" s="130">
        <f t="shared" si="102"/>
        <v>958.72436303826544</v>
      </c>
      <c r="AA182" s="130">
        <f t="shared" si="102"/>
        <v>1047.5837881262705</v>
      </c>
      <c r="AB182" s="130">
        <f t="shared" si="102"/>
        <v>1145.8025953205506</v>
      </c>
      <c r="AC182" s="130">
        <f t="shared" si="102"/>
        <v>1265.9868739195772</v>
      </c>
      <c r="AD182" s="130">
        <f t="shared" si="102"/>
        <v>1382.7743821194672</v>
      </c>
      <c r="AE182" s="130">
        <f t="shared" si="102"/>
        <v>1525.8215173641438</v>
      </c>
      <c r="AF182" s="130">
        <f t="shared" si="102"/>
        <v>1679.8897291389185</v>
      </c>
      <c r="AG182" s="130">
        <f t="shared" si="102"/>
        <v>1828.0431975386891</v>
      </c>
      <c r="AH182" s="190">
        <f t="shared" si="102"/>
        <v>1976.3604453469743</v>
      </c>
    </row>
    <row r="183" spans="1:35" s="20" customFormat="1">
      <c r="A183" s="20" t="s">
        <v>305</v>
      </c>
      <c r="B183" s="33"/>
      <c r="C183" s="334" t="s">
        <v>0</v>
      </c>
      <c r="D183" s="334">
        <f t="shared" ref="D183:AH183" si="103">D180-D177</f>
        <v>68.655403640450459</v>
      </c>
      <c r="E183" s="334">
        <f t="shared" si="103"/>
        <v>11.734701230496285</v>
      </c>
      <c r="F183" s="334">
        <f t="shared" si="103"/>
        <v>94.509180397013552</v>
      </c>
      <c r="G183" s="334">
        <f t="shared" si="103"/>
        <v>35.074424903694307</v>
      </c>
      <c r="H183" s="404">
        <f>H180-H177</f>
        <v>-0.14300000000184809</v>
      </c>
      <c r="I183" s="19">
        <f t="shared" si="103"/>
        <v>24.568201859801775</v>
      </c>
      <c r="J183" s="19">
        <f t="shared" si="103"/>
        <v>56.688200045004123</v>
      </c>
      <c r="K183" s="19">
        <f t="shared" si="103"/>
        <v>27.248620646410927</v>
      </c>
      <c r="L183" s="19">
        <f t="shared" si="103"/>
        <v>30.536763752363186</v>
      </c>
      <c r="M183" s="19">
        <f t="shared" si="103"/>
        <v>60.092179832277907</v>
      </c>
      <c r="N183" s="182">
        <f t="shared" si="103"/>
        <v>96.442091803604853</v>
      </c>
      <c r="O183" s="19">
        <f t="shared" si="103"/>
        <v>110.12862869814489</v>
      </c>
      <c r="P183" s="19">
        <f t="shared" si="103"/>
        <v>139.44096304621416</v>
      </c>
      <c r="Q183" s="19">
        <f t="shared" si="103"/>
        <v>149.77320630483337</v>
      </c>
      <c r="R183" s="19">
        <f t="shared" si="103"/>
        <v>189.15411463172495</v>
      </c>
      <c r="S183" s="19">
        <f t="shared" si="103"/>
        <v>183.59752924845088</v>
      </c>
      <c r="T183" s="19">
        <f t="shared" si="103"/>
        <v>225.72302177073652</v>
      </c>
      <c r="U183" s="19">
        <f t="shared" si="103"/>
        <v>278.64948524671308</v>
      </c>
      <c r="V183" s="19">
        <f t="shared" si="103"/>
        <v>339.89115386969752</v>
      </c>
      <c r="W183" s="19">
        <f t="shared" si="103"/>
        <v>341.19012330432452</v>
      </c>
      <c r="X183" s="182">
        <f t="shared" si="103"/>
        <v>414.42269269353346</v>
      </c>
      <c r="Y183" s="206">
        <f t="shared" si="103"/>
        <v>454.95981986206061</v>
      </c>
      <c r="Z183" s="206">
        <f t="shared" si="103"/>
        <v>504.59221294032795</v>
      </c>
      <c r="AA183" s="206">
        <f t="shared" si="103"/>
        <v>551.36035207701752</v>
      </c>
      <c r="AB183" s="206">
        <f t="shared" si="103"/>
        <v>603.05448364395852</v>
      </c>
      <c r="AC183" s="206">
        <f t="shared" si="103"/>
        <v>666.30939242369277</v>
      </c>
      <c r="AD183" s="206">
        <f t="shared" si="103"/>
        <v>727.77652820125331</v>
      </c>
      <c r="AE183" s="206">
        <f t="shared" si="103"/>
        <v>803.06452439180248</v>
      </c>
      <c r="AF183" s="206">
        <f t="shared" si="103"/>
        <v>884.15308972475941</v>
      </c>
      <c r="AG183" s="206">
        <f t="shared" si="103"/>
        <v>962.12863207886767</v>
      </c>
      <c r="AH183" s="182">
        <f t="shared" si="103"/>
        <v>1040.1903741024144</v>
      </c>
    </row>
    <row r="184" spans="1:35" s="20" customFormat="1">
      <c r="A184" s="20" t="s">
        <v>306</v>
      </c>
      <c r="B184" s="33"/>
      <c r="C184" s="334" t="s">
        <v>0</v>
      </c>
      <c r="D184" s="334">
        <f t="shared" ref="D184:AH184" si="104">D181-D178</f>
        <v>61.789553283435453</v>
      </c>
      <c r="E184" s="334">
        <f t="shared" si="104"/>
        <v>10.560940864004806</v>
      </c>
      <c r="F184" s="334">
        <f t="shared" si="104"/>
        <v>85.057953769111919</v>
      </c>
      <c r="G184" s="334">
        <f t="shared" si="104"/>
        <v>31.566685740777757</v>
      </c>
      <c r="H184" s="404">
        <f t="shared" si="104"/>
        <v>-0.12896999999975378</v>
      </c>
      <c r="I184" s="19">
        <f t="shared" si="104"/>
        <v>22.111097087890812</v>
      </c>
      <c r="J184" s="19">
        <f t="shared" si="104"/>
        <v>51.019076134363786</v>
      </c>
      <c r="K184" s="19">
        <f t="shared" si="104"/>
        <v>24.523452119479771</v>
      </c>
      <c r="L184" s="19">
        <f t="shared" si="104"/>
        <v>27.48277415035227</v>
      </c>
      <c r="M184" s="19">
        <f t="shared" si="104"/>
        <v>54.082639009813647</v>
      </c>
      <c r="N184" s="182">
        <f t="shared" si="104"/>
        <v>86.797548500493576</v>
      </c>
      <c r="O184" s="19">
        <f t="shared" si="104"/>
        <v>99.115403093885107</v>
      </c>
      <c r="P184" s="19">
        <f t="shared" si="104"/>
        <v>125.49647215304321</v>
      </c>
      <c r="Q184" s="19">
        <f t="shared" si="104"/>
        <v>134.79545156196036</v>
      </c>
      <c r="R184" s="19">
        <f t="shared" si="104"/>
        <v>170.23822985366496</v>
      </c>
      <c r="S184" s="19">
        <f t="shared" si="104"/>
        <v>165.23726134590106</v>
      </c>
      <c r="T184" s="19">
        <f t="shared" si="104"/>
        <v>203.15016181457031</v>
      </c>
      <c r="U184" s="19">
        <f t="shared" si="104"/>
        <v>250.78393299255731</v>
      </c>
      <c r="V184" s="19">
        <f t="shared" si="104"/>
        <v>305.90138418943752</v>
      </c>
      <c r="W184" s="19">
        <f t="shared" si="104"/>
        <v>307.07040209760089</v>
      </c>
      <c r="X184" s="182">
        <f t="shared" si="104"/>
        <v>372.97965608775849</v>
      </c>
      <c r="Y184" s="206">
        <f t="shared" si="104"/>
        <v>409.46303521787559</v>
      </c>
      <c r="Z184" s="206">
        <f t="shared" si="104"/>
        <v>454.1321500979393</v>
      </c>
      <c r="AA184" s="206">
        <f t="shared" si="104"/>
        <v>496.22343604925118</v>
      </c>
      <c r="AB184" s="206">
        <f t="shared" si="104"/>
        <v>542.74811167659209</v>
      </c>
      <c r="AC184" s="206">
        <f t="shared" si="104"/>
        <v>599.67748149588442</v>
      </c>
      <c r="AD184" s="206">
        <f t="shared" si="104"/>
        <v>654.9978539182157</v>
      </c>
      <c r="AE184" s="206">
        <f t="shared" si="104"/>
        <v>722.7569929723395</v>
      </c>
      <c r="AF184" s="206">
        <f t="shared" si="104"/>
        <v>795.73663941415725</v>
      </c>
      <c r="AG184" s="206">
        <f t="shared" si="104"/>
        <v>865.91456545982146</v>
      </c>
      <c r="AH184" s="182">
        <f t="shared" si="104"/>
        <v>936.17007124455813</v>
      </c>
    </row>
    <row r="185" spans="1:35" s="1" customFormat="1">
      <c r="A185" s="1" t="s">
        <v>450</v>
      </c>
      <c r="B185" s="13"/>
      <c r="C185" s="341"/>
      <c r="D185" s="341">
        <f>D182</f>
        <v>130.44495692388591</v>
      </c>
      <c r="E185" s="341">
        <f>D185+E182</f>
        <v>152.740599018387</v>
      </c>
      <c r="F185" s="341">
        <f t="shared" ref="E185:N187" si="105">E185+F182</f>
        <v>332.30773318451247</v>
      </c>
      <c r="G185" s="341">
        <f t="shared" si="105"/>
        <v>398.94884382898454</v>
      </c>
      <c r="H185" s="405">
        <f>H182</f>
        <v>-0.27197000000160187</v>
      </c>
      <c r="I185" s="15">
        <f t="shared" si="105"/>
        <v>46.407328947690985</v>
      </c>
      <c r="J185" s="15">
        <f t="shared" si="105"/>
        <v>154.11460512705889</v>
      </c>
      <c r="K185" s="15">
        <f t="shared" si="105"/>
        <v>205.88667789295141</v>
      </c>
      <c r="L185" s="15">
        <f t="shared" si="105"/>
        <v>263.90621579566505</v>
      </c>
      <c r="M185" s="15">
        <f t="shared" si="105"/>
        <v>378.08103463775478</v>
      </c>
      <c r="N185" s="15">
        <f t="shared" si="105"/>
        <v>561.32067494185321</v>
      </c>
      <c r="O185" s="15">
        <f t="shared" ref="O185:X185" si="106">N185+O182</f>
        <v>770.56470673388321</v>
      </c>
      <c r="P185" s="15">
        <f t="shared" si="106"/>
        <v>1035.5021419331388</v>
      </c>
      <c r="Q185" s="15">
        <f t="shared" si="106"/>
        <v>1320.0707997999343</v>
      </c>
      <c r="R185" s="15">
        <f t="shared" si="106"/>
        <v>1679.4631442853242</v>
      </c>
      <c r="S185" s="130">
        <f t="shared" si="106"/>
        <v>2028.2979348796762</v>
      </c>
      <c r="T185" s="15">
        <f t="shared" si="106"/>
        <v>2457.171118464983</v>
      </c>
      <c r="U185" s="15">
        <f t="shared" si="106"/>
        <v>2986.6045367042534</v>
      </c>
      <c r="V185" s="15">
        <f t="shared" si="106"/>
        <v>3632.3970747633866</v>
      </c>
      <c r="W185" s="15">
        <f t="shared" si="106"/>
        <v>4280.657600165312</v>
      </c>
      <c r="X185" s="190">
        <f t="shared" si="106"/>
        <v>5068.059948946604</v>
      </c>
      <c r="Y185" s="130">
        <f t="shared" ref="Y185:AH185" si="107">X185+Y182</f>
        <v>5932.4828040265384</v>
      </c>
      <c r="Z185" s="130">
        <f t="shared" si="107"/>
        <v>6891.2071670648038</v>
      </c>
      <c r="AA185" s="130">
        <f t="shared" si="107"/>
        <v>7938.7909551910743</v>
      </c>
      <c r="AB185" s="130">
        <f t="shared" si="107"/>
        <v>9084.5935505116249</v>
      </c>
      <c r="AC185" s="130">
        <f t="shared" si="107"/>
        <v>10350.580424431202</v>
      </c>
      <c r="AD185" s="130">
        <f t="shared" si="107"/>
        <v>11733.354806550669</v>
      </c>
      <c r="AE185" s="130">
        <f t="shared" si="107"/>
        <v>13259.176323914813</v>
      </c>
      <c r="AF185" s="130">
        <f t="shared" si="107"/>
        <v>14939.066053053732</v>
      </c>
      <c r="AG185" s="130">
        <f t="shared" si="107"/>
        <v>16767.109250592421</v>
      </c>
      <c r="AH185" s="190">
        <f t="shared" si="107"/>
        <v>18743.469695939395</v>
      </c>
    </row>
    <row r="186" spans="1:35" s="20" customFormat="1">
      <c r="A186" s="20" t="s">
        <v>451</v>
      </c>
      <c r="B186" s="33"/>
      <c r="C186" s="334"/>
      <c r="D186" s="334">
        <f>D183</f>
        <v>68.655403640450459</v>
      </c>
      <c r="E186" s="334">
        <f t="shared" si="105"/>
        <v>80.390104870946743</v>
      </c>
      <c r="F186" s="334">
        <f t="shared" si="105"/>
        <v>174.89928526796029</v>
      </c>
      <c r="G186" s="334">
        <f t="shared" si="105"/>
        <v>209.9737101716546</v>
      </c>
      <c r="H186" s="404">
        <f t="shared" si="105"/>
        <v>209.83071017165275</v>
      </c>
      <c r="I186" s="19">
        <f t="shared" ref="I186:X186" si="108">H186+I183</f>
        <v>234.39891203145453</v>
      </c>
      <c r="J186" s="19">
        <f t="shared" si="108"/>
        <v>291.08711207645865</v>
      </c>
      <c r="K186" s="19">
        <f t="shared" si="108"/>
        <v>318.33573272286958</v>
      </c>
      <c r="L186" s="19">
        <f t="shared" si="108"/>
        <v>348.87249647523277</v>
      </c>
      <c r="M186" s="19">
        <f t="shared" si="108"/>
        <v>408.96467630751067</v>
      </c>
      <c r="N186" s="182">
        <f t="shared" si="108"/>
        <v>505.40676811111553</v>
      </c>
      <c r="O186" s="19">
        <f t="shared" si="108"/>
        <v>615.53539680926042</v>
      </c>
      <c r="P186" s="19">
        <f t="shared" si="108"/>
        <v>754.97635985547458</v>
      </c>
      <c r="Q186" s="19">
        <f t="shared" si="108"/>
        <v>904.74956616030795</v>
      </c>
      <c r="R186" s="19">
        <f t="shared" si="108"/>
        <v>1093.9036807920329</v>
      </c>
      <c r="S186" s="206">
        <f t="shared" si="108"/>
        <v>1277.5012100404838</v>
      </c>
      <c r="T186" s="19">
        <f t="shared" si="108"/>
        <v>1503.2242318112203</v>
      </c>
      <c r="U186" s="19">
        <f t="shared" si="108"/>
        <v>1781.8737170579334</v>
      </c>
      <c r="V186" s="19">
        <f t="shared" si="108"/>
        <v>2121.7648709276309</v>
      </c>
      <c r="W186" s="19">
        <f t="shared" si="108"/>
        <v>2462.9549942319554</v>
      </c>
      <c r="X186" s="182">
        <f t="shared" si="108"/>
        <v>2877.3776869254889</v>
      </c>
      <c r="Y186" s="206">
        <f t="shared" ref="Y186:AH186" si="109">X186+Y183</f>
        <v>3332.3375067875495</v>
      </c>
      <c r="Z186" s="206">
        <f t="shared" si="109"/>
        <v>3836.9297197278775</v>
      </c>
      <c r="AA186" s="206">
        <f t="shared" si="109"/>
        <v>4388.290071804895</v>
      </c>
      <c r="AB186" s="206">
        <f t="shared" si="109"/>
        <v>4991.3445554488535</v>
      </c>
      <c r="AC186" s="206">
        <f t="shared" si="109"/>
        <v>5657.6539478725463</v>
      </c>
      <c r="AD186" s="206">
        <f t="shared" si="109"/>
        <v>6385.4304760737996</v>
      </c>
      <c r="AE186" s="206">
        <f t="shared" si="109"/>
        <v>7188.4950004656021</v>
      </c>
      <c r="AF186" s="206">
        <f t="shared" si="109"/>
        <v>8072.6480901903615</v>
      </c>
      <c r="AG186" s="206">
        <f t="shared" si="109"/>
        <v>9034.7767222692291</v>
      </c>
      <c r="AH186" s="182">
        <f t="shared" si="109"/>
        <v>10074.967096371643</v>
      </c>
    </row>
    <row r="187" spans="1:35" s="20" customFormat="1">
      <c r="A187" s="20" t="s">
        <v>452</v>
      </c>
      <c r="B187" s="33"/>
      <c r="C187" s="334"/>
      <c r="D187" s="334">
        <f>D184</f>
        <v>61.789553283435453</v>
      </c>
      <c r="E187" s="334">
        <f t="shared" si="105"/>
        <v>72.350494147440259</v>
      </c>
      <c r="F187" s="334">
        <f t="shared" si="105"/>
        <v>157.40844791655218</v>
      </c>
      <c r="G187" s="334">
        <f t="shared" si="105"/>
        <v>188.97513365732993</v>
      </c>
      <c r="H187" s="404">
        <f t="shared" si="105"/>
        <v>188.84616365733018</v>
      </c>
      <c r="I187" s="19">
        <f t="shared" ref="I187:X187" si="110">H187+I184</f>
        <v>210.95726074522099</v>
      </c>
      <c r="J187" s="19">
        <f t="shared" si="110"/>
        <v>261.97633687958478</v>
      </c>
      <c r="K187" s="19">
        <f t="shared" si="110"/>
        <v>286.49978899906455</v>
      </c>
      <c r="L187" s="19">
        <f t="shared" si="110"/>
        <v>313.98256314941682</v>
      </c>
      <c r="M187" s="19">
        <f t="shared" si="110"/>
        <v>368.06520215923047</v>
      </c>
      <c r="N187" s="182">
        <f t="shared" si="110"/>
        <v>454.86275065972404</v>
      </c>
      <c r="O187" s="19">
        <f t="shared" si="110"/>
        <v>553.97815375360915</v>
      </c>
      <c r="P187" s="19">
        <f t="shared" si="110"/>
        <v>679.47462590665236</v>
      </c>
      <c r="Q187" s="19">
        <f t="shared" si="110"/>
        <v>814.27007746861273</v>
      </c>
      <c r="R187" s="19">
        <f t="shared" si="110"/>
        <v>984.50830732227769</v>
      </c>
      <c r="S187" s="206">
        <f t="shared" si="110"/>
        <v>1149.7455686681787</v>
      </c>
      <c r="T187" s="19">
        <f t="shared" si="110"/>
        <v>1352.8957304827491</v>
      </c>
      <c r="U187" s="19">
        <f t="shared" si="110"/>
        <v>1603.6796634753064</v>
      </c>
      <c r="V187" s="19">
        <f t="shared" si="110"/>
        <v>1909.5810476647439</v>
      </c>
      <c r="W187" s="19">
        <f t="shared" si="110"/>
        <v>2216.6514497623448</v>
      </c>
      <c r="X187" s="182">
        <f t="shared" si="110"/>
        <v>2589.6311058501033</v>
      </c>
      <c r="Y187" s="206">
        <f t="shared" ref="Y187:AH187" si="111">X187+Y184</f>
        <v>2999.0941410679789</v>
      </c>
      <c r="Z187" s="206">
        <f t="shared" si="111"/>
        <v>3453.2262911659182</v>
      </c>
      <c r="AA187" s="206">
        <f t="shared" si="111"/>
        <v>3949.4497272151693</v>
      </c>
      <c r="AB187" s="206">
        <f t="shared" si="111"/>
        <v>4492.1978388917614</v>
      </c>
      <c r="AC187" s="206">
        <f t="shared" si="111"/>
        <v>5091.8753203876458</v>
      </c>
      <c r="AD187" s="206">
        <f t="shared" si="111"/>
        <v>5746.8731743058615</v>
      </c>
      <c r="AE187" s="206">
        <f t="shared" si="111"/>
        <v>6469.630167278201</v>
      </c>
      <c r="AF187" s="206">
        <f t="shared" si="111"/>
        <v>7265.3668066923583</v>
      </c>
      <c r="AG187" s="206">
        <f t="shared" si="111"/>
        <v>8131.2813721521798</v>
      </c>
      <c r="AH187" s="182">
        <f t="shared" si="111"/>
        <v>9067.4514433967379</v>
      </c>
    </row>
    <row r="188" spans="1:35" s="519" customFormat="1">
      <c r="A188" s="519" t="s">
        <v>550</v>
      </c>
      <c r="B188" s="520"/>
      <c r="C188" s="521"/>
      <c r="D188"/>
      <c r="E188"/>
      <c r="F188"/>
      <c r="G188"/>
      <c r="H188"/>
      <c r="I188"/>
      <c r="J188"/>
      <c r="K188"/>
      <c r="L188"/>
      <c r="M188"/>
      <c r="N188"/>
      <c r="O188"/>
      <c r="P188"/>
      <c r="Q188"/>
      <c r="R188"/>
      <c r="S188"/>
      <c r="T188"/>
      <c r="U188"/>
      <c r="V188"/>
      <c r="W188"/>
      <c r="X188"/>
      <c r="Y188"/>
      <c r="Z188"/>
      <c r="AA188"/>
      <c r="AB188"/>
      <c r="AC188"/>
      <c r="AD188"/>
      <c r="AE188"/>
      <c r="AF188" s="523"/>
      <c r="AG188" s="523"/>
      <c r="AH188" s="522"/>
    </row>
    <row r="189" spans="1:35" s="1" customFormat="1">
      <c r="B189" s="13"/>
      <c r="C189" s="341"/>
      <c r="D189"/>
      <c r="E189"/>
      <c r="F189"/>
      <c r="G189"/>
      <c r="H189"/>
      <c r="I189"/>
      <c r="J189"/>
      <c r="K189"/>
      <c r="L189"/>
      <c r="M189"/>
      <c r="N189"/>
      <c r="O189"/>
      <c r="P189"/>
      <c r="Q189"/>
      <c r="R189"/>
      <c r="S189"/>
      <c r="T189"/>
      <c r="U189"/>
      <c r="V189"/>
      <c r="W189"/>
      <c r="X189"/>
      <c r="Y189"/>
      <c r="Z189"/>
      <c r="AA189"/>
      <c r="AB189"/>
      <c r="AC189"/>
      <c r="AD189"/>
      <c r="AE189"/>
      <c r="AF189"/>
      <c r="AG189"/>
      <c r="AH189" s="280"/>
    </row>
    <row r="190" spans="1:35" s="1" customFormat="1">
      <c r="A190" s="1" t="s">
        <v>412</v>
      </c>
      <c r="B190" s="13"/>
      <c r="C190" s="328"/>
      <c r="D190" s="328"/>
      <c r="E190" s="328"/>
      <c r="F190" s="328"/>
      <c r="G190" s="328"/>
      <c r="H190" s="400"/>
      <c r="I190" s="15" t="s">
        <v>0</v>
      </c>
      <c r="J190" s="13"/>
      <c r="K190" s="13"/>
      <c r="L190" s="13"/>
      <c r="M190" s="13"/>
      <c r="N190" s="191"/>
      <c r="O190" s="13"/>
      <c r="P190" s="13"/>
      <c r="Q190" s="13"/>
      <c r="R190" s="13"/>
      <c r="T190" s="13"/>
      <c r="U190" s="13"/>
      <c r="V190" s="13"/>
      <c r="W190" s="13"/>
      <c r="X190" s="176"/>
      <c r="Y190"/>
      <c r="Z190"/>
      <c r="AA190"/>
      <c r="AB190"/>
      <c r="AC190"/>
      <c r="AD190"/>
      <c r="AE190"/>
      <c r="AF190"/>
      <c r="AG190"/>
      <c r="AH190" s="280"/>
    </row>
    <row r="191" spans="1:35">
      <c r="A191" t="s">
        <v>406</v>
      </c>
      <c r="I191" s="112"/>
      <c r="J191" s="112"/>
      <c r="K191" s="112"/>
      <c r="L191" s="112"/>
      <c r="M191" s="131"/>
      <c r="N191" s="192"/>
      <c r="O191" s="131"/>
      <c r="P191" s="112"/>
      <c r="Q191" s="112"/>
      <c r="R191" s="131"/>
      <c r="S191" s="131"/>
      <c r="T191" s="131"/>
      <c r="U191" s="131"/>
      <c r="V191" s="112"/>
      <c r="W191" s="112"/>
    </row>
    <row r="192" spans="1:35">
      <c r="A192" t="s">
        <v>407</v>
      </c>
      <c r="I192" s="112"/>
      <c r="J192" s="112"/>
      <c r="K192" s="112"/>
      <c r="L192" s="112"/>
      <c r="M192" s="131"/>
      <c r="N192" s="192"/>
      <c r="O192" s="131"/>
      <c r="P192" s="112"/>
      <c r="Q192" s="112"/>
      <c r="R192" s="131"/>
      <c r="S192" s="131"/>
      <c r="T192" s="131"/>
      <c r="U192" s="131"/>
      <c r="V192" s="112"/>
      <c r="W192" s="112"/>
    </row>
    <row r="193" spans="1:34">
      <c r="A193" t="s">
        <v>408</v>
      </c>
      <c r="I193" s="112"/>
      <c r="J193" s="112"/>
      <c r="K193" s="112"/>
      <c r="L193" s="112"/>
      <c r="M193" s="131"/>
      <c r="N193" s="192"/>
      <c r="O193" s="131"/>
      <c r="P193" s="112"/>
      <c r="Q193" s="112"/>
      <c r="R193" s="131"/>
      <c r="S193" s="131"/>
      <c r="T193" s="131"/>
      <c r="U193" s="131"/>
      <c r="V193" s="112"/>
      <c r="W193" s="112"/>
    </row>
    <row r="194" spans="1:34">
      <c r="A194" t="s">
        <v>388</v>
      </c>
      <c r="C194" s="331">
        <f>SUM(C195:C196)</f>
        <v>916.50813000000005</v>
      </c>
      <c r="D194" s="331">
        <f t="shared" ref="D194:AH194" si="112">SUM(D195:D196)</f>
        <v>954.81213000000002</v>
      </c>
      <c r="E194" s="331">
        <f t="shared" si="112"/>
        <v>1094.4811657274654</v>
      </c>
      <c r="F194" s="331">
        <f t="shared" si="112"/>
        <v>1056.9088954850495</v>
      </c>
      <c r="G194" s="331">
        <f t="shared" si="112"/>
        <v>1170.6596742682204</v>
      </c>
      <c r="H194" s="402">
        <f t="shared" si="112"/>
        <v>1204.4391792968886</v>
      </c>
      <c r="I194" s="14">
        <f t="shared" si="112"/>
        <v>1248.6476471530764</v>
      </c>
      <c r="J194" s="14">
        <f t="shared" si="112"/>
        <v>1321.122262712548</v>
      </c>
      <c r="K194" s="14">
        <f t="shared" si="112"/>
        <v>1432.7176798756057</v>
      </c>
      <c r="L194" s="14">
        <f t="shared" si="112"/>
        <v>1496.8390366828758</v>
      </c>
      <c r="M194" s="14">
        <f t="shared" si="112"/>
        <v>1556.9738055023331</v>
      </c>
      <c r="N194" s="187">
        <f t="shared" si="112"/>
        <v>1633.5272746062303</v>
      </c>
      <c r="O194" s="14">
        <f t="shared" si="112"/>
        <v>1751.6848528617836</v>
      </c>
      <c r="P194" s="14">
        <f t="shared" si="112"/>
        <v>1831.8461687996971</v>
      </c>
      <c r="Q194" s="14">
        <f t="shared" si="112"/>
        <v>2061.6994866784539</v>
      </c>
      <c r="R194" s="14">
        <f t="shared" si="112"/>
        <v>2151.2831561024377</v>
      </c>
      <c r="S194" s="15">
        <f t="shared" si="112"/>
        <v>2429.1302418293044</v>
      </c>
      <c r="T194" s="14">
        <f t="shared" si="112"/>
        <v>2510.8600592660578</v>
      </c>
      <c r="U194" s="14">
        <f t="shared" si="112"/>
        <v>2566.5047747030562</v>
      </c>
      <c r="V194" s="14">
        <f t="shared" si="112"/>
        <v>2618.4016744968317</v>
      </c>
      <c r="W194" s="14">
        <f t="shared" si="112"/>
        <v>2932.5452584026552</v>
      </c>
      <c r="X194" s="187">
        <f t="shared" si="112"/>
        <v>2980.190744544836</v>
      </c>
      <c r="Y194" s="158">
        <f t="shared" si="112"/>
        <v>3020.1033800924197</v>
      </c>
      <c r="Z194" s="158">
        <f t="shared" si="112"/>
        <v>3050.0580239542792</v>
      </c>
      <c r="AA194" s="158">
        <f t="shared" si="112"/>
        <v>3090.2126633702574</v>
      </c>
      <c r="AB194" s="158">
        <f t="shared" si="112"/>
        <v>3136.3939177049442</v>
      </c>
      <c r="AC194" s="158">
        <f t="shared" si="112"/>
        <v>3175.7753869568091</v>
      </c>
      <c r="AD194" s="158">
        <f t="shared" si="112"/>
        <v>3230.60919274872</v>
      </c>
      <c r="AE194" s="158">
        <f t="shared" si="112"/>
        <v>3289.8209469314406</v>
      </c>
      <c r="AF194" s="158">
        <f t="shared" si="112"/>
        <v>3358.005034146644</v>
      </c>
      <c r="AG194" s="158">
        <f t="shared" si="112"/>
        <v>3429.0259966941958</v>
      </c>
      <c r="AH194" s="187">
        <f t="shared" si="112"/>
        <v>3492.6526157569974</v>
      </c>
    </row>
    <row r="195" spans="1:34">
      <c r="A195" t="s">
        <v>389</v>
      </c>
      <c r="C195" s="330">
        <f>'Output - Jobs vs Yr (BAU)'!C51</f>
        <v>482.37270000000001</v>
      </c>
      <c r="D195" s="330">
        <f>'Output - Jobs vs Yr (BAU)'!D51</f>
        <v>502.53269999999998</v>
      </c>
      <c r="E195" s="330">
        <f>'Output - Jobs vs Yr (BAU)'!E51</f>
        <v>576.04271880392923</v>
      </c>
      <c r="F195" s="330">
        <f>'Output - Jobs vs Yr (BAU)'!F51</f>
        <v>556.2678397289734</v>
      </c>
      <c r="G195" s="330">
        <f>'Output - Jobs vs Yr (BAU)'!G51</f>
        <v>616.1366706674844</v>
      </c>
      <c r="H195" s="286">
        <f>'Output - Jobs vs Yr (BAU)'!H51</f>
        <v>633.91535752467826</v>
      </c>
      <c r="I195" s="118">
        <f>'Output - Jobs vs Yr (BAU)'!I51</f>
        <v>657.18297218582961</v>
      </c>
      <c r="J195" s="118">
        <f>'Output - Jobs vs Yr (BAU)'!J51</f>
        <v>695.32750669081463</v>
      </c>
      <c r="K195" s="118">
        <f>'Output - Jobs vs Yr (BAU)'!K51</f>
        <v>754.06193677663452</v>
      </c>
      <c r="L195" s="118">
        <f>'Output - Jobs vs Yr (BAU)'!L51</f>
        <v>787.81001930677667</v>
      </c>
      <c r="M195" s="118">
        <f>'Output - Jobs vs Yr (BAU)'!M51</f>
        <v>819.45989763280681</v>
      </c>
      <c r="N195" s="177">
        <f>'Output - Jobs vs Yr (BAU)'!N51</f>
        <v>859.75119716117388</v>
      </c>
      <c r="O195" s="118">
        <f>'Output - Jobs vs Yr (BAU)'!O51</f>
        <v>921.93939624304403</v>
      </c>
      <c r="P195" s="118">
        <f>'Output - Jobs vs Yr (BAU)'!P51</f>
        <v>964.12956252615641</v>
      </c>
      <c r="Q195" s="118">
        <f>'Output - Jobs vs Yr (BAU)'!Q51</f>
        <v>1085.1049929886599</v>
      </c>
      <c r="R195" s="118">
        <f>'Output - Jobs vs Yr (BAU)'!R51</f>
        <v>1132.2542926854933</v>
      </c>
      <c r="S195" s="118">
        <f>'Output - Jobs vs Yr (BAU)'!S51</f>
        <v>1278.4896009627917</v>
      </c>
      <c r="T195" s="118">
        <f>'Output - Jobs vs Yr (BAU)'!T51</f>
        <v>1321.5052943505568</v>
      </c>
      <c r="U195" s="118">
        <f>'Output - Jobs vs Yr (BAU)'!U51</f>
        <v>1350.791986685819</v>
      </c>
      <c r="V195" s="118">
        <f>'Output - Jobs vs Yr (BAU)'!V51</f>
        <v>1378.1061444720165</v>
      </c>
      <c r="W195" s="118">
        <f>'Output - Jobs vs Yr (BAU)'!W51</f>
        <v>1543.4448728435027</v>
      </c>
      <c r="X195" s="184">
        <f>'Output - Jobs vs Yr (BAU)'!X51</f>
        <v>1568.5214444972819</v>
      </c>
      <c r="Y195" s="271">
        <f>'Output - Jobs vs Yr (BAU)'!Y51</f>
        <v>1589.528094785484</v>
      </c>
      <c r="Z195" s="271">
        <f>'Output - Jobs vs Yr (BAU)'!Z51</f>
        <v>1605.2936968180416</v>
      </c>
      <c r="AA195" s="271">
        <f>'Output - Jobs vs Yr (BAU)'!AA51</f>
        <v>1626.4277175632933</v>
      </c>
      <c r="AB195" s="271">
        <f>'Output - Jobs vs Yr (BAU)'!AB51</f>
        <v>1650.733640897339</v>
      </c>
      <c r="AC195" s="271">
        <f>'Output - Jobs vs Yr (BAU)'!AC51</f>
        <v>1671.4607299772679</v>
      </c>
      <c r="AD195" s="271">
        <f>'Output - Jobs vs Yr (BAU)'!AD51</f>
        <v>1700.3206277624843</v>
      </c>
      <c r="AE195" s="271">
        <f>'Output - Jobs vs Yr (BAU)'!AE51</f>
        <v>1731.4847089112845</v>
      </c>
      <c r="AF195" s="271">
        <f>'Output - Jobs vs Yr (BAU)'!AF51</f>
        <v>1767.3710706034969</v>
      </c>
      <c r="AG195" s="271">
        <f>'Output - Jobs vs Yr (BAU)'!AG51</f>
        <v>1804.7505245758923</v>
      </c>
      <c r="AH195" s="184">
        <f>'Output - Jobs vs Yr (BAU)'!AH51</f>
        <v>1838.2382188194724</v>
      </c>
    </row>
    <row r="196" spans="1:34">
      <c r="A196" t="s">
        <v>390</v>
      </c>
      <c r="C196" s="330">
        <f>'Output - Jobs vs Yr (BAU)'!C69</f>
        <v>434.13543000000004</v>
      </c>
      <c r="D196" s="330">
        <f>'Output - Jobs vs Yr (BAU)'!D69</f>
        <v>452.27942999999999</v>
      </c>
      <c r="E196" s="330">
        <f>'Output - Jobs vs Yr (BAU)'!E69</f>
        <v>518.43844692353628</v>
      </c>
      <c r="F196" s="330">
        <f>'Output - Jobs vs Yr (BAU)'!F69</f>
        <v>500.64105575607607</v>
      </c>
      <c r="G196" s="330">
        <f>'Output - Jobs vs Yr (BAU)'!G69</f>
        <v>554.52300360073605</v>
      </c>
      <c r="H196" s="286">
        <f>'Output - Jobs vs Yr (BAU)'!H69</f>
        <v>570.52382177221045</v>
      </c>
      <c r="I196" s="118">
        <f>'Output - Jobs vs Yr (BAU)'!I69</f>
        <v>591.46467496724665</v>
      </c>
      <c r="J196" s="118">
        <f>'Output - Jobs vs Yr (BAU)'!J69</f>
        <v>625.79475602173329</v>
      </c>
      <c r="K196" s="118">
        <f>'Output - Jobs vs Yr (BAU)'!K69</f>
        <v>678.65574309897113</v>
      </c>
      <c r="L196" s="118">
        <f>'Output - Jobs vs Yr (BAU)'!L69</f>
        <v>709.02901737609909</v>
      </c>
      <c r="M196" s="118">
        <f>'Output - Jobs vs Yr (BAU)'!M69</f>
        <v>737.51390786952618</v>
      </c>
      <c r="N196" s="177">
        <f>'Output - Jobs vs Yr (BAU)'!N69</f>
        <v>773.77607744505644</v>
      </c>
      <c r="O196" s="118">
        <f>'Output - Jobs vs Yr (BAU)'!O69</f>
        <v>829.74545661873958</v>
      </c>
      <c r="P196" s="118">
        <f>'Output - Jobs vs Yr (BAU)'!P69</f>
        <v>867.71660627354072</v>
      </c>
      <c r="Q196" s="118">
        <f>'Output - Jobs vs Yr (BAU)'!Q69</f>
        <v>976.59449368979415</v>
      </c>
      <c r="R196" s="118">
        <f>'Output - Jobs vs Yr (BAU)'!R69</f>
        <v>1019.0288634169443</v>
      </c>
      <c r="S196" s="118">
        <f>'Output - Jobs vs Yr (BAU)'!S69</f>
        <v>1150.6406408665127</v>
      </c>
      <c r="T196" s="118">
        <f>'Output - Jobs vs Yr (BAU)'!T69</f>
        <v>1189.3547649155012</v>
      </c>
      <c r="U196" s="118">
        <f>'Output - Jobs vs Yr (BAU)'!U69</f>
        <v>1215.7127880172372</v>
      </c>
      <c r="V196" s="118">
        <f>'Output - Jobs vs Yr (BAU)'!V69</f>
        <v>1240.2955300248152</v>
      </c>
      <c r="W196" s="118">
        <f>'Output - Jobs vs Yr (BAU)'!W69</f>
        <v>1389.1003855591528</v>
      </c>
      <c r="X196" s="184">
        <f>'Output - Jobs vs Yr (BAU)'!X69</f>
        <v>1411.6693000475539</v>
      </c>
      <c r="Y196" s="271">
        <f>'Output - Jobs vs Yr (BAU)'!Y69</f>
        <v>1430.5752853069359</v>
      </c>
      <c r="Z196" s="271">
        <f>'Output - Jobs vs Yr (BAU)'!Z69</f>
        <v>1444.7643271362376</v>
      </c>
      <c r="AA196" s="271">
        <f>'Output - Jobs vs Yr (BAU)'!AA69</f>
        <v>1463.7849458069643</v>
      </c>
      <c r="AB196" s="271">
        <f>'Output - Jobs vs Yr (BAU)'!AB69</f>
        <v>1485.6602768076052</v>
      </c>
      <c r="AC196" s="271">
        <f>'Output - Jobs vs Yr (BAU)'!AC69</f>
        <v>1504.3146569795413</v>
      </c>
      <c r="AD196" s="271">
        <f>'Output - Jobs vs Yr (BAU)'!AD69</f>
        <v>1530.2885649862358</v>
      </c>
      <c r="AE196" s="271">
        <f>'Output - Jobs vs Yr (BAU)'!AE69</f>
        <v>1558.3362380201561</v>
      </c>
      <c r="AF196" s="271">
        <f>'Output - Jobs vs Yr (BAU)'!AF69</f>
        <v>1590.6339635431473</v>
      </c>
      <c r="AG196" s="271">
        <f>'Output - Jobs vs Yr (BAU)'!AG69</f>
        <v>1624.2754721183037</v>
      </c>
      <c r="AH196" s="184">
        <f>'Output - Jobs vs Yr (BAU)'!AH69</f>
        <v>1654.414396937525</v>
      </c>
    </row>
    <row r="197" spans="1:34">
      <c r="A197" t="s">
        <v>391</v>
      </c>
      <c r="C197" s="331">
        <f>SUM(C198:C199)</f>
        <v>4816.2691500000001</v>
      </c>
      <c r="D197" s="331">
        <f t="shared" ref="D197:AH197" si="113">SUM(D198:D199)</f>
        <v>5274.0361499999999</v>
      </c>
      <c r="E197" s="331">
        <f t="shared" si="113"/>
        <v>4929.8032789807348</v>
      </c>
      <c r="F197" s="331">
        <f t="shared" si="113"/>
        <v>4821.2938999408907</v>
      </c>
      <c r="G197" s="331">
        <f t="shared" si="113"/>
        <v>4826.8496399453943</v>
      </c>
      <c r="H197" s="402">
        <f t="shared" si="113"/>
        <v>4848.9151057698036</v>
      </c>
      <c r="I197" s="14">
        <f t="shared" si="113"/>
        <v>5026.5140922360824</v>
      </c>
      <c r="J197" s="14">
        <f t="shared" si="113"/>
        <v>5229.9417503432214</v>
      </c>
      <c r="K197" s="14">
        <f t="shared" si="113"/>
        <v>5425.7010652950758</v>
      </c>
      <c r="L197" s="14">
        <f t="shared" si="113"/>
        <v>5574.152587598046</v>
      </c>
      <c r="M197" s="14">
        <f t="shared" si="113"/>
        <v>5600.0884244566778</v>
      </c>
      <c r="N197" s="187">
        <f t="shared" si="113"/>
        <v>5600.0884516634997</v>
      </c>
      <c r="O197" s="14">
        <f t="shared" si="113"/>
        <v>5600.0885468148372</v>
      </c>
      <c r="P197" s="14">
        <f t="shared" si="113"/>
        <v>5600.0882258609563</v>
      </c>
      <c r="Q197" s="14">
        <f t="shared" si="113"/>
        <v>5602.269827805666</v>
      </c>
      <c r="R197" s="14">
        <f t="shared" si="113"/>
        <v>5602.2695389326655</v>
      </c>
      <c r="S197" s="15">
        <f t="shared" si="113"/>
        <v>5602.2802370153258</v>
      </c>
      <c r="T197" s="14">
        <f t="shared" si="113"/>
        <v>5603.0988459143273</v>
      </c>
      <c r="U197" s="14">
        <f t="shared" si="113"/>
        <v>5603.596578780971</v>
      </c>
      <c r="V197" s="14">
        <f t="shared" si="113"/>
        <v>5606.4146363139407</v>
      </c>
      <c r="W197" s="14">
        <f t="shared" si="113"/>
        <v>5609.1674751701785</v>
      </c>
      <c r="X197" s="187">
        <f t="shared" si="113"/>
        <v>5612.2390083022347</v>
      </c>
      <c r="Y197" s="158">
        <f t="shared" si="113"/>
        <v>5612.2390638071811</v>
      </c>
      <c r="Z197" s="158">
        <f t="shared" si="113"/>
        <v>5614.0207446780205</v>
      </c>
      <c r="AA197" s="158">
        <f t="shared" si="113"/>
        <v>5614.0207233272158</v>
      </c>
      <c r="AB197" s="158">
        <f t="shared" si="113"/>
        <v>5614.0207884709353</v>
      </c>
      <c r="AC197" s="158">
        <f t="shared" si="113"/>
        <v>5615.7117701115221</v>
      </c>
      <c r="AD197" s="158">
        <f t="shared" si="113"/>
        <v>5616.8829482853271</v>
      </c>
      <c r="AE197" s="158">
        <f t="shared" si="113"/>
        <v>5616.8831068708896</v>
      </c>
      <c r="AF197" s="158">
        <f t="shared" si="113"/>
        <v>5617.9457015094113</v>
      </c>
      <c r="AG197" s="158">
        <f t="shared" si="113"/>
        <v>5617.9456067218425</v>
      </c>
      <c r="AH197" s="187">
        <f t="shared" si="113"/>
        <v>5617.9456463682336</v>
      </c>
    </row>
    <row r="198" spans="1:34">
      <c r="A198" t="s">
        <v>393</v>
      </c>
      <c r="C198" s="330">
        <f>SUM('Output - Jobs vs Yr (BAU)'!C40:C43)</f>
        <v>2534.8784999999998</v>
      </c>
      <c r="D198" s="330">
        <f>SUM('Output - Jobs vs Yr (BAU)'!D40:D43)</f>
        <v>2775.8085000000001</v>
      </c>
      <c r="E198" s="330">
        <f>SUM('Output - Jobs vs Yr (BAU)'!E40:E43)</f>
        <v>2594.6333047267026</v>
      </c>
      <c r="F198" s="330">
        <f>SUM('Output - Jobs vs Yr (BAU)'!F40:F43)</f>
        <v>2537.5231052320478</v>
      </c>
      <c r="G198" s="330">
        <f>SUM('Output - Jobs vs Yr (BAU)'!G40:G43)</f>
        <v>2540.4471789186287</v>
      </c>
      <c r="H198" s="286">
        <f>SUM('Output - Jobs vs Yr (BAU)'!H40:H43)</f>
        <v>2552.0605819841071</v>
      </c>
      <c r="I198" s="118">
        <f>SUM('Output - Jobs vs Yr (BAU)'!I40:I43)</f>
        <v>2645.5337327558327</v>
      </c>
      <c r="J198" s="118">
        <f>SUM('Output - Jobs vs Yr (BAU)'!J40:J43)</f>
        <v>2752.6009212332747</v>
      </c>
      <c r="K198" s="118">
        <f>SUM('Output - Jobs vs Yr (BAU)'!K40:K43)</f>
        <v>2855.6321396289873</v>
      </c>
      <c r="L198" s="118">
        <f>SUM('Output - Jobs vs Yr (BAU)'!L40:L43)</f>
        <v>2933.7645197884453</v>
      </c>
      <c r="M198" s="118">
        <f>SUM('Output - Jobs vs Yr (BAU)'!M40:M43)</f>
        <v>2947.4149602403568</v>
      </c>
      <c r="N198" s="177">
        <f>SUM('Output - Jobs vs Yr (BAU)'!N40:N43)</f>
        <v>2947.4149745597365</v>
      </c>
      <c r="O198" s="118">
        <f>SUM('Output - Jobs vs Yr (BAU)'!O40:O43)</f>
        <v>2947.4150246393879</v>
      </c>
      <c r="P198" s="118">
        <f>SUM('Output - Jobs vs Yr (BAU)'!P40:P43)</f>
        <v>2947.4148557162925</v>
      </c>
      <c r="Q198" s="118">
        <f>SUM('Output - Jobs vs Yr (BAU)'!Q40:Q43)</f>
        <v>2948.56306726614</v>
      </c>
      <c r="R198" s="118">
        <f>SUM('Output - Jobs vs Yr (BAU)'!R40:R43)</f>
        <v>2948.5629152277183</v>
      </c>
      <c r="S198" s="118">
        <f>SUM('Output - Jobs vs Yr (BAU)'!S40:S43)</f>
        <v>2948.5685457975401</v>
      </c>
      <c r="T198" s="118">
        <f>SUM('Output - Jobs vs Yr (BAU)'!T40:T43)</f>
        <v>2948.9993925864878</v>
      </c>
      <c r="U198" s="118">
        <f>SUM('Output - Jobs vs Yr (BAU)'!U40:U43)</f>
        <v>2949.2613572531427</v>
      </c>
      <c r="V198" s="118">
        <f>SUM('Output - Jobs vs Yr (BAU)'!V40:V43)</f>
        <v>2950.7445454283898</v>
      </c>
      <c r="W198" s="118">
        <f>SUM('Output - Jobs vs Yr (BAU)'!W40:W43)</f>
        <v>2952.1934079843045</v>
      </c>
      <c r="X198" s="184">
        <f>SUM('Output - Jobs vs Yr (BAU)'!X40:X43)</f>
        <v>2953.8100043695968</v>
      </c>
      <c r="Y198" s="271">
        <f>SUM('Output - Jobs vs Yr (BAU)'!Y40:Y43)</f>
        <v>2953.8100335827271</v>
      </c>
      <c r="Z198" s="271">
        <f>SUM('Output - Jobs vs Yr (BAU)'!Z40:Z43)</f>
        <v>2954.7477603568532</v>
      </c>
      <c r="AA198" s="271">
        <f>SUM('Output - Jobs vs Yr (BAU)'!AA40:AA43)</f>
        <v>2954.7477491195873</v>
      </c>
      <c r="AB198" s="271">
        <f>SUM('Output - Jobs vs Yr (BAU)'!AB40:AB43)</f>
        <v>2954.7477834057554</v>
      </c>
      <c r="AC198" s="271">
        <f>SUM('Output - Jobs vs Yr (BAU)'!AC40:AC43)</f>
        <v>2955.6377737429061</v>
      </c>
      <c r="AD198" s="271">
        <f>SUM('Output - Jobs vs Yr (BAU)'!AD40:AD43)</f>
        <v>2956.2541833080668</v>
      </c>
      <c r="AE198" s="271">
        <f>SUM('Output - Jobs vs Yr (BAU)'!AE40:AE43)</f>
        <v>2956.2542667741527</v>
      </c>
      <c r="AF198" s="271">
        <f>SUM('Output - Jobs vs Yr (BAU)'!AF40:AF43)</f>
        <v>2956.8135271102165</v>
      </c>
      <c r="AG198" s="271">
        <f>SUM('Output - Jobs vs Yr (BAU)'!AG40:AG43)</f>
        <v>2956.8134772220224</v>
      </c>
      <c r="AH198" s="184">
        <f>SUM('Output - Jobs vs Yr (BAU)'!AH40:AH43)</f>
        <v>2956.8134980885438</v>
      </c>
    </row>
    <row r="199" spans="1:34">
      <c r="A199" t="s">
        <v>392</v>
      </c>
      <c r="C199" s="330">
        <f>SUM('Output - Jobs vs Yr (BAU)'!C58:C61)</f>
        <v>2281.3906500000003</v>
      </c>
      <c r="D199" s="330">
        <f>SUM('Output - Jobs vs Yr (BAU)'!D58:D61)</f>
        <v>2498.2276500000003</v>
      </c>
      <c r="E199" s="330">
        <f>SUM('Output - Jobs vs Yr (BAU)'!E58:E61)</f>
        <v>2335.1699742540322</v>
      </c>
      <c r="F199" s="330">
        <f>SUM('Output - Jobs vs Yr (BAU)'!F58:F61)</f>
        <v>2283.7707947088434</v>
      </c>
      <c r="G199" s="330">
        <f>SUM('Output - Jobs vs Yr (BAU)'!G58:G61)</f>
        <v>2286.4024610267656</v>
      </c>
      <c r="H199" s="286">
        <f>SUM('Output - Jobs vs Yr (BAU)'!H58:H61)</f>
        <v>2296.8545237856965</v>
      </c>
      <c r="I199" s="118">
        <f>SUM('Output - Jobs vs Yr (BAU)'!I58:I61)</f>
        <v>2380.9803594802497</v>
      </c>
      <c r="J199" s="118">
        <f>SUM('Output - Jobs vs Yr (BAU)'!J58:J61)</f>
        <v>2477.3408291099472</v>
      </c>
      <c r="K199" s="118">
        <f>SUM('Output - Jobs vs Yr (BAU)'!K58:K61)</f>
        <v>2570.0689256660885</v>
      </c>
      <c r="L199" s="118">
        <f>SUM('Output - Jobs vs Yr (BAU)'!L58:L61)</f>
        <v>2640.3880678096007</v>
      </c>
      <c r="M199" s="118">
        <f>SUM('Output - Jobs vs Yr (BAU)'!M58:M61)</f>
        <v>2652.673464216321</v>
      </c>
      <c r="N199" s="177">
        <f>SUM('Output - Jobs vs Yr (BAU)'!N58:N61)</f>
        <v>2652.6734771037627</v>
      </c>
      <c r="O199" s="118">
        <f>SUM('Output - Jobs vs Yr (BAU)'!O58:O61)</f>
        <v>2652.6735221754489</v>
      </c>
      <c r="P199" s="118">
        <f>SUM('Output - Jobs vs Yr (BAU)'!P58:P61)</f>
        <v>2652.6733701446633</v>
      </c>
      <c r="Q199" s="118">
        <f>SUM('Output - Jobs vs Yr (BAU)'!Q58:Q61)</f>
        <v>2653.7067605395259</v>
      </c>
      <c r="R199" s="118">
        <f>SUM('Output - Jobs vs Yr (BAU)'!R58:R61)</f>
        <v>2653.7066237049467</v>
      </c>
      <c r="S199" s="118">
        <f>SUM('Output - Jobs vs Yr (BAU)'!S58:S61)</f>
        <v>2653.7116912177858</v>
      </c>
      <c r="T199" s="118">
        <f>SUM('Output - Jobs vs Yr (BAU)'!T58:T61)</f>
        <v>2654.0994533278395</v>
      </c>
      <c r="U199" s="118">
        <f>SUM('Output - Jobs vs Yr (BAU)'!U58:U61)</f>
        <v>2654.3352215278283</v>
      </c>
      <c r="V199" s="118">
        <f>SUM('Output - Jobs vs Yr (BAU)'!V58:V61)</f>
        <v>2655.670090885551</v>
      </c>
      <c r="W199" s="118">
        <f>SUM('Output - Jobs vs Yr (BAU)'!W58:W61)</f>
        <v>2656.974067185874</v>
      </c>
      <c r="X199" s="184">
        <f>SUM('Output - Jobs vs Yr (BAU)'!X58:X61)</f>
        <v>2658.4290039326374</v>
      </c>
      <c r="Y199" s="271">
        <f>SUM('Output - Jobs vs Yr (BAU)'!Y58:Y61)</f>
        <v>2658.4290302244544</v>
      </c>
      <c r="Z199" s="271">
        <f>SUM('Output - Jobs vs Yr (BAU)'!Z58:Z61)</f>
        <v>2659.2729843211678</v>
      </c>
      <c r="AA199" s="271">
        <f>SUM('Output - Jobs vs Yr (BAU)'!AA58:AA61)</f>
        <v>2659.2729742076285</v>
      </c>
      <c r="AB199" s="271">
        <f>SUM('Output - Jobs vs Yr (BAU)'!AB58:AB61)</f>
        <v>2659.2730050651799</v>
      </c>
      <c r="AC199" s="271">
        <f>SUM('Output - Jobs vs Yr (BAU)'!AC58:AC61)</f>
        <v>2660.0739963686156</v>
      </c>
      <c r="AD199" s="271">
        <f>SUM('Output - Jobs vs Yr (BAU)'!AD58:AD61)</f>
        <v>2660.6287649772603</v>
      </c>
      <c r="AE199" s="271">
        <f>SUM('Output - Jobs vs Yr (BAU)'!AE58:AE61)</f>
        <v>2660.6288400967373</v>
      </c>
      <c r="AF199" s="271">
        <f>SUM('Output - Jobs vs Yr (BAU)'!AF58:AF61)</f>
        <v>2661.1321743991948</v>
      </c>
      <c r="AG199" s="271">
        <f>SUM('Output - Jobs vs Yr (BAU)'!AG58:AG61)</f>
        <v>2661.1321294998202</v>
      </c>
      <c r="AH199" s="184">
        <f>SUM('Output - Jobs vs Yr (BAU)'!AH58:AH61)</f>
        <v>2661.1321482796898</v>
      </c>
    </row>
    <row r="200" spans="1:34">
      <c r="A200" t="s">
        <v>394</v>
      </c>
      <c r="C200" s="331">
        <f>SUM(C201:C202)</f>
        <v>14017.630000000001</v>
      </c>
      <c r="D200" s="331">
        <f t="shared" ref="D200:AH200" si="114">SUM(D201:D202)</f>
        <v>15731.012000000001</v>
      </c>
      <c r="E200" s="331">
        <f t="shared" si="114"/>
        <v>14498.419672238671</v>
      </c>
      <c r="F200" s="331">
        <f t="shared" si="114"/>
        <v>15656.989394745149</v>
      </c>
      <c r="G200" s="331">
        <f t="shared" si="114"/>
        <v>14711.567181288072</v>
      </c>
      <c r="H200" s="402">
        <f t="shared" si="114"/>
        <v>14364.263572673461</v>
      </c>
      <c r="I200" s="14">
        <f t="shared" si="114"/>
        <v>14896.469319363228</v>
      </c>
      <c r="J200" s="14">
        <f t="shared" si="114"/>
        <v>15689.262575224544</v>
      </c>
      <c r="K200" s="14">
        <f t="shared" si="114"/>
        <v>15392.845425756121</v>
      </c>
      <c r="L200" s="14">
        <f t="shared" si="114"/>
        <v>15338.955180182438</v>
      </c>
      <c r="M200" s="14">
        <f t="shared" si="114"/>
        <v>15558.965127759957</v>
      </c>
      <c r="N200" s="187">
        <f t="shared" si="114"/>
        <v>15882.98360375606</v>
      </c>
      <c r="O200" s="14">
        <f t="shared" si="114"/>
        <v>16093.434706309312</v>
      </c>
      <c r="P200" s="14">
        <f t="shared" si="114"/>
        <v>16371.409372003071</v>
      </c>
      <c r="Q200" s="14">
        <f t="shared" si="114"/>
        <v>16825.391398877971</v>
      </c>
      <c r="R200" s="14">
        <f t="shared" si="114"/>
        <v>17162.946757444312</v>
      </c>
      <c r="S200" s="15">
        <f t="shared" si="114"/>
        <v>17359.645242823954</v>
      </c>
      <c r="T200" s="14">
        <f t="shared" si="114"/>
        <v>17561.705323882165</v>
      </c>
      <c r="U200" s="14">
        <f t="shared" si="114"/>
        <v>17763.227181902184</v>
      </c>
      <c r="V200" s="14">
        <f t="shared" si="114"/>
        <v>17996.816246599112</v>
      </c>
      <c r="W200" s="14">
        <f t="shared" si="114"/>
        <v>18089.03497292551</v>
      </c>
      <c r="X200" s="187">
        <f t="shared" si="114"/>
        <v>18301.805840672117</v>
      </c>
      <c r="Y200" s="158">
        <f t="shared" si="114"/>
        <v>18389.455724554118</v>
      </c>
      <c r="Z200" s="158">
        <f t="shared" si="114"/>
        <v>18538.304760585794</v>
      </c>
      <c r="AA200" s="158">
        <f t="shared" si="114"/>
        <v>18642.199247900826</v>
      </c>
      <c r="AB200" s="158">
        <f t="shared" si="114"/>
        <v>18788.747210516562</v>
      </c>
      <c r="AC200" s="158">
        <f t="shared" si="114"/>
        <v>19022.168441087622</v>
      </c>
      <c r="AD200" s="158">
        <f t="shared" si="114"/>
        <v>19230.409446213944</v>
      </c>
      <c r="AE200" s="158">
        <f t="shared" si="114"/>
        <v>19563.223808608862</v>
      </c>
      <c r="AF200" s="158">
        <f t="shared" si="114"/>
        <v>19932.535559257456</v>
      </c>
      <c r="AG200" s="158">
        <f t="shared" si="114"/>
        <v>20221.872826552684</v>
      </c>
      <c r="AH200" s="187">
        <f t="shared" si="114"/>
        <v>20446.862694073916</v>
      </c>
    </row>
    <row r="201" spans="1:34">
      <c r="A201" t="s">
        <v>395</v>
      </c>
      <c r="C201" s="330">
        <f>SUM('Output - Jobs vs Yr (BAU)'!C53:C54)</f>
        <v>7377.7</v>
      </c>
      <c r="D201" s="330">
        <f>SUM('Output - Jobs vs Yr (BAU)'!D53:D54)</f>
        <v>8279.48</v>
      </c>
      <c r="E201" s="330">
        <f>SUM('Output - Jobs vs Yr (BAU)'!E53:E54)</f>
        <v>7630.7471959150898</v>
      </c>
      <c r="F201" s="330">
        <f>SUM('Output - Jobs vs Yr (BAU)'!F53:F54)</f>
        <v>8240.5207340763936</v>
      </c>
      <c r="G201" s="330">
        <f>SUM('Output - Jobs vs Yr (BAU)'!G53:G54)</f>
        <v>7742.9300954147748</v>
      </c>
      <c r="H201" s="286">
        <f>SUM('Output - Jobs vs Yr (BAU)'!H53:H54)</f>
        <v>7560.1387224597165</v>
      </c>
      <c r="I201" s="118">
        <f>SUM('Output - Jobs vs Yr (BAU)'!I53:I54)</f>
        <v>7840.2470101911731</v>
      </c>
      <c r="J201" s="118">
        <f>SUM('Output - Jobs vs Yr (BAU)'!J53:J54)</f>
        <v>8257.5066185392334</v>
      </c>
      <c r="K201" s="118">
        <f>SUM('Output - Jobs vs Yr (BAU)'!K53:K54)</f>
        <v>8101.4975925032213</v>
      </c>
      <c r="L201" s="118">
        <f>SUM('Output - Jobs vs Yr (BAU)'!L53:L54)</f>
        <v>8073.1343053591772</v>
      </c>
      <c r="M201" s="118">
        <f>SUM('Output - Jobs vs Yr (BAU)'!M53:M54)</f>
        <v>8188.9290146105031</v>
      </c>
      <c r="N201" s="177">
        <f>SUM('Output - Jobs vs Yr (BAU)'!N53:N54)</f>
        <v>8359.4650546084522</v>
      </c>
      <c r="O201" s="118">
        <f>SUM('Output - Jobs vs Yr (BAU)'!O53:O54)</f>
        <v>8470.2287927943744</v>
      </c>
      <c r="P201" s="118">
        <f>SUM('Output - Jobs vs Yr (BAU)'!P53:P54)</f>
        <v>8616.5312484226688</v>
      </c>
      <c r="Q201" s="118">
        <f>SUM('Output - Jobs vs Yr (BAU)'!Q53:Q54)</f>
        <v>8855.4691573041946</v>
      </c>
      <c r="R201" s="118">
        <f>SUM('Output - Jobs vs Yr (BAU)'!R53:R54)</f>
        <v>9033.1298723391119</v>
      </c>
      <c r="S201" s="118">
        <f>SUM('Output - Jobs vs Yr (BAU)'!S53:S54)</f>
        <v>9136.6553909599752</v>
      </c>
      <c r="T201" s="118">
        <f>SUM('Output - Jobs vs Yr (BAU)'!T53:T54)</f>
        <v>9243.0028020432437</v>
      </c>
      <c r="U201" s="118">
        <f>SUM('Output - Jobs vs Yr (BAU)'!U53:U54)</f>
        <v>9349.066937843254</v>
      </c>
      <c r="V201" s="118">
        <f>SUM('Output - Jobs vs Yr (BAU)'!V53:V54)</f>
        <v>9472.0085508416378</v>
      </c>
      <c r="W201" s="118">
        <f>SUM('Output - Jobs vs Yr (BAU)'!W53:W54)</f>
        <v>9520.5447225923745</v>
      </c>
      <c r="X201" s="184">
        <f>SUM('Output - Jobs vs Yr (BAU)'!X53:X54)</f>
        <v>9632.5293898274304</v>
      </c>
      <c r="Y201" s="271">
        <f>SUM('Output - Jobs vs Yr (BAU)'!Y53:Y54)</f>
        <v>9678.6609076600616</v>
      </c>
      <c r="Z201" s="271">
        <f>SUM('Output - Jobs vs Yr (BAU)'!Z53:Z54)</f>
        <v>9757.0025055714686</v>
      </c>
      <c r="AA201" s="271">
        <f>SUM('Output - Jobs vs Yr (BAU)'!AA53:AA54)</f>
        <v>9811.6838146846439</v>
      </c>
      <c r="AB201" s="271">
        <f>SUM('Output - Jobs vs Yr (BAU)'!AB53:AB54)</f>
        <v>9888.8143213245057</v>
      </c>
      <c r="AC201" s="271">
        <f>SUM('Output - Jobs vs Yr (BAU)'!AC53:AC54)</f>
        <v>10011.667600572433</v>
      </c>
      <c r="AD201" s="271">
        <f>SUM('Output - Jobs vs Yr (BAU)'!AD53:AD54)</f>
        <v>10121.268129586286</v>
      </c>
      <c r="AE201" s="271">
        <f>SUM('Output - Jobs vs Yr (BAU)'!AE53:AE54)</f>
        <v>10296.433583478349</v>
      </c>
      <c r="AF201" s="271">
        <f>SUM('Output - Jobs vs Yr (BAU)'!AF53:AF54)</f>
        <v>10490.808189082873</v>
      </c>
      <c r="AG201" s="271">
        <f>SUM('Output - Jobs vs Yr (BAU)'!AG53:AG54)</f>
        <v>10643.090961343518</v>
      </c>
      <c r="AH201" s="184">
        <f>SUM('Output - Jobs vs Yr (BAU)'!AH53:AH54)</f>
        <v>10761.506681091534</v>
      </c>
    </row>
    <row r="202" spans="1:34">
      <c r="A202" t="s">
        <v>396</v>
      </c>
      <c r="C202" s="330">
        <f>SUM('Output - Jobs vs Yr (BAU)'!C71:C72)</f>
        <v>6639.93</v>
      </c>
      <c r="D202" s="330">
        <f>SUM('Output - Jobs vs Yr (BAU)'!D71:D72)</f>
        <v>7451.5320000000011</v>
      </c>
      <c r="E202" s="330">
        <f>SUM('Output - Jobs vs Yr (BAU)'!E71:E72)</f>
        <v>6867.6724763235816</v>
      </c>
      <c r="F202" s="330">
        <f>SUM('Output - Jobs vs Yr (BAU)'!F71:F72)</f>
        <v>7416.4686606687546</v>
      </c>
      <c r="G202" s="330">
        <f>SUM('Output - Jobs vs Yr (BAU)'!G71:G72)</f>
        <v>6968.6370858732971</v>
      </c>
      <c r="H202" s="286">
        <f>SUM('Output - Jobs vs Yr (BAU)'!H71:H72)</f>
        <v>6804.1248502137441</v>
      </c>
      <c r="I202" s="118">
        <f>SUM('Output - Jobs vs Yr (BAU)'!I71:I72)</f>
        <v>7056.2223091720552</v>
      </c>
      <c r="J202" s="118">
        <f>SUM('Output - Jobs vs Yr (BAU)'!J71:J72)</f>
        <v>7431.7559566853106</v>
      </c>
      <c r="K202" s="118">
        <f>SUM('Output - Jobs vs Yr (BAU)'!K71:K72)</f>
        <v>7291.3478332529003</v>
      </c>
      <c r="L202" s="118">
        <f>SUM('Output - Jobs vs Yr (BAU)'!L71:L72)</f>
        <v>7265.8208748232601</v>
      </c>
      <c r="M202" s="118">
        <f>SUM('Output - Jobs vs Yr (BAU)'!M71:M72)</f>
        <v>7370.0361131494537</v>
      </c>
      <c r="N202" s="177">
        <f>SUM('Output - Jobs vs Yr (BAU)'!N71:N72)</f>
        <v>7523.5185491476077</v>
      </c>
      <c r="O202" s="118">
        <f>SUM('Output - Jobs vs Yr (BAU)'!O71:O72)</f>
        <v>7623.2059135149375</v>
      </c>
      <c r="P202" s="118">
        <f>SUM('Output - Jobs vs Yr (BAU)'!P71:P72)</f>
        <v>7754.8781235804017</v>
      </c>
      <c r="Q202" s="118">
        <f>SUM('Output - Jobs vs Yr (BAU)'!Q71:Q72)</f>
        <v>7969.9222415737768</v>
      </c>
      <c r="R202" s="118">
        <f>SUM('Output - Jobs vs Yr (BAU)'!R71:R72)</f>
        <v>8129.8168851052014</v>
      </c>
      <c r="S202" s="118">
        <f>SUM('Output - Jobs vs Yr (BAU)'!S71:S72)</f>
        <v>8222.9898518639784</v>
      </c>
      <c r="T202" s="118">
        <f>SUM('Output - Jobs vs Yr (BAU)'!T71:T72)</f>
        <v>8318.7025218389208</v>
      </c>
      <c r="U202" s="118">
        <f>SUM('Output - Jobs vs Yr (BAU)'!U71:U72)</f>
        <v>8414.1602440589286</v>
      </c>
      <c r="V202" s="118">
        <f>SUM('Output - Jobs vs Yr (BAU)'!V71:V72)</f>
        <v>8524.807695757474</v>
      </c>
      <c r="W202" s="118">
        <f>SUM('Output - Jobs vs Yr (BAU)'!W71:W72)</f>
        <v>8568.4902503331377</v>
      </c>
      <c r="X202" s="184">
        <f>SUM('Output - Jobs vs Yr (BAU)'!X71:X72)</f>
        <v>8669.2764508446871</v>
      </c>
      <c r="Y202" s="271">
        <f>SUM('Output - Jobs vs Yr (BAU)'!Y71:Y72)</f>
        <v>8710.7948168940566</v>
      </c>
      <c r="Z202" s="271">
        <f>SUM('Output - Jobs vs Yr (BAU)'!Z71:Z72)</f>
        <v>8781.3022550143232</v>
      </c>
      <c r="AA202" s="271">
        <f>SUM('Output - Jobs vs Yr (BAU)'!AA71:AA72)</f>
        <v>8830.5154332161801</v>
      </c>
      <c r="AB202" s="271">
        <f>SUM('Output - Jobs vs Yr (BAU)'!AB71:AB72)</f>
        <v>8899.9328891920559</v>
      </c>
      <c r="AC202" s="271">
        <f>SUM('Output - Jobs vs Yr (BAU)'!AC71:AC72)</f>
        <v>9010.5008405151893</v>
      </c>
      <c r="AD202" s="271">
        <f>SUM('Output - Jobs vs Yr (BAU)'!AD71:AD72)</f>
        <v>9109.1413166276579</v>
      </c>
      <c r="AE202" s="271">
        <f>SUM('Output - Jobs vs Yr (BAU)'!AE71:AE72)</f>
        <v>9266.7902251305131</v>
      </c>
      <c r="AF202" s="271">
        <f>SUM('Output - Jobs vs Yr (BAU)'!AF71:AF72)</f>
        <v>9441.7273701745853</v>
      </c>
      <c r="AG202" s="271">
        <f>SUM('Output - Jobs vs Yr (BAU)'!AG71:AG72)</f>
        <v>9578.7818652091664</v>
      </c>
      <c r="AH202" s="184">
        <f>SUM('Output - Jobs vs Yr (BAU)'!AH71:AH72)</f>
        <v>9685.3560129823818</v>
      </c>
    </row>
    <row r="203" spans="1:34">
      <c r="A203" s="1" t="s">
        <v>425</v>
      </c>
      <c r="C203" s="331">
        <f>SUM(C191,C194,C197,C200)</f>
        <v>19750.407279999999</v>
      </c>
      <c r="D203" s="331">
        <f t="shared" ref="D203:AH203" si="115">SUM(D191,D194,D197,D200)</f>
        <v>21959.860280000001</v>
      </c>
      <c r="E203" s="331">
        <f t="shared" si="115"/>
        <v>20522.704116946872</v>
      </c>
      <c r="F203" s="331">
        <f t="shared" si="115"/>
        <v>21535.192190171088</v>
      </c>
      <c r="G203" s="331">
        <f t="shared" si="115"/>
        <v>20709.076495501686</v>
      </c>
      <c r="H203" s="402">
        <f t="shared" si="115"/>
        <v>20417.617857740152</v>
      </c>
      <c r="I203" s="14">
        <f t="shared" si="115"/>
        <v>21171.631058752388</v>
      </c>
      <c r="J203" s="14">
        <f t="shared" si="115"/>
        <v>22240.326588280313</v>
      </c>
      <c r="K203" s="14">
        <f t="shared" si="115"/>
        <v>22251.264170926803</v>
      </c>
      <c r="L203" s="14">
        <f t="shared" si="115"/>
        <v>22409.946804463361</v>
      </c>
      <c r="M203" s="132">
        <f t="shared" si="115"/>
        <v>22716.027357718966</v>
      </c>
      <c r="N203" s="193">
        <f t="shared" si="115"/>
        <v>23116.599330025791</v>
      </c>
      <c r="O203" s="14">
        <f t="shared" si="115"/>
        <v>23445.208105985934</v>
      </c>
      <c r="P203" s="14">
        <f t="shared" si="115"/>
        <v>23803.343766663726</v>
      </c>
      <c r="Q203" s="14">
        <f t="shared" si="115"/>
        <v>24489.36071336209</v>
      </c>
      <c r="R203" s="14">
        <f t="shared" si="115"/>
        <v>24916.499452479417</v>
      </c>
      <c r="S203" s="14">
        <f t="shared" si="115"/>
        <v>25391.055721668585</v>
      </c>
      <c r="T203" s="14">
        <f t="shared" si="115"/>
        <v>25675.66422906255</v>
      </c>
      <c r="U203" s="14">
        <f t="shared" si="115"/>
        <v>25933.328535386212</v>
      </c>
      <c r="V203" s="14">
        <f t="shared" si="115"/>
        <v>26221.632557409885</v>
      </c>
      <c r="W203" s="14">
        <f t="shared" si="115"/>
        <v>26630.747706498343</v>
      </c>
      <c r="X203" s="187">
        <f t="shared" si="115"/>
        <v>26894.235593519188</v>
      </c>
      <c r="Y203" s="158">
        <f t="shared" si="115"/>
        <v>27021.798168453719</v>
      </c>
      <c r="Z203" s="158">
        <f t="shared" si="115"/>
        <v>27202.383529218096</v>
      </c>
      <c r="AA203" s="158">
        <f t="shared" si="115"/>
        <v>27346.432634598299</v>
      </c>
      <c r="AB203" s="158">
        <f t="shared" si="115"/>
        <v>27539.161916692443</v>
      </c>
      <c r="AC203" s="158">
        <f t="shared" si="115"/>
        <v>27813.655598155954</v>
      </c>
      <c r="AD203" s="158">
        <f t="shared" si="115"/>
        <v>28077.90158724799</v>
      </c>
      <c r="AE203" s="158">
        <f t="shared" si="115"/>
        <v>28469.92786241119</v>
      </c>
      <c r="AF203" s="158">
        <f t="shared" si="115"/>
        <v>28908.486294913513</v>
      </c>
      <c r="AG203" s="158">
        <f t="shared" si="115"/>
        <v>29268.844429968722</v>
      </c>
      <c r="AH203" s="187">
        <f t="shared" si="115"/>
        <v>29557.460956199146</v>
      </c>
    </row>
    <row r="204" spans="1:34">
      <c r="A204" s="1" t="s">
        <v>448</v>
      </c>
      <c r="C204" s="331"/>
      <c r="D204" s="331">
        <f>D194+D197</f>
        <v>6228.8482800000002</v>
      </c>
      <c r="E204" s="331">
        <f t="shared" ref="E204:AH204" si="116">E194+E197</f>
        <v>6024.2844447082007</v>
      </c>
      <c r="F204" s="331">
        <f t="shared" si="116"/>
        <v>5878.2027954259402</v>
      </c>
      <c r="G204" s="331">
        <f t="shared" si="116"/>
        <v>5997.5093142136147</v>
      </c>
      <c r="H204" s="402">
        <f t="shared" si="116"/>
        <v>6053.3542850666927</v>
      </c>
      <c r="I204" s="14">
        <f t="shared" si="116"/>
        <v>6275.1617393891593</v>
      </c>
      <c r="J204" s="14">
        <f t="shared" si="116"/>
        <v>6551.0640130557695</v>
      </c>
      <c r="K204" s="14">
        <f t="shared" si="116"/>
        <v>6858.4187451706812</v>
      </c>
      <c r="L204" s="14">
        <f t="shared" si="116"/>
        <v>7070.9916242809213</v>
      </c>
      <c r="M204" s="14">
        <f t="shared" si="116"/>
        <v>7157.0622299590104</v>
      </c>
      <c r="N204" s="187">
        <f t="shared" si="116"/>
        <v>7233.6157262697297</v>
      </c>
      <c r="O204" s="14">
        <f t="shared" si="116"/>
        <v>7351.773399676621</v>
      </c>
      <c r="P204" s="14">
        <f t="shared" si="116"/>
        <v>7431.9343946606532</v>
      </c>
      <c r="Q204" s="14">
        <f t="shared" si="116"/>
        <v>7663.9693144841203</v>
      </c>
      <c r="R204" s="14">
        <f t="shared" si="116"/>
        <v>7753.5526950351032</v>
      </c>
      <c r="S204" s="14">
        <f t="shared" si="116"/>
        <v>8031.4104788446302</v>
      </c>
      <c r="T204" s="14">
        <f t="shared" si="116"/>
        <v>8113.958905180385</v>
      </c>
      <c r="U204" s="14">
        <f t="shared" si="116"/>
        <v>8170.1013534840276</v>
      </c>
      <c r="V204" s="14">
        <f t="shared" si="116"/>
        <v>8224.8163108107728</v>
      </c>
      <c r="W204" s="14">
        <f t="shared" si="116"/>
        <v>8541.7127335728328</v>
      </c>
      <c r="X204" s="187">
        <f t="shared" si="116"/>
        <v>8592.4297528470706</v>
      </c>
      <c r="Y204" s="158">
        <f t="shared" si="116"/>
        <v>8632.3424438996008</v>
      </c>
      <c r="Z204" s="158">
        <f t="shared" si="116"/>
        <v>8664.0787686323001</v>
      </c>
      <c r="AA204" s="158">
        <f t="shared" si="116"/>
        <v>8704.2333866974732</v>
      </c>
      <c r="AB204" s="158">
        <f t="shared" si="116"/>
        <v>8750.4147061758795</v>
      </c>
      <c r="AC204" s="158">
        <f t="shared" si="116"/>
        <v>8791.4871570683317</v>
      </c>
      <c r="AD204" s="158">
        <f t="shared" si="116"/>
        <v>8847.4921410340467</v>
      </c>
      <c r="AE204" s="158">
        <f t="shared" si="116"/>
        <v>8906.7040538023302</v>
      </c>
      <c r="AF204" s="158">
        <f t="shared" si="116"/>
        <v>8975.9507356560553</v>
      </c>
      <c r="AG204" s="158">
        <f t="shared" si="116"/>
        <v>9046.9716034160374</v>
      </c>
      <c r="AH204" s="187">
        <f t="shared" si="116"/>
        <v>9110.5982621252315</v>
      </c>
    </row>
    <row r="205" spans="1:34">
      <c r="A205" s="1"/>
      <c r="C205" s="331"/>
      <c r="D205" s="331"/>
      <c r="E205" s="331"/>
      <c r="F205" s="331"/>
      <c r="G205" s="331"/>
      <c r="H205" s="402"/>
      <c r="I205" s="14"/>
      <c r="J205" s="14"/>
      <c r="K205" s="14"/>
      <c r="L205" s="14"/>
      <c r="M205" s="14"/>
      <c r="N205" s="187"/>
      <c r="O205" s="14"/>
      <c r="P205" s="14"/>
      <c r="Q205" s="14"/>
      <c r="R205" s="14"/>
      <c r="S205" s="14"/>
      <c r="T205" s="14"/>
      <c r="U205" s="14"/>
      <c r="V205" s="14"/>
      <c r="W205" s="14"/>
      <c r="X205" s="187"/>
    </row>
    <row r="206" spans="1:34">
      <c r="A206" s="1" t="s">
        <v>453</v>
      </c>
      <c r="C206" s="331"/>
      <c r="D206" s="331">
        <f>D194</f>
        <v>954.81213000000002</v>
      </c>
      <c r="E206" s="331">
        <f>D206+E194</f>
        <v>2049.2932957274652</v>
      </c>
      <c r="F206" s="331">
        <f>E206+F194</f>
        <v>3106.2021912125147</v>
      </c>
      <c r="G206" s="331">
        <f>F206+G194</f>
        <v>4276.8618654807351</v>
      </c>
      <c r="H206" s="402">
        <f t="shared" ref="H206:X206" si="117">G206+H194</f>
        <v>5481.3010447776232</v>
      </c>
      <c r="I206" s="14">
        <f t="shared" si="117"/>
        <v>6729.9486919307001</v>
      </c>
      <c r="J206" s="14">
        <f t="shared" si="117"/>
        <v>8051.0709546432481</v>
      </c>
      <c r="K206" s="14">
        <f t="shared" si="117"/>
        <v>9483.7886345188545</v>
      </c>
      <c r="L206" s="14">
        <f t="shared" si="117"/>
        <v>10980.62767120173</v>
      </c>
      <c r="M206" s="14">
        <f t="shared" si="117"/>
        <v>12537.601476704063</v>
      </c>
      <c r="N206" s="187">
        <f t="shared" si="117"/>
        <v>14171.128751310294</v>
      </c>
      <c r="O206" s="14">
        <f t="shared" si="117"/>
        <v>15922.813604172077</v>
      </c>
      <c r="P206" s="14">
        <f t="shared" si="117"/>
        <v>17754.659772971776</v>
      </c>
      <c r="Q206" s="14">
        <f t="shared" si="117"/>
        <v>19816.359259650231</v>
      </c>
      <c r="R206" s="14">
        <f t="shared" si="117"/>
        <v>21967.642415752671</v>
      </c>
      <c r="S206" s="14">
        <f t="shared" si="117"/>
        <v>24396.772657581976</v>
      </c>
      <c r="T206" s="14">
        <f t="shared" si="117"/>
        <v>26907.632716848035</v>
      </c>
      <c r="U206" s="14">
        <f t="shared" si="117"/>
        <v>29474.13749155109</v>
      </c>
      <c r="V206" s="14">
        <f t="shared" si="117"/>
        <v>32092.539166047922</v>
      </c>
      <c r="W206" s="14">
        <f t="shared" si="117"/>
        <v>35025.084424450579</v>
      </c>
      <c r="X206" s="187">
        <f t="shared" si="117"/>
        <v>38005.275168995417</v>
      </c>
      <c r="Y206" s="158">
        <f t="shared" ref="Y206:AH206" si="118">X206+Y194</f>
        <v>41025.378549087836</v>
      </c>
      <c r="Z206" s="158">
        <f t="shared" si="118"/>
        <v>44075.436573042112</v>
      </c>
      <c r="AA206" s="158">
        <f t="shared" si="118"/>
        <v>47165.64923641237</v>
      </c>
      <c r="AB206" s="158">
        <f t="shared" si="118"/>
        <v>50302.043154117317</v>
      </c>
      <c r="AC206" s="158">
        <f t="shared" si="118"/>
        <v>53477.818541074128</v>
      </c>
      <c r="AD206" s="158">
        <f t="shared" si="118"/>
        <v>56708.427733822849</v>
      </c>
      <c r="AE206" s="158">
        <f t="shared" si="118"/>
        <v>59998.248680754288</v>
      </c>
      <c r="AF206" s="158">
        <f t="shared" si="118"/>
        <v>63356.253714900929</v>
      </c>
      <c r="AG206" s="158">
        <f t="shared" si="118"/>
        <v>66785.279711595125</v>
      </c>
      <c r="AH206" s="187">
        <f t="shared" si="118"/>
        <v>70277.93232735213</v>
      </c>
    </row>
    <row r="207" spans="1:34">
      <c r="A207" s="1" t="s">
        <v>456</v>
      </c>
      <c r="C207" s="331"/>
      <c r="D207" s="331">
        <f>D200</f>
        <v>15731.012000000001</v>
      </c>
      <c r="E207" s="331">
        <f>D207+E200</f>
        <v>30229.431672238672</v>
      </c>
      <c r="F207" s="331">
        <f>E207+F200</f>
        <v>45886.421066983821</v>
      </c>
      <c r="G207" s="331">
        <f t="shared" ref="G207:X207" si="119">F207+G200</f>
        <v>60597.988248271897</v>
      </c>
      <c r="H207" s="402">
        <f t="shared" si="119"/>
        <v>74962.251820945356</v>
      </c>
      <c r="I207" s="14">
        <f t="shared" si="119"/>
        <v>89858.721140308582</v>
      </c>
      <c r="J207" s="14">
        <f t="shared" si="119"/>
        <v>105547.98371553313</v>
      </c>
      <c r="K207" s="14">
        <f t="shared" si="119"/>
        <v>120940.82914128926</v>
      </c>
      <c r="L207" s="14">
        <f t="shared" si="119"/>
        <v>136279.7843214717</v>
      </c>
      <c r="M207" s="14">
        <f t="shared" si="119"/>
        <v>151838.74944923166</v>
      </c>
      <c r="N207" s="187">
        <f t="shared" si="119"/>
        <v>167721.73305298772</v>
      </c>
      <c r="O207" s="14">
        <f t="shared" si="119"/>
        <v>183815.16775929704</v>
      </c>
      <c r="P207" s="14">
        <f t="shared" si="119"/>
        <v>200186.57713130012</v>
      </c>
      <c r="Q207" s="14">
        <f t="shared" si="119"/>
        <v>217011.9685301781</v>
      </c>
      <c r="R207" s="14">
        <f t="shared" si="119"/>
        <v>234174.91528762243</v>
      </c>
      <c r="S207" s="14">
        <f t="shared" si="119"/>
        <v>251534.56053044638</v>
      </c>
      <c r="T207" s="14">
        <f t="shared" si="119"/>
        <v>269096.26585432852</v>
      </c>
      <c r="U207" s="14">
        <f t="shared" si="119"/>
        <v>286859.49303623068</v>
      </c>
      <c r="V207" s="14">
        <f t="shared" si="119"/>
        <v>304856.30928282981</v>
      </c>
      <c r="W207" s="14">
        <f t="shared" si="119"/>
        <v>322945.34425575531</v>
      </c>
      <c r="X207" s="187">
        <f t="shared" si="119"/>
        <v>341247.15009642742</v>
      </c>
      <c r="Y207" s="158">
        <f t="shared" ref="Y207:AH207" si="120">X207+Y200</f>
        <v>359636.60582098155</v>
      </c>
      <c r="Z207" s="158">
        <f t="shared" si="120"/>
        <v>378174.91058156732</v>
      </c>
      <c r="AA207" s="158">
        <f t="shared" si="120"/>
        <v>396817.10982946813</v>
      </c>
      <c r="AB207" s="158">
        <f t="shared" si="120"/>
        <v>415605.85703998466</v>
      </c>
      <c r="AC207" s="158">
        <f t="shared" si="120"/>
        <v>434628.02548107231</v>
      </c>
      <c r="AD207" s="158">
        <f t="shared" si="120"/>
        <v>453858.43492728623</v>
      </c>
      <c r="AE207" s="158">
        <f t="shared" si="120"/>
        <v>473421.65873589506</v>
      </c>
      <c r="AF207" s="158">
        <f t="shared" si="120"/>
        <v>493354.1942951525</v>
      </c>
      <c r="AG207" s="158">
        <f t="shared" si="120"/>
        <v>513576.06712170516</v>
      </c>
      <c r="AH207" s="187">
        <f t="shared" si="120"/>
        <v>534022.92981577909</v>
      </c>
    </row>
    <row r="208" spans="1:34">
      <c r="A208" s="1"/>
      <c r="C208" s="331"/>
      <c r="D208" s="331"/>
      <c r="E208" s="331"/>
      <c r="F208" s="331"/>
      <c r="G208" s="331"/>
      <c r="H208" s="402"/>
      <c r="I208" s="14"/>
      <c r="J208" s="14"/>
      <c r="K208" s="14"/>
      <c r="L208" s="14"/>
      <c r="M208" s="14"/>
      <c r="N208" s="187"/>
      <c r="O208" s="14"/>
      <c r="P208" s="14"/>
      <c r="Q208" s="14"/>
      <c r="R208" s="14"/>
      <c r="S208" s="14"/>
      <c r="T208" s="14"/>
      <c r="U208" s="14"/>
      <c r="V208" s="14"/>
      <c r="W208" s="14"/>
      <c r="X208" s="187"/>
    </row>
    <row r="209" spans="1:34">
      <c r="A209" s="1" t="s">
        <v>412</v>
      </c>
      <c r="C209" s="331"/>
      <c r="D209" s="331"/>
      <c r="E209" s="331"/>
      <c r="F209" s="331"/>
      <c r="G209" s="331"/>
      <c r="H209" s="402"/>
      <c r="I209" s="14"/>
      <c r="J209" s="14"/>
      <c r="K209" s="14"/>
      <c r="L209" s="14"/>
      <c r="M209" s="14"/>
      <c r="N209" s="187"/>
      <c r="O209" s="14"/>
      <c r="P209" s="14"/>
      <c r="Q209" s="14"/>
      <c r="R209" s="14"/>
      <c r="S209" s="14"/>
      <c r="T209" s="14"/>
      <c r="U209" s="14"/>
      <c r="V209" s="14"/>
      <c r="W209" s="14"/>
      <c r="X209" s="187"/>
    </row>
    <row r="210" spans="1:34" s="1" customFormat="1">
      <c r="A210" s="1" t="s">
        <v>409</v>
      </c>
      <c r="B210" s="13"/>
      <c r="C210" s="341">
        <f>SUM(C211:C212)</f>
        <v>0</v>
      </c>
      <c r="D210" s="341">
        <f t="shared" ref="D210:AH210" si="121">SUM(D211:D212)</f>
        <v>0</v>
      </c>
      <c r="E210" s="341">
        <f t="shared" si="121"/>
        <v>0</v>
      </c>
      <c r="F210" s="341">
        <f t="shared" si="121"/>
        <v>0</v>
      </c>
      <c r="G210" s="341">
        <f t="shared" si="121"/>
        <v>0</v>
      </c>
      <c r="H210" s="405">
        <f t="shared" si="121"/>
        <v>0</v>
      </c>
      <c r="I210" s="15">
        <f t="shared" si="121"/>
        <v>0</v>
      </c>
      <c r="J210" s="15">
        <f t="shared" si="121"/>
        <v>0</v>
      </c>
      <c r="K210" s="15">
        <f t="shared" si="121"/>
        <v>0</v>
      </c>
      <c r="L210" s="15">
        <f t="shared" si="121"/>
        <v>0</v>
      </c>
      <c r="M210" s="15">
        <f t="shared" si="121"/>
        <v>0</v>
      </c>
      <c r="N210" s="190">
        <f t="shared" si="121"/>
        <v>0</v>
      </c>
      <c r="O210" s="15">
        <f>SUM(O211:O212)</f>
        <v>0</v>
      </c>
      <c r="P210" s="15">
        <f t="shared" si="121"/>
        <v>0</v>
      </c>
      <c r="Q210" s="15">
        <f t="shared" si="121"/>
        <v>0</v>
      </c>
      <c r="R210" s="15">
        <f t="shared" si="121"/>
        <v>0</v>
      </c>
      <c r="S210" s="15">
        <f t="shared" si="121"/>
        <v>0</v>
      </c>
      <c r="T210" s="15">
        <f t="shared" si="121"/>
        <v>0</v>
      </c>
      <c r="U210" s="15">
        <f t="shared" si="121"/>
        <v>0</v>
      </c>
      <c r="V210" s="15">
        <f t="shared" si="121"/>
        <v>0</v>
      </c>
      <c r="W210" s="15">
        <f t="shared" si="121"/>
        <v>0</v>
      </c>
      <c r="X210" s="190">
        <f t="shared" si="121"/>
        <v>0</v>
      </c>
      <c r="Y210" s="130">
        <f t="shared" si="121"/>
        <v>0</v>
      </c>
      <c r="Z210" s="130">
        <f t="shared" si="121"/>
        <v>0</v>
      </c>
      <c r="AA210" s="130">
        <f t="shared" si="121"/>
        <v>0</v>
      </c>
      <c r="AB210" s="130">
        <f t="shared" si="121"/>
        <v>0</v>
      </c>
      <c r="AC210" s="130">
        <f t="shared" si="121"/>
        <v>0</v>
      </c>
      <c r="AD210" s="130">
        <f t="shared" si="121"/>
        <v>0</v>
      </c>
      <c r="AE210" s="130">
        <f t="shared" si="121"/>
        <v>0</v>
      </c>
      <c r="AF210" s="130">
        <f t="shared" si="121"/>
        <v>0</v>
      </c>
      <c r="AG210" s="130">
        <f t="shared" si="121"/>
        <v>0</v>
      </c>
      <c r="AH210" s="190">
        <f t="shared" si="121"/>
        <v>0</v>
      </c>
    </row>
    <row r="211" spans="1:34">
      <c r="A211" t="s">
        <v>410</v>
      </c>
      <c r="C211" s="331">
        <f>C100</f>
        <v>0</v>
      </c>
      <c r="D211" s="331">
        <f t="shared" ref="D211:AH211" si="122">D100</f>
        <v>0</v>
      </c>
      <c r="E211" s="331">
        <f t="shared" si="122"/>
        <v>0</v>
      </c>
      <c r="F211" s="331">
        <f t="shared" si="122"/>
        <v>0</v>
      </c>
      <c r="G211" s="331">
        <f t="shared" si="122"/>
        <v>0</v>
      </c>
      <c r="H211" s="402">
        <f t="shared" si="122"/>
        <v>0</v>
      </c>
      <c r="I211" s="14">
        <f t="shared" si="122"/>
        <v>0</v>
      </c>
      <c r="J211" s="14">
        <f t="shared" si="122"/>
        <v>0</v>
      </c>
      <c r="K211" s="14">
        <f t="shared" si="122"/>
        <v>0</v>
      </c>
      <c r="L211" s="14">
        <f t="shared" si="122"/>
        <v>0</v>
      </c>
      <c r="M211" s="14">
        <f t="shared" si="122"/>
        <v>0</v>
      </c>
      <c r="N211" s="187">
        <f t="shared" si="122"/>
        <v>0</v>
      </c>
      <c r="O211" s="14">
        <f>O100</f>
        <v>0</v>
      </c>
      <c r="P211" s="14">
        <f t="shared" si="122"/>
        <v>0</v>
      </c>
      <c r="Q211" s="14">
        <f t="shared" si="122"/>
        <v>0</v>
      </c>
      <c r="R211" s="14">
        <f t="shared" si="122"/>
        <v>0</v>
      </c>
      <c r="S211" s="14">
        <f t="shared" si="122"/>
        <v>0</v>
      </c>
      <c r="T211" s="14">
        <f t="shared" si="122"/>
        <v>0</v>
      </c>
      <c r="U211" s="14">
        <f t="shared" si="122"/>
        <v>0</v>
      </c>
      <c r="V211" s="14">
        <f t="shared" si="122"/>
        <v>0</v>
      </c>
      <c r="W211" s="14">
        <f t="shared" si="122"/>
        <v>0</v>
      </c>
      <c r="X211" s="187">
        <f t="shared" si="122"/>
        <v>0</v>
      </c>
      <c r="Y211" s="158">
        <f t="shared" si="122"/>
        <v>0</v>
      </c>
      <c r="Z211" s="158">
        <f t="shared" si="122"/>
        <v>0</v>
      </c>
      <c r="AA211" s="158">
        <f t="shared" si="122"/>
        <v>0</v>
      </c>
      <c r="AB211" s="158">
        <f t="shared" si="122"/>
        <v>0</v>
      </c>
      <c r="AC211" s="158">
        <f t="shared" si="122"/>
        <v>0</v>
      </c>
      <c r="AD211" s="158">
        <f t="shared" si="122"/>
        <v>0</v>
      </c>
      <c r="AE211" s="158">
        <f t="shared" si="122"/>
        <v>0</v>
      </c>
      <c r="AF211" s="158">
        <f t="shared" si="122"/>
        <v>0</v>
      </c>
      <c r="AG211" s="158">
        <f t="shared" si="122"/>
        <v>0</v>
      </c>
      <c r="AH211" s="187">
        <f t="shared" si="122"/>
        <v>0</v>
      </c>
    </row>
    <row r="212" spans="1:34">
      <c r="A212" t="s">
        <v>411</v>
      </c>
      <c r="C212" s="331">
        <f>C127</f>
        <v>0</v>
      </c>
      <c r="D212" s="331">
        <f t="shared" ref="D212:AH212" si="123">D127</f>
        <v>0</v>
      </c>
      <c r="E212" s="331">
        <f t="shared" si="123"/>
        <v>0</v>
      </c>
      <c r="F212" s="331">
        <f t="shared" si="123"/>
        <v>0</v>
      </c>
      <c r="G212" s="331">
        <f t="shared" si="123"/>
        <v>0</v>
      </c>
      <c r="H212" s="402">
        <f t="shared" si="123"/>
        <v>0</v>
      </c>
      <c r="I212" s="14">
        <f t="shared" si="123"/>
        <v>0</v>
      </c>
      <c r="J212" s="14">
        <f t="shared" si="123"/>
        <v>0</v>
      </c>
      <c r="K212" s="14">
        <f t="shared" si="123"/>
        <v>0</v>
      </c>
      <c r="L212" s="14">
        <f t="shared" si="123"/>
        <v>0</v>
      </c>
      <c r="M212" s="14">
        <f t="shared" si="123"/>
        <v>0</v>
      </c>
      <c r="N212" s="187">
        <f t="shared" si="123"/>
        <v>0</v>
      </c>
      <c r="O212" s="14">
        <f>O127</f>
        <v>0</v>
      </c>
      <c r="P212" s="14">
        <f t="shared" si="123"/>
        <v>0</v>
      </c>
      <c r="Q212" s="14">
        <f t="shared" si="123"/>
        <v>0</v>
      </c>
      <c r="R212" s="14">
        <f t="shared" si="123"/>
        <v>0</v>
      </c>
      <c r="S212" s="14">
        <f t="shared" si="123"/>
        <v>0</v>
      </c>
      <c r="T212" s="14">
        <f t="shared" si="123"/>
        <v>0</v>
      </c>
      <c r="U212" s="14">
        <f t="shared" si="123"/>
        <v>0</v>
      </c>
      <c r="V212" s="14">
        <f t="shared" si="123"/>
        <v>0</v>
      </c>
      <c r="W212" s="14">
        <f t="shared" si="123"/>
        <v>0</v>
      </c>
      <c r="X212" s="187">
        <f t="shared" si="123"/>
        <v>0</v>
      </c>
      <c r="Y212" s="158">
        <f t="shared" si="123"/>
        <v>0</v>
      </c>
      <c r="Z212" s="158">
        <f t="shared" si="123"/>
        <v>0</v>
      </c>
      <c r="AA212" s="158">
        <f t="shared" si="123"/>
        <v>0</v>
      </c>
      <c r="AB212" s="158">
        <f t="shared" si="123"/>
        <v>0</v>
      </c>
      <c r="AC212" s="158">
        <f t="shared" si="123"/>
        <v>0</v>
      </c>
      <c r="AD212" s="158">
        <f t="shared" si="123"/>
        <v>0</v>
      </c>
      <c r="AE212" s="158">
        <f t="shared" si="123"/>
        <v>0</v>
      </c>
      <c r="AF212" s="158">
        <f t="shared" si="123"/>
        <v>0</v>
      </c>
      <c r="AG212" s="158">
        <f t="shared" si="123"/>
        <v>0</v>
      </c>
      <c r="AH212" s="187">
        <f t="shared" si="123"/>
        <v>0</v>
      </c>
    </row>
    <row r="213" spans="1:34" s="1" customFormat="1">
      <c r="A213" s="1" t="s">
        <v>397</v>
      </c>
      <c r="B213" s="13"/>
      <c r="C213" s="341">
        <f>SUM(C214:C215)</f>
        <v>916.50786000000005</v>
      </c>
      <c r="D213" s="341">
        <f t="shared" ref="D213:AH213" si="124">SUM(D214:D215)</f>
        <v>1107.0993668597953</v>
      </c>
      <c r="E213" s="341">
        <f t="shared" si="124"/>
        <v>1094.4812601094113</v>
      </c>
      <c r="F213" s="341">
        <f t="shared" si="124"/>
        <v>1220.2882746026098</v>
      </c>
      <c r="G213" s="341">
        <f t="shared" si="124"/>
        <v>1234.3021681177779</v>
      </c>
      <c r="H213" s="405">
        <f t="shared" si="124"/>
        <v>1204.4389092968886</v>
      </c>
      <c r="I213" s="15">
        <f t="shared" si="124"/>
        <v>1335.6439815528288</v>
      </c>
      <c r="J213" s="15">
        <f t="shared" si="124"/>
        <v>1500.6287739528643</v>
      </c>
      <c r="K213" s="15">
        <f t="shared" si="124"/>
        <v>1592.0899364475185</v>
      </c>
      <c r="L213" s="15">
        <f t="shared" si="124"/>
        <v>1712.010754555884</v>
      </c>
      <c r="M213" s="15">
        <f t="shared" si="124"/>
        <v>1856.4842463922705</v>
      </c>
      <c r="N213" s="190">
        <f t="shared" si="124"/>
        <v>2021.4760637035547</v>
      </c>
      <c r="O213" s="15">
        <f t="shared" si="124"/>
        <v>2194.5796874213947</v>
      </c>
      <c r="P213" s="15">
        <f t="shared" si="124"/>
        <v>2387.3001961541991</v>
      </c>
      <c r="Q213" s="15">
        <f t="shared" si="124"/>
        <v>2626.4233637512134</v>
      </c>
      <c r="R213" s="15">
        <f t="shared" si="124"/>
        <v>2863.6024157293664</v>
      </c>
      <c r="S213" s="15">
        <f t="shared" si="124"/>
        <v>3115.666623449637</v>
      </c>
      <c r="T213" s="15">
        <f t="shared" si="124"/>
        <v>3374.6192907879686</v>
      </c>
      <c r="U213" s="15">
        <f t="shared" si="124"/>
        <v>3652.6237698427922</v>
      </c>
      <c r="V213" s="15">
        <f t="shared" si="124"/>
        <v>3958.5398576866692</v>
      </c>
      <c r="W213" s="15">
        <f t="shared" si="124"/>
        <v>4288.7724588461315</v>
      </c>
      <c r="X213" s="190">
        <f t="shared" si="124"/>
        <v>4642.4621003545026</v>
      </c>
      <c r="Y213" s="130">
        <f t="shared" si="124"/>
        <v>4856.1610647767084</v>
      </c>
      <c r="Z213" s="130">
        <f t="shared" si="124"/>
        <v>5091.4517420771945</v>
      </c>
      <c r="AA213" s="130">
        <f t="shared" si="124"/>
        <v>5329.0494693889777</v>
      </c>
      <c r="AB213" s="130">
        <f t="shared" si="124"/>
        <v>5587.8903615355866</v>
      </c>
      <c r="AC213" s="130">
        <f t="shared" si="124"/>
        <v>5878.7940877919937</v>
      </c>
      <c r="AD213" s="130">
        <f t="shared" si="124"/>
        <v>6179.9527796214697</v>
      </c>
      <c r="AE213" s="130">
        <f t="shared" si="124"/>
        <v>6527.9386431038183</v>
      </c>
      <c r="AF213" s="130">
        <f t="shared" si="124"/>
        <v>6905.2098349681237</v>
      </c>
      <c r="AG213" s="130">
        <f t="shared" si="124"/>
        <v>7280.7578541947641</v>
      </c>
      <c r="AH213" s="190">
        <f t="shared" si="124"/>
        <v>7656.0846484208269</v>
      </c>
    </row>
    <row r="214" spans="1:34">
      <c r="A214" t="s">
        <v>398</v>
      </c>
      <c r="C214" s="331">
        <f>C115</f>
        <v>482.37270000000001</v>
      </c>
      <c r="D214" s="331">
        <f t="shared" ref="D214:AH214" si="125">D115</f>
        <v>582.68404044882323</v>
      </c>
      <c r="E214" s="331">
        <f t="shared" si="125"/>
        <v>576.04292123834352</v>
      </c>
      <c r="F214" s="331">
        <f t="shared" si="125"/>
        <v>642.257149047795</v>
      </c>
      <c r="G214" s="331">
        <f t="shared" si="125"/>
        <v>649.63287620543394</v>
      </c>
      <c r="H214" s="402">
        <f t="shared" si="125"/>
        <v>633.91535752467826</v>
      </c>
      <c r="I214" s="14">
        <f t="shared" si="125"/>
        <v>702.97066638882166</v>
      </c>
      <c r="J214" s="14">
        <f t="shared" si="125"/>
        <v>789.80477782052913</v>
      </c>
      <c r="K214" s="14">
        <f t="shared" si="125"/>
        <v>837.94223311042515</v>
      </c>
      <c r="L214" s="14">
        <f t="shared" si="125"/>
        <v>901.05845672771625</v>
      </c>
      <c r="M214" s="14">
        <f t="shared" si="125"/>
        <v>977.09714170079394</v>
      </c>
      <c r="N214" s="182">
        <f t="shared" si="125"/>
        <v>1063.9349462243717</v>
      </c>
      <c r="O214" s="14">
        <f t="shared" si="125"/>
        <v>1155.0421316609695</v>
      </c>
      <c r="P214" s="14">
        <f t="shared" si="125"/>
        <v>1256.4739951277629</v>
      </c>
      <c r="Q214" s="14">
        <f t="shared" si="125"/>
        <v>1382.3283146650533</v>
      </c>
      <c r="R214" s="14">
        <f t="shared" si="125"/>
        <v>1507.1594152864502</v>
      </c>
      <c r="S214" s="14">
        <f t="shared" si="125"/>
        <v>1639.8248096986013</v>
      </c>
      <c r="T214" s="14">
        <f t="shared" si="125"/>
        <v>1776.1157097721371</v>
      </c>
      <c r="U214" s="14">
        <f t="shared" si="125"/>
        <v>1922.4338808275143</v>
      </c>
      <c r="V214" s="14">
        <f t="shared" si="125"/>
        <v>2083.4423747262958</v>
      </c>
      <c r="W214" s="14">
        <f t="shared" si="125"/>
        <v>2257.24903564338</v>
      </c>
      <c r="X214" s="187">
        <f t="shared" si="125"/>
        <v>2443.4015093110129</v>
      </c>
      <c r="Y214" s="158">
        <f t="shared" si="125"/>
        <v>2555.8746670708892</v>
      </c>
      <c r="Z214" s="158">
        <f t="shared" si="125"/>
        <v>2679.7118861187128</v>
      </c>
      <c r="AA214" s="158">
        <f t="shared" si="125"/>
        <v>2804.7633422152835</v>
      </c>
      <c r="AB214" s="158">
        <f t="shared" si="125"/>
        <v>2940.9954132308212</v>
      </c>
      <c r="AC214" s="158">
        <f t="shared" si="125"/>
        <v>3094.102662882859</v>
      </c>
      <c r="AD214" s="158">
        <f t="shared" si="125"/>
        <v>3252.6072637286225</v>
      </c>
      <c r="AE214" s="158">
        <f t="shared" si="125"/>
        <v>3435.7577484653175</v>
      </c>
      <c r="AF214" s="158">
        <f t="shared" si="125"/>
        <v>3634.3215664769755</v>
      </c>
      <c r="AG214" s="158">
        <f t="shared" si="125"/>
        <v>3831.9784513715363</v>
      </c>
      <c r="AH214" s="187">
        <f t="shared" si="125"/>
        <v>4029.5189020360231</v>
      </c>
    </row>
    <row r="215" spans="1:34">
      <c r="A215" t="s">
        <v>399</v>
      </c>
      <c r="C215" s="331">
        <f>C142</f>
        <v>434.13516000000004</v>
      </c>
      <c r="D215" s="331">
        <f t="shared" ref="D215:AH215" si="126">D142</f>
        <v>524.41532641097217</v>
      </c>
      <c r="E215" s="331">
        <f t="shared" si="126"/>
        <v>518.43833887106769</v>
      </c>
      <c r="F215" s="331">
        <f t="shared" si="126"/>
        <v>578.03112555481482</v>
      </c>
      <c r="G215" s="331">
        <f t="shared" si="126"/>
        <v>584.66929191234385</v>
      </c>
      <c r="H215" s="402">
        <f t="shared" si="126"/>
        <v>570.52355177221045</v>
      </c>
      <c r="I215" s="14">
        <f t="shared" si="126"/>
        <v>632.67331516400725</v>
      </c>
      <c r="J215" s="14">
        <f t="shared" si="126"/>
        <v>710.82399613233531</v>
      </c>
      <c r="K215" s="14">
        <f t="shared" si="126"/>
        <v>754.1477033370935</v>
      </c>
      <c r="L215" s="14">
        <f t="shared" si="126"/>
        <v>810.95229782816784</v>
      </c>
      <c r="M215" s="14">
        <f t="shared" si="126"/>
        <v>879.38710469147645</v>
      </c>
      <c r="N215" s="182">
        <f t="shared" si="126"/>
        <v>957.54111747918296</v>
      </c>
      <c r="O215" s="14">
        <f t="shared" si="126"/>
        <v>1039.537555760425</v>
      </c>
      <c r="P215" s="14">
        <f t="shared" si="126"/>
        <v>1130.8262010264361</v>
      </c>
      <c r="Q215" s="14">
        <f t="shared" si="126"/>
        <v>1244.0950490861601</v>
      </c>
      <c r="R215" s="14">
        <f t="shared" si="126"/>
        <v>1356.4430004429162</v>
      </c>
      <c r="S215" s="14">
        <f t="shared" si="126"/>
        <v>1475.8418137510359</v>
      </c>
      <c r="T215" s="14">
        <f t="shared" si="126"/>
        <v>1598.5035810158317</v>
      </c>
      <c r="U215" s="14">
        <f t="shared" si="126"/>
        <v>1730.1898890152777</v>
      </c>
      <c r="V215" s="14">
        <f t="shared" si="126"/>
        <v>1875.0974829603733</v>
      </c>
      <c r="W215" s="14">
        <f t="shared" si="126"/>
        <v>2031.523423202751</v>
      </c>
      <c r="X215" s="187">
        <f t="shared" si="126"/>
        <v>2199.0605910434897</v>
      </c>
      <c r="Y215" s="158">
        <f t="shared" si="126"/>
        <v>2300.2863977058191</v>
      </c>
      <c r="Z215" s="158">
        <f t="shared" si="126"/>
        <v>2411.7398559584817</v>
      </c>
      <c r="AA215" s="158">
        <f t="shared" si="126"/>
        <v>2524.2861271736942</v>
      </c>
      <c r="AB215" s="158">
        <f t="shared" si="126"/>
        <v>2646.8949483047659</v>
      </c>
      <c r="AC215" s="158">
        <f t="shared" si="126"/>
        <v>2784.6914249091351</v>
      </c>
      <c r="AD215" s="158">
        <f t="shared" si="126"/>
        <v>2927.3455158928477</v>
      </c>
      <c r="AE215" s="158">
        <f t="shared" si="126"/>
        <v>3092.1808946385004</v>
      </c>
      <c r="AF215" s="158">
        <f t="shared" si="126"/>
        <v>3270.8882684911487</v>
      </c>
      <c r="AG215" s="158">
        <f t="shared" si="126"/>
        <v>3448.7794028232274</v>
      </c>
      <c r="AH215" s="187">
        <f t="shared" si="126"/>
        <v>3626.5657463848038</v>
      </c>
    </row>
    <row r="216" spans="1:34">
      <c r="A216" t="s">
        <v>400</v>
      </c>
      <c r="C216" s="331">
        <f>SUM(C217:C218)</f>
        <v>4816.2691500000001</v>
      </c>
      <c r="D216" s="331">
        <f t="shared" ref="D216:AH216" si="127">SUM(D217:D218)</f>
        <v>5451.3328507216138</v>
      </c>
      <c r="E216" s="331">
        <f t="shared" si="127"/>
        <v>5031.6900891151572</v>
      </c>
      <c r="F216" s="331">
        <f t="shared" si="127"/>
        <v>5273.8546458977034</v>
      </c>
      <c r="G216" s="331">
        <f t="shared" si="127"/>
        <v>4998.2772831830935</v>
      </c>
      <c r="H216" s="402">
        <f t="shared" si="127"/>
        <v>4848.9151057698036</v>
      </c>
      <c r="I216" s="14">
        <f t="shared" si="127"/>
        <v>5052.7600622157333</v>
      </c>
      <c r="J216" s="14">
        <f t="shared" si="127"/>
        <v>5334.2789344002904</v>
      </c>
      <c r="K216" s="14">
        <f t="shared" si="127"/>
        <v>5317.665328665722</v>
      </c>
      <c r="L216" s="14">
        <f t="shared" si="127"/>
        <v>5372.7596847851237</v>
      </c>
      <c r="M216" s="14">
        <f t="shared" si="127"/>
        <v>5474.0205944378195</v>
      </c>
      <c r="N216" s="190">
        <f t="shared" si="127"/>
        <v>5600.0884516634997</v>
      </c>
      <c r="O216" s="14">
        <f t="shared" si="127"/>
        <v>5600.2543190209235</v>
      </c>
      <c r="P216" s="14">
        <f t="shared" si="127"/>
        <v>5610.7543403084346</v>
      </c>
      <c r="Q216" s="14">
        <f t="shared" si="127"/>
        <v>5684.1115466760948</v>
      </c>
      <c r="R216" s="14">
        <f t="shared" si="127"/>
        <v>5705.8198097669228</v>
      </c>
      <c r="S216" s="15">
        <f t="shared" si="127"/>
        <v>5714.5964129648064</v>
      </c>
      <c r="T216" s="14">
        <f t="shared" si="127"/>
        <v>5696.5019557969881</v>
      </c>
      <c r="U216" s="14">
        <f t="shared" si="127"/>
        <v>5673.54746457496</v>
      </c>
      <c r="V216" s="14">
        <f t="shared" si="127"/>
        <v>5656.7389151163325</v>
      </c>
      <c r="W216" s="14">
        <f t="shared" si="127"/>
        <v>5637.131007237911</v>
      </c>
      <c r="X216" s="187">
        <f t="shared" si="127"/>
        <v>5611.4825637471949</v>
      </c>
      <c r="Y216" s="158">
        <f t="shared" si="127"/>
        <v>5586.0617718068916</v>
      </c>
      <c r="Z216" s="158">
        <f t="shared" si="127"/>
        <v>5573.168932575184</v>
      </c>
      <c r="AA216" s="158">
        <f t="shared" si="127"/>
        <v>5550.3724356924613</v>
      </c>
      <c r="AB216" s="158">
        <f t="shared" si="127"/>
        <v>5537.2643097976234</v>
      </c>
      <c r="AC216" s="158">
        <f t="shared" si="127"/>
        <v>5542.0845781631724</v>
      </c>
      <c r="AD216" s="158">
        <f t="shared" si="127"/>
        <v>5542.0366392516735</v>
      </c>
      <c r="AE216" s="158">
        <f t="shared" si="127"/>
        <v>5568.2755864245119</v>
      </c>
      <c r="AF216" s="158">
        <f t="shared" si="127"/>
        <v>5601.9896038877305</v>
      </c>
      <c r="AG216" s="158">
        <f t="shared" si="127"/>
        <v>5617.2316722274654</v>
      </c>
      <c r="AH216" s="187">
        <f t="shared" si="127"/>
        <v>5616.8339323205946</v>
      </c>
    </row>
    <row r="217" spans="1:34">
      <c r="A217" t="s">
        <v>401</v>
      </c>
      <c r="C217" s="331">
        <f>C114</f>
        <v>2534.8784999999998</v>
      </c>
      <c r="D217" s="331">
        <f t="shared" ref="D217:AH217" si="128">D114</f>
        <v>2869.1225530113757</v>
      </c>
      <c r="E217" s="331">
        <f t="shared" si="128"/>
        <v>2648.2579416395565</v>
      </c>
      <c r="F217" s="331">
        <f t="shared" si="128"/>
        <v>2775.7129715251072</v>
      </c>
      <c r="G217" s="331">
        <f t="shared" si="128"/>
        <v>2630.6722543068913</v>
      </c>
      <c r="H217" s="402">
        <f t="shared" si="128"/>
        <v>2552.0605819841071</v>
      </c>
      <c r="I217" s="14">
        <f t="shared" si="128"/>
        <v>2659.3474011661756</v>
      </c>
      <c r="J217" s="14">
        <f t="shared" si="128"/>
        <v>2807.515228631732</v>
      </c>
      <c r="K217" s="14">
        <f t="shared" si="128"/>
        <v>2798.7712256135374</v>
      </c>
      <c r="L217" s="14">
        <f t="shared" si="128"/>
        <v>2827.7682551500648</v>
      </c>
      <c r="M217" s="14">
        <f t="shared" si="128"/>
        <v>2881.0634707567469</v>
      </c>
      <c r="N217" s="187">
        <f t="shared" si="128"/>
        <v>2947.4149745597365</v>
      </c>
      <c r="O217" s="14">
        <f t="shared" si="128"/>
        <v>2947.5022731689073</v>
      </c>
      <c r="P217" s="14">
        <f t="shared" si="128"/>
        <v>2953.028600162334</v>
      </c>
      <c r="Q217" s="14">
        <f t="shared" si="128"/>
        <v>2991.6376561453135</v>
      </c>
      <c r="R217" s="14">
        <f t="shared" si="128"/>
        <v>3003.0630577720649</v>
      </c>
      <c r="S217" s="14">
        <f t="shared" si="128"/>
        <v>3007.6823226130559</v>
      </c>
      <c r="T217" s="14">
        <f t="shared" si="128"/>
        <v>2998.1589241036781</v>
      </c>
      <c r="U217" s="14">
        <f t="shared" si="128"/>
        <v>2986.0776129341898</v>
      </c>
      <c r="V217" s="14">
        <f t="shared" si="128"/>
        <v>2977.2310079559643</v>
      </c>
      <c r="W217" s="14">
        <f t="shared" si="128"/>
        <v>2966.9110564410062</v>
      </c>
      <c r="X217" s="187">
        <f t="shared" si="128"/>
        <v>2953.4118756564185</v>
      </c>
      <c r="Y217" s="158">
        <f t="shared" si="128"/>
        <v>2940.0325114773109</v>
      </c>
      <c r="Z217" s="158">
        <f t="shared" si="128"/>
        <v>2933.2468066185179</v>
      </c>
      <c r="AA217" s="158">
        <f t="shared" si="128"/>
        <v>2921.2486503644532</v>
      </c>
      <c r="AB217" s="158">
        <f t="shared" si="128"/>
        <v>2914.349636735591</v>
      </c>
      <c r="AC217" s="158">
        <f t="shared" si="128"/>
        <v>2916.8866200858802</v>
      </c>
      <c r="AD217" s="158">
        <f t="shared" si="128"/>
        <v>2916.8613890798279</v>
      </c>
      <c r="AE217" s="158">
        <f t="shared" si="128"/>
        <v>2930.6713612760591</v>
      </c>
      <c r="AF217" s="158">
        <f t="shared" si="128"/>
        <v>2948.4155809935423</v>
      </c>
      <c r="AG217" s="158">
        <f t="shared" si="128"/>
        <v>2956.4377222249818</v>
      </c>
      <c r="AH217" s="187">
        <f t="shared" si="128"/>
        <v>2956.2283854318921</v>
      </c>
    </row>
    <row r="218" spans="1:34">
      <c r="A218" t="s">
        <v>402</v>
      </c>
      <c r="C218" s="331">
        <f>C141</f>
        <v>2281.3906500000003</v>
      </c>
      <c r="D218" s="331">
        <f t="shared" ref="D218:AH218" si="129">D141</f>
        <v>2582.2102977102381</v>
      </c>
      <c r="E218" s="331">
        <f t="shared" si="129"/>
        <v>2383.4321474756007</v>
      </c>
      <c r="F218" s="331">
        <f t="shared" si="129"/>
        <v>2498.1416743725963</v>
      </c>
      <c r="G218" s="331">
        <f t="shared" si="129"/>
        <v>2367.6050288762021</v>
      </c>
      <c r="H218" s="402">
        <f t="shared" si="129"/>
        <v>2296.8545237856965</v>
      </c>
      <c r="I218" s="14">
        <f t="shared" si="129"/>
        <v>2393.4126610495582</v>
      </c>
      <c r="J218" s="14">
        <f t="shared" si="129"/>
        <v>2526.7637057685588</v>
      </c>
      <c r="K218" s="14">
        <f t="shared" si="129"/>
        <v>2518.8941030521842</v>
      </c>
      <c r="L218" s="14">
        <f t="shared" si="129"/>
        <v>2544.9914296350585</v>
      </c>
      <c r="M218" s="14">
        <f t="shared" si="129"/>
        <v>2592.9571236810725</v>
      </c>
      <c r="N218" s="187">
        <f t="shared" si="129"/>
        <v>2652.6734771037627</v>
      </c>
      <c r="O218" s="14">
        <f t="shared" si="129"/>
        <v>2652.7520458520166</v>
      </c>
      <c r="P218" s="14">
        <f t="shared" si="129"/>
        <v>2657.7257401461002</v>
      </c>
      <c r="Q218" s="14">
        <f t="shared" si="129"/>
        <v>2692.4738905307818</v>
      </c>
      <c r="R218" s="14">
        <f t="shared" si="129"/>
        <v>2702.7567519948584</v>
      </c>
      <c r="S218" s="14">
        <f t="shared" si="129"/>
        <v>2706.9140903517505</v>
      </c>
      <c r="T218" s="14">
        <f t="shared" si="129"/>
        <v>2698.3430316933104</v>
      </c>
      <c r="U218" s="14">
        <f t="shared" si="129"/>
        <v>2687.4698516407707</v>
      </c>
      <c r="V218" s="14">
        <f t="shared" si="129"/>
        <v>2679.5079071603682</v>
      </c>
      <c r="W218" s="14">
        <f t="shared" si="129"/>
        <v>2670.2199507969053</v>
      </c>
      <c r="X218" s="187">
        <f t="shared" si="129"/>
        <v>2658.0706880907765</v>
      </c>
      <c r="Y218" s="158">
        <f t="shared" si="129"/>
        <v>2646.0292603295802</v>
      </c>
      <c r="Z218" s="158">
        <f t="shared" si="129"/>
        <v>2639.9221259566662</v>
      </c>
      <c r="AA218" s="158">
        <f t="shared" si="129"/>
        <v>2629.1237853280077</v>
      </c>
      <c r="AB218" s="158">
        <f t="shared" si="129"/>
        <v>2622.9146730620319</v>
      </c>
      <c r="AC218" s="158">
        <f t="shared" si="129"/>
        <v>2625.1979580772922</v>
      </c>
      <c r="AD218" s="158">
        <f t="shared" si="129"/>
        <v>2625.1752501718452</v>
      </c>
      <c r="AE218" s="158">
        <f t="shared" si="129"/>
        <v>2637.6042251484532</v>
      </c>
      <c r="AF218" s="158">
        <f t="shared" si="129"/>
        <v>2653.5740228941881</v>
      </c>
      <c r="AG218" s="158">
        <f t="shared" si="129"/>
        <v>2660.7939500024836</v>
      </c>
      <c r="AH218" s="187">
        <f t="shared" si="129"/>
        <v>2660.605546888703</v>
      </c>
    </row>
    <row r="219" spans="1:34" s="1" customFormat="1">
      <c r="A219" s="1" t="s">
        <v>394</v>
      </c>
      <c r="B219" s="13"/>
      <c r="C219" s="341">
        <f>SUM(C220:C221)</f>
        <v>14031.632999999996</v>
      </c>
      <c r="D219" s="341">
        <f t="shared" ref="D219:AH219" si="130">SUM(D220:D221)</f>
        <v>15531.873019342478</v>
      </c>
      <c r="E219" s="341">
        <f t="shared" si="130"/>
        <v>14418.828409816804</v>
      </c>
      <c r="F219" s="341">
        <f t="shared" si="130"/>
        <v>15220.616403836901</v>
      </c>
      <c r="G219" s="341">
        <f t="shared" si="130"/>
        <v>14543.138154845286</v>
      </c>
      <c r="H219" s="405">
        <f t="shared" si="130"/>
        <v>14363.991872673458</v>
      </c>
      <c r="I219" s="15">
        <f t="shared" si="130"/>
        <v>14829.906313931515</v>
      </c>
      <c r="J219" s="15">
        <f t="shared" si="130"/>
        <v>15513.126156106526</v>
      </c>
      <c r="K219" s="15">
        <f t="shared" si="130"/>
        <v>15393.280978579452</v>
      </c>
      <c r="L219" s="15">
        <f t="shared" si="130"/>
        <v>15383.195903025069</v>
      </c>
      <c r="M219" s="15">
        <f t="shared" si="130"/>
        <v>15499.697335730969</v>
      </c>
      <c r="N219" s="190">
        <f t="shared" si="130"/>
        <v>15678.274454962831</v>
      </c>
      <c r="O219" s="15">
        <f t="shared" si="130"/>
        <v>15859.618131335646</v>
      </c>
      <c r="P219" s="15">
        <f t="shared" si="130"/>
        <v>16070.226665400345</v>
      </c>
      <c r="Q219" s="15">
        <f t="shared" si="130"/>
        <v>16463.394460801574</v>
      </c>
      <c r="R219" s="15">
        <f t="shared" si="130"/>
        <v>16706.469571468519</v>
      </c>
      <c r="S219" s="15">
        <f t="shared" si="130"/>
        <v>16909.627475848491</v>
      </c>
      <c r="T219" s="15">
        <f t="shared" si="130"/>
        <v>17033.4161660629</v>
      </c>
      <c r="U219" s="15">
        <f t="shared" si="130"/>
        <v>17136.590719207725</v>
      </c>
      <c r="V219" s="15">
        <f t="shared" si="130"/>
        <v>17252.14632266602</v>
      </c>
      <c r="W219" s="15">
        <f t="shared" si="130"/>
        <v>17353.104765816228</v>
      </c>
      <c r="X219" s="190">
        <f t="shared" si="130"/>
        <v>17427.693278198782</v>
      </c>
      <c r="Y219" s="130">
        <f t="shared" si="130"/>
        <v>17443.998186950059</v>
      </c>
      <c r="Z219" s="130">
        <f t="shared" si="130"/>
        <v>17496.487217603983</v>
      </c>
      <c r="AA219" s="130">
        <f t="shared" si="130"/>
        <v>17514.594517643134</v>
      </c>
      <c r="AB219" s="130">
        <f t="shared" si="130"/>
        <v>17559.809840679784</v>
      </c>
      <c r="AC219" s="130">
        <f t="shared" si="130"/>
        <v>17658.763806120369</v>
      </c>
      <c r="AD219" s="130">
        <f t="shared" si="130"/>
        <v>17738.68655049432</v>
      </c>
      <c r="AE219" s="130">
        <f t="shared" si="130"/>
        <v>17899.535150247008</v>
      </c>
      <c r="AF219" s="130">
        <f t="shared" si="130"/>
        <v>18081.176585196583</v>
      </c>
      <c r="AG219" s="130">
        <f t="shared" si="130"/>
        <v>18198.898101085182</v>
      </c>
      <c r="AH219" s="190">
        <f t="shared" si="130"/>
        <v>18260.902820804695</v>
      </c>
    </row>
    <row r="220" spans="1:34">
      <c r="A220" t="s">
        <v>403</v>
      </c>
      <c r="C220" s="331">
        <f>SUM(C116:C117)</f>
        <v>7385.0699999999979</v>
      </c>
      <c r="D220" s="331">
        <f t="shared" ref="D220:AH220" si="131">SUM(D116:D117)</f>
        <v>8174.6700101802508</v>
      </c>
      <c r="E220" s="331">
        <f t="shared" si="131"/>
        <v>7588.8570577983173</v>
      </c>
      <c r="F220" s="331">
        <f t="shared" si="131"/>
        <v>8010.8507388615271</v>
      </c>
      <c r="G220" s="331">
        <f t="shared" si="131"/>
        <v>7654.2832393922563</v>
      </c>
      <c r="H220" s="402">
        <f t="shared" si="131"/>
        <v>7559.9957224597147</v>
      </c>
      <c r="I220" s="14">
        <f t="shared" si="131"/>
        <v>7805.2138494376395</v>
      </c>
      <c r="J220" s="14">
        <f t="shared" si="131"/>
        <v>8164.803240056066</v>
      </c>
      <c r="K220" s="14">
        <f t="shared" si="131"/>
        <v>8101.7268308312905</v>
      </c>
      <c r="L220" s="14">
        <f t="shared" si="131"/>
        <v>8096.4188963289835</v>
      </c>
      <c r="M220" s="14">
        <f t="shared" si="131"/>
        <v>8157.7354398584048</v>
      </c>
      <c r="N220" s="187">
        <f t="shared" si="131"/>
        <v>8251.7233973488583</v>
      </c>
      <c r="O220" s="14">
        <f t="shared" si="131"/>
        <v>8347.1674375450766</v>
      </c>
      <c r="P220" s="14">
        <f t="shared" si="131"/>
        <v>8458.0140344212341</v>
      </c>
      <c r="Q220" s="14">
        <f t="shared" si="131"/>
        <v>8664.9444530534602</v>
      </c>
      <c r="R220" s="14">
        <f t="shared" si="131"/>
        <v>8792.8787218255366</v>
      </c>
      <c r="S220" s="14">
        <f t="shared" si="131"/>
        <v>8899.8039346571004</v>
      </c>
      <c r="T220" s="14">
        <f t="shared" si="131"/>
        <v>8964.9558768752104</v>
      </c>
      <c r="U220" s="14">
        <f t="shared" si="131"/>
        <v>9019.2582732672236</v>
      </c>
      <c r="V220" s="14">
        <f t="shared" si="131"/>
        <v>9080.0770119294848</v>
      </c>
      <c r="W220" s="14">
        <f t="shared" si="131"/>
        <v>9133.2130346401209</v>
      </c>
      <c r="X220" s="187">
        <f t="shared" si="131"/>
        <v>9172.4701464204118</v>
      </c>
      <c r="Y220" s="158">
        <f t="shared" si="131"/>
        <v>9181.0516773421368</v>
      </c>
      <c r="Z220" s="158">
        <f t="shared" si="131"/>
        <v>9208.6774829494643</v>
      </c>
      <c r="AA220" s="158">
        <f t="shared" si="131"/>
        <v>9218.2076408648063</v>
      </c>
      <c r="AB220" s="158">
        <f t="shared" si="131"/>
        <v>9242.0051793051498</v>
      </c>
      <c r="AC220" s="158">
        <f t="shared" si="131"/>
        <v>9294.0862137475615</v>
      </c>
      <c r="AD220" s="158">
        <f t="shared" si="131"/>
        <v>9336.1508160496414</v>
      </c>
      <c r="AE220" s="158">
        <f t="shared" si="131"/>
        <v>9420.8079738142133</v>
      </c>
      <c r="AF220" s="158">
        <f t="shared" si="131"/>
        <v>9516.4087290508323</v>
      </c>
      <c r="AG220" s="158">
        <f t="shared" si="131"/>
        <v>9578.3674216237796</v>
      </c>
      <c r="AH220" s="187">
        <f t="shared" si="131"/>
        <v>9611.0014846340491</v>
      </c>
    </row>
    <row r="221" spans="1:34">
      <c r="A221" t="s">
        <v>404</v>
      </c>
      <c r="C221" s="331">
        <f>SUM(C143:C144)</f>
        <v>6646.5629999999983</v>
      </c>
      <c r="D221" s="331">
        <f t="shared" ref="D221:AH221" si="132">SUM(D143:D144)</f>
        <v>7357.2030091622264</v>
      </c>
      <c r="E221" s="331">
        <f t="shared" si="132"/>
        <v>6829.9713520184869</v>
      </c>
      <c r="F221" s="331">
        <f t="shared" si="132"/>
        <v>7209.7656649753735</v>
      </c>
      <c r="G221" s="331">
        <f t="shared" si="132"/>
        <v>6888.8549154530301</v>
      </c>
      <c r="H221" s="402">
        <f t="shared" si="132"/>
        <v>6803.9961502137439</v>
      </c>
      <c r="I221" s="14">
        <f t="shared" si="132"/>
        <v>7024.6924644938763</v>
      </c>
      <c r="J221" s="14">
        <f t="shared" si="132"/>
        <v>7348.3229160504598</v>
      </c>
      <c r="K221" s="14">
        <f t="shared" si="132"/>
        <v>7291.554147748162</v>
      </c>
      <c r="L221" s="14">
        <f t="shared" si="132"/>
        <v>7286.7770066960857</v>
      </c>
      <c r="M221" s="14">
        <f t="shared" si="132"/>
        <v>7341.9618958725641</v>
      </c>
      <c r="N221" s="187">
        <f t="shared" si="132"/>
        <v>7426.5510576139732</v>
      </c>
      <c r="O221" s="14">
        <f t="shared" si="132"/>
        <v>7512.4506937905689</v>
      </c>
      <c r="P221" s="14">
        <f t="shared" si="132"/>
        <v>7612.2126309791111</v>
      </c>
      <c r="Q221" s="14">
        <f t="shared" si="132"/>
        <v>7798.4500077481134</v>
      </c>
      <c r="R221" s="14">
        <f t="shared" si="132"/>
        <v>7913.590849642982</v>
      </c>
      <c r="S221" s="14">
        <f t="shared" si="132"/>
        <v>8009.8235411913902</v>
      </c>
      <c r="T221" s="14">
        <f t="shared" si="132"/>
        <v>8068.4602891876884</v>
      </c>
      <c r="U221" s="14">
        <f t="shared" si="132"/>
        <v>8117.3324459405021</v>
      </c>
      <c r="V221" s="14">
        <f t="shared" si="132"/>
        <v>8172.069310736536</v>
      </c>
      <c r="W221" s="14">
        <f t="shared" si="132"/>
        <v>8219.8917311761088</v>
      </c>
      <c r="X221" s="187">
        <f t="shared" si="132"/>
        <v>8255.2231317783699</v>
      </c>
      <c r="Y221" s="158">
        <f t="shared" si="132"/>
        <v>8262.9465096079221</v>
      </c>
      <c r="Z221" s="158">
        <f t="shared" si="132"/>
        <v>8287.8097346545183</v>
      </c>
      <c r="AA221" s="158">
        <f t="shared" si="132"/>
        <v>8296.3868767783279</v>
      </c>
      <c r="AB221" s="158">
        <f t="shared" si="132"/>
        <v>8317.8046613746337</v>
      </c>
      <c r="AC221" s="158">
        <f t="shared" si="132"/>
        <v>8364.6775923728055</v>
      </c>
      <c r="AD221" s="158">
        <f t="shared" si="132"/>
        <v>8402.5357344446784</v>
      </c>
      <c r="AE221" s="158">
        <f t="shared" si="132"/>
        <v>8478.7271764327925</v>
      </c>
      <c r="AF221" s="158">
        <f t="shared" si="132"/>
        <v>8564.7678561457487</v>
      </c>
      <c r="AG221" s="158">
        <f t="shared" si="132"/>
        <v>8620.5306794614025</v>
      </c>
      <c r="AH221" s="187">
        <f t="shared" si="132"/>
        <v>8649.9013361706438</v>
      </c>
    </row>
    <row r="222" spans="1:34">
      <c r="A222" s="1" t="s">
        <v>426</v>
      </c>
      <c r="C222" s="331">
        <f>SUM(C210,C213,C216,C219)</f>
        <v>19764.410009999996</v>
      </c>
      <c r="D222" s="331">
        <f t="shared" ref="D222:AH222" si="133">SUM(D210,D213,D216,D219)</f>
        <v>22090.305236923887</v>
      </c>
      <c r="E222" s="331">
        <f t="shared" si="133"/>
        <v>20544.999759041373</v>
      </c>
      <c r="F222" s="331">
        <f t="shared" si="133"/>
        <v>21714.759324337214</v>
      </c>
      <c r="G222" s="331">
        <f t="shared" si="133"/>
        <v>20775.717606146158</v>
      </c>
      <c r="H222" s="402">
        <f t="shared" si="133"/>
        <v>20417.34588774015</v>
      </c>
      <c r="I222" s="14">
        <f t="shared" si="133"/>
        <v>21218.310357700077</v>
      </c>
      <c r="J222" s="14">
        <f t="shared" si="133"/>
        <v>22348.033864459681</v>
      </c>
      <c r="K222" s="14">
        <f t="shared" si="133"/>
        <v>22303.036243692695</v>
      </c>
      <c r="L222" s="14">
        <f t="shared" si="133"/>
        <v>22467.966342366075</v>
      </c>
      <c r="M222" s="14">
        <f t="shared" si="133"/>
        <v>22830.202176561059</v>
      </c>
      <c r="N222" s="187">
        <f t="shared" si="133"/>
        <v>23299.838970329885</v>
      </c>
      <c r="O222" s="14">
        <f t="shared" si="133"/>
        <v>23654.452137777964</v>
      </c>
      <c r="P222" s="14">
        <f t="shared" si="133"/>
        <v>24068.281201862977</v>
      </c>
      <c r="Q222" s="14">
        <f t="shared" si="133"/>
        <v>24773.929371228882</v>
      </c>
      <c r="R222" s="14">
        <f t="shared" si="133"/>
        <v>25275.89179696481</v>
      </c>
      <c r="S222" s="14">
        <f t="shared" si="133"/>
        <v>25739.890512262933</v>
      </c>
      <c r="T222" s="14">
        <f t="shared" si="133"/>
        <v>26104.537412647856</v>
      </c>
      <c r="U222" s="14">
        <f t="shared" si="133"/>
        <v>26462.761953625479</v>
      </c>
      <c r="V222" s="14">
        <f t="shared" si="133"/>
        <v>26867.425095469021</v>
      </c>
      <c r="W222" s="14">
        <f t="shared" si="133"/>
        <v>27279.008231900269</v>
      </c>
      <c r="X222" s="187">
        <f t="shared" si="133"/>
        <v>27681.63794230048</v>
      </c>
      <c r="Y222" s="158">
        <f t="shared" si="133"/>
        <v>27886.221023533661</v>
      </c>
      <c r="Z222" s="158">
        <f t="shared" si="133"/>
        <v>28161.107892256361</v>
      </c>
      <c r="AA222" s="158">
        <f t="shared" si="133"/>
        <v>28394.016422724573</v>
      </c>
      <c r="AB222" s="158">
        <f t="shared" si="133"/>
        <v>28684.964512012994</v>
      </c>
      <c r="AC222" s="158">
        <f t="shared" si="133"/>
        <v>29079.642472075535</v>
      </c>
      <c r="AD222" s="158">
        <f t="shared" si="133"/>
        <v>29460.675969367461</v>
      </c>
      <c r="AE222" s="158">
        <f t="shared" si="133"/>
        <v>29995.749379775338</v>
      </c>
      <c r="AF222" s="158">
        <f t="shared" si="133"/>
        <v>30588.376024052435</v>
      </c>
      <c r="AG222" s="158">
        <f t="shared" si="133"/>
        <v>31096.887627507411</v>
      </c>
      <c r="AH222" s="187">
        <f t="shared" si="133"/>
        <v>31533.821401546116</v>
      </c>
    </row>
    <row r="223" spans="1:34" s="1" customFormat="1">
      <c r="A223" s="1" t="s">
        <v>444</v>
      </c>
      <c r="B223" s="13"/>
      <c r="C223" s="328" t="s">
        <v>0</v>
      </c>
      <c r="D223" s="341">
        <f>D210+D213</f>
        <v>1107.0993668597953</v>
      </c>
      <c r="E223" s="341">
        <f t="shared" ref="E223:AH223" si="134">E210+E213</f>
        <v>1094.4812601094113</v>
      </c>
      <c r="F223" s="341">
        <f t="shared" si="134"/>
        <v>1220.2882746026098</v>
      </c>
      <c r="G223" s="341">
        <f t="shared" si="134"/>
        <v>1234.3021681177779</v>
      </c>
      <c r="H223" s="405">
        <f>H210+H213</f>
        <v>1204.4389092968886</v>
      </c>
      <c r="I223" s="15">
        <f t="shared" si="134"/>
        <v>1335.6439815528288</v>
      </c>
      <c r="J223" s="15">
        <f t="shared" si="134"/>
        <v>1500.6287739528643</v>
      </c>
      <c r="K223" s="15">
        <f t="shared" si="134"/>
        <v>1592.0899364475185</v>
      </c>
      <c r="L223" s="15">
        <f t="shared" si="134"/>
        <v>1712.010754555884</v>
      </c>
      <c r="M223" s="15">
        <f t="shared" si="134"/>
        <v>1856.4842463922705</v>
      </c>
      <c r="N223" s="190">
        <f t="shared" si="134"/>
        <v>2021.4760637035547</v>
      </c>
      <c r="O223" s="15">
        <f t="shared" si="134"/>
        <v>2194.5796874213947</v>
      </c>
      <c r="P223" s="15">
        <f t="shared" si="134"/>
        <v>2387.3001961541991</v>
      </c>
      <c r="Q223" s="15">
        <f t="shared" si="134"/>
        <v>2626.4233637512134</v>
      </c>
      <c r="R223" s="15">
        <f t="shared" si="134"/>
        <v>2863.6024157293664</v>
      </c>
      <c r="S223" s="15">
        <f t="shared" si="134"/>
        <v>3115.666623449637</v>
      </c>
      <c r="T223" s="15">
        <f t="shared" si="134"/>
        <v>3374.6192907879686</v>
      </c>
      <c r="U223" s="15">
        <f t="shared" si="134"/>
        <v>3652.6237698427922</v>
      </c>
      <c r="V223" s="15">
        <f t="shared" si="134"/>
        <v>3958.5398576866692</v>
      </c>
      <c r="W223" s="15">
        <f t="shared" si="134"/>
        <v>4288.7724588461315</v>
      </c>
      <c r="X223" s="190">
        <f t="shared" si="134"/>
        <v>4642.4621003545026</v>
      </c>
      <c r="Y223" s="130">
        <f t="shared" si="134"/>
        <v>4856.1610647767084</v>
      </c>
      <c r="Z223" s="130">
        <f t="shared" si="134"/>
        <v>5091.4517420771945</v>
      </c>
      <c r="AA223" s="130">
        <f t="shared" si="134"/>
        <v>5329.0494693889777</v>
      </c>
      <c r="AB223" s="130">
        <f t="shared" si="134"/>
        <v>5587.8903615355866</v>
      </c>
      <c r="AC223" s="130">
        <f t="shared" si="134"/>
        <v>5878.7940877919937</v>
      </c>
      <c r="AD223" s="130">
        <f t="shared" si="134"/>
        <v>6179.9527796214697</v>
      </c>
      <c r="AE223" s="130">
        <f t="shared" si="134"/>
        <v>6527.9386431038183</v>
      </c>
      <c r="AF223" s="130">
        <f t="shared" si="134"/>
        <v>6905.2098349681237</v>
      </c>
      <c r="AG223" s="130">
        <f t="shared" si="134"/>
        <v>7280.7578541947641</v>
      </c>
      <c r="AH223" s="190">
        <f t="shared" si="134"/>
        <v>7656.0846484208269</v>
      </c>
    </row>
    <row r="224" spans="1:34">
      <c r="A224" t="s">
        <v>447</v>
      </c>
      <c r="D224" s="331">
        <f>D210+D213+D216</f>
        <v>6558.4322175814086</v>
      </c>
      <c r="E224" s="331">
        <f t="shared" ref="E224:AH224" si="135">E210+E213+E216</f>
        <v>6126.171349224569</v>
      </c>
      <c r="F224" s="331">
        <f t="shared" si="135"/>
        <v>6494.1429205003133</v>
      </c>
      <c r="G224" s="331">
        <f t="shared" si="135"/>
        <v>6232.5794513008714</v>
      </c>
      <c r="H224" s="402">
        <f t="shared" si="135"/>
        <v>6053.3540150666922</v>
      </c>
      <c r="I224" s="14">
        <f t="shared" si="135"/>
        <v>6388.4040437685617</v>
      </c>
      <c r="J224" s="14">
        <f t="shared" si="135"/>
        <v>6834.9077083531547</v>
      </c>
      <c r="K224" s="14">
        <f t="shared" si="135"/>
        <v>6909.755265113241</v>
      </c>
      <c r="L224" s="14">
        <f t="shared" si="135"/>
        <v>7084.7704393410077</v>
      </c>
      <c r="M224" s="14">
        <f t="shared" si="135"/>
        <v>7330.50484083009</v>
      </c>
      <c r="N224" s="187">
        <f t="shared" si="135"/>
        <v>7621.5645153670539</v>
      </c>
      <c r="O224" s="14">
        <f t="shared" si="135"/>
        <v>7794.8340064423182</v>
      </c>
      <c r="P224" s="14">
        <f t="shared" si="135"/>
        <v>7998.0545364626341</v>
      </c>
      <c r="Q224" s="14">
        <f t="shared" si="135"/>
        <v>8310.5349104273082</v>
      </c>
      <c r="R224" s="14">
        <f t="shared" si="135"/>
        <v>8569.4222254962897</v>
      </c>
      <c r="S224" s="14">
        <f t="shared" si="135"/>
        <v>8830.2630364144425</v>
      </c>
      <c r="T224" s="14">
        <f t="shared" si="135"/>
        <v>9071.1212465849567</v>
      </c>
      <c r="U224" s="14">
        <f t="shared" si="135"/>
        <v>9326.1712344177522</v>
      </c>
      <c r="V224" s="14">
        <f t="shared" si="135"/>
        <v>9615.2787728030016</v>
      </c>
      <c r="W224" s="14">
        <f t="shared" si="135"/>
        <v>9925.9034660840425</v>
      </c>
      <c r="X224" s="187">
        <f t="shared" si="135"/>
        <v>10253.944664101698</v>
      </c>
      <c r="Y224" s="158">
        <f t="shared" si="135"/>
        <v>10442.2228365836</v>
      </c>
      <c r="Z224" s="158">
        <f t="shared" si="135"/>
        <v>10664.620674652379</v>
      </c>
      <c r="AA224" s="158">
        <f t="shared" si="135"/>
        <v>10879.421905081439</v>
      </c>
      <c r="AB224" s="158">
        <f t="shared" si="135"/>
        <v>11125.15467133321</v>
      </c>
      <c r="AC224" s="158">
        <f t="shared" si="135"/>
        <v>11420.878665955166</v>
      </c>
      <c r="AD224" s="158">
        <f t="shared" si="135"/>
        <v>11721.989418873143</v>
      </c>
      <c r="AE224" s="158">
        <f t="shared" si="135"/>
        <v>12096.21422952833</v>
      </c>
      <c r="AF224" s="158">
        <f t="shared" si="135"/>
        <v>12507.199438855854</v>
      </c>
      <c r="AG224" s="158">
        <f t="shared" si="135"/>
        <v>12897.989526422229</v>
      </c>
      <c r="AH224" s="187">
        <f t="shared" si="135"/>
        <v>13272.918580741421</v>
      </c>
    </row>
    <row r="225" spans="1:34">
      <c r="D225" s="331"/>
      <c r="E225" s="331"/>
      <c r="F225" s="331"/>
      <c r="G225" s="331"/>
      <c r="H225" s="402"/>
      <c r="I225" s="14"/>
      <c r="J225" s="14"/>
      <c r="K225" s="14"/>
      <c r="L225" s="14"/>
      <c r="M225" s="14"/>
      <c r="N225" s="187"/>
      <c r="O225" s="14"/>
      <c r="P225" s="14"/>
      <c r="Q225" s="14"/>
      <c r="R225" s="14"/>
      <c r="S225" s="14"/>
      <c r="T225" s="14"/>
      <c r="U225" s="14"/>
      <c r="V225" s="14"/>
      <c r="W225" s="14"/>
      <c r="X225" s="187"/>
    </row>
    <row r="226" spans="1:34">
      <c r="A226" s="1" t="s">
        <v>454</v>
      </c>
      <c r="D226" s="331">
        <f>D210+D213</f>
        <v>1107.0993668597953</v>
      </c>
      <c r="E226" s="331">
        <f>D226+E210+E213</f>
        <v>2201.5806269692066</v>
      </c>
      <c r="F226" s="331">
        <f>E226+F210+F213</f>
        <v>3421.8689015718164</v>
      </c>
      <c r="G226" s="331">
        <f>F226+G210+G213</f>
        <v>4656.1710696895943</v>
      </c>
      <c r="H226" s="402">
        <f t="shared" ref="H226:X226" si="136">G226+H210+H213</f>
        <v>5860.6099789864829</v>
      </c>
      <c r="I226" s="14">
        <f t="shared" si="136"/>
        <v>7196.2539605393122</v>
      </c>
      <c r="J226" s="14">
        <f t="shared" si="136"/>
        <v>8696.8827344921774</v>
      </c>
      <c r="K226" s="14">
        <f t="shared" si="136"/>
        <v>10288.972670939696</v>
      </c>
      <c r="L226" s="14">
        <f t="shared" si="136"/>
        <v>12000.98342549558</v>
      </c>
      <c r="M226" s="14">
        <f t="shared" si="136"/>
        <v>13857.467671887851</v>
      </c>
      <c r="N226" s="187">
        <f t="shared" si="136"/>
        <v>15878.943735591405</v>
      </c>
      <c r="O226" s="14">
        <f t="shared" si="136"/>
        <v>18073.523423012801</v>
      </c>
      <c r="P226" s="14">
        <f t="shared" si="136"/>
        <v>20460.823619167</v>
      </c>
      <c r="Q226" s="14">
        <f t="shared" si="136"/>
        <v>23087.246982918216</v>
      </c>
      <c r="R226" s="14">
        <f t="shared" si="136"/>
        <v>25950.849398647581</v>
      </c>
      <c r="S226" s="14">
        <f t="shared" si="136"/>
        <v>29066.516022097218</v>
      </c>
      <c r="T226" s="14">
        <f t="shared" si="136"/>
        <v>32441.135312885184</v>
      </c>
      <c r="U226" s="14">
        <f t="shared" si="136"/>
        <v>36093.759082727978</v>
      </c>
      <c r="V226" s="14">
        <f t="shared" si="136"/>
        <v>40052.29894041465</v>
      </c>
      <c r="W226" s="14">
        <f t="shared" si="136"/>
        <v>44341.071399260778</v>
      </c>
      <c r="X226" s="187">
        <f t="shared" si="136"/>
        <v>48983.533499615281</v>
      </c>
      <c r="Y226" s="158">
        <f t="shared" ref="Y226:AH226" si="137">X226+Y210+Y213</f>
        <v>53839.69456439199</v>
      </c>
      <c r="Z226" s="158">
        <f t="shared" si="137"/>
        <v>58931.146306469185</v>
      </c>
      <c r="AA226" s="158">
        <f t="shared" si="137"/>
        <v>64260.195775858163</v>
      </c>
      <c r="AB226" s="158">
        <f t="shared" si="137"/>
        <v>69848.086137393751</v>
      </c>
      <c r="AC226" s="158">
        <f t="shared" si="137"/>
        <v>75726.880225185741</v>
      </c>
      <c r="AD226" s="158">
        <f t="shared" si="137"/>
        <v>81906.833004807209</v>
      </c>
      <c r="AE226" s="158">
        <f t="shared" si="137"/>
        <v>88434.771647911024</v>
      </c>
      <c r="AF226" s="158">
        <f t="shared" si="137"/>
        <v>95339.981482879142</v>
      </c>
      <c r="AG226" s="158">
        <f t="shared" si="137"/>
        <v>102620.7393370739</v>
      </c>
      <c r="AH226" s="187">
        <f t="shared" si="137"/>
        <v>110276.82398549473</v>
      </c>
    </row>
    <row r="227" spans="1:34">
      <c r="A227" s="1" t="s">
        <v>455</v>
      </c>
      <c r="D227" s="331">
        <f>D219</f>
        <v>15531.873019342478</v>
      </c>
      <c r="E227" s="331">
        <f>D227+E219</f>
        <v>29950.701429159282</v>
      </c>
      <c r="F227" s="331">
        <f>E227+F219</f>
        <v>45171.317832996181</v>
      </c>
      <c r="G227" s="331">
        <f t="shared" ref="G227:X227" si="138">F227+G219</f>
        <v>59714.455987841466</v>
      </c>
      <c r="H227" s="402">
        <f t="shared" si="138"/>
        <v>74078.44786051492</v>
      </c>
      <c r="I227" s="14">
        <f t="shared" si="138"/>
        <v>88908.354174446431</v>
      </c>
      <c r="J227" s="14">
        <f t="shared" si="138"/>
        <v>104421.48033055296</v>
      </c>
      <c r="K227" s="14">
        <f t="shared" si="138"/>
        <v>119814.76130913242</v>
      </c>
      <c r="L227" s="14">
        <f t="shared" si="138"/>
        <v>135197.95721215749</v>
      </c>
      <c r="M227" s="14">
        <f t="shared" si="138"/>
        <v>150697.65454788847</v>
      </c>
      <c r="N227" s="187">
        <f t="shared" si="138"/>
        <v>166375.92900285131</v>
      </c>
      <c r="O227" s="14">
        <f t="shared" si="138"/>
        <v>182235.54713418696</v>
      </c>
      <c r="P227" s="14">
        <f t="shared" si="138"/>
        <v>198305.7737995873</v>
      </c>
      <c r="Q227" s="14">
        <f t="shared" si="138"/>
        <v>214769.16826038889</v>
      </c>
      <c r="R227" s="14">
        <f t="shared" si="138"/>
        <v>231475.6378318574</v>
      </c>
      <c r="S227" s="14">
        <f t="shared" si="138"/>
        <v>248385.26530770588</v>
      </c>
      <c r="T227" s="14">
        <f t="shared" si="138"/>
        <v>265418.68147376878</v>
      </c>
      <c r="U227" s="14">
        <f t="shared" si="138"/>
        <v>282555.2721929765</v>
      </c>
      <c r="V227" s="14">
        <f t="shared" si="138"/>
        <v>299807.41851564252</v>
      </c>
      <c r="W227" s="14">
        <f t="shared" si="138"/>
        <v>317160.52328145877</v>
      </c>
      <c r="X227" s="187">
        <f t="shared" si="138"/>
        <v>334588.21655965754</v>
      </c>
      <c r="Y227" s="158">
        <f t="shared" ref="Y227:AH227" si="139">X227+Y219</f>
        <v>352032.21474660758</v>
      </c>
      <c r="Z227" s="158">
        <f t="shared" si="139"/>
        <v>369528.70196421159</v>
      </c>
      <c r="AA227" s="158">
        <f t="shared" si="139"/>
        <v>387043.29648185475</v>
      </c>
      <c r="AB227" s="158">
        <f t="shared" si="139"/>
        <v>404603.10632253456</v>
      </c>
      <c r="AC227" s="158">
        <f t="shared" si="139"/>
        <v>422261.87012865493</v>
      </c>
      <c r="AD227" s="158">
        <f t="shared" si="139"/>
        <v>440000.55667914927</v>
      </c>
      <c r="AE227" s="158">
        <f t="shared" si="139"/>
        <v>457900.09182939626</v>
      </c>
      <c r="AF227" s="158">
        <f t="shared" si="139"/>
        <v>475981.26841459284</v>
      </c>
      <c r="AG227" s="158">
        <f t="shared" si="139"/>
        <v>494180.16651567799</v>
      </c>
      <c r="AH227" s="187">
        <f t="shared" si="139"/>
        <v>512441.06933648267</v>
      </c>
    </row>
    <row r="228" spans="1:34">
      <c r="A228" s="1" t="s">
        <v>457</v>
      </c>
      <c r="D228" s="331">
        <f t="shared" ref="D228:AH228" si="140">D227-D207</f>
        <v>-199.13898065752255</v>
      </c>
      <c r="E228" s="331">
        <f t="shared" si="140"/>
        <v>-278.73024307938977</v>
      </c>
      <c r="F228" s="331">
        <f t="shared" si="140"/>
        <v>-715.10323398764012</v>
      </c>
      <c r="G228" s="331">
        <f t="shared" si="140"/>
        <v>-883.53226043043105</v>
      </c>
      <c r="H228" s="402">
        <f>H227-H207</f>
        <v>-883.80396043043584</v>
      </c>
      <c r="I228" s="14">
        <f t="shared" si="140"/>
        <v>-950.36696586215112</v>
      </c>
      <c r="J228" s="14">
        <f t="shared" si="140"/>
        <v>-1126.5033849801694</v>
      </c>
      <c r="K228" s="14">
        <f t="shared" si="140"/>
        <v>-1126.0678321568412</v>
      </c>
      <c r="L228" s="14">
        <f t="shared" si="140"/>
        <v>-1081.8271093142102</v>
      </c>
      <c r="M228" s="14">
        <f t="shared" si="140"/>
        <v>-1141.0949013431964</v>
      </c>
      <c r="N228" s="187">
        <f t="shared" si="140"/>
        <v>-1345.8040501364158</v>
      </c>
      <c r="O228" s="14">
        <f t="shared" si="140"/>
        <v>-1579.6206251100812</v>
      </c>
      <c r="P228" s="14">
        <f t="shared" si="140"/>
        <v>-1880.8033317128138</v>
      </c>
      <c r="Q228" s="14">
        <f t="shared" si="140"/>
        <v>-2242.800269789208</v>
      </c>
      <c r="R228" s="14">
        <f t="shared" si="140"/>
        <v>-2699.2774557650264</v>
      </c>
      <c r="S228" s="14">
        <f t="shared" si="140"/>
        <v>-3149.295222740504</v>
      </c>
      <c r="T228" s="14">
        <f t="shared" si="140"/>
        <v>-3677.5843805597397</v>
      </c>
      <c r="U228" s="14">
        <f t="shared" si="140"/>
        <v>-4304.2208432541811</v>
      </c>
      <c r="V228" s="14">
        <f t="shared" si="140"/>
        <v>-5048.8907671872876</v>
      </c>
      <c r="W228" s="14">
        <f t="shared" si="140"/>
        <v>-5784.820974296541</v>
      </c>
      <c r="X228" s="187">
        <f t="shared" si="140"/>
        <v>-6658.9335367698804</v>
      </c>
      <c r="Y228" s="158">
        <f t="shared" si="140"/>
        <v>-7604.3910743739689</v>
      </c>
      <c r="Z228" s="158">
        <f t="shared" si="140"/>
        <v>-8646.2086173557327</v>
      </c>
      <c r="AA228" s="158">
        <f t="shared" si="140"/>
        <v>-9773.8133476133808</v>
      </c>
      <c r="AB228" s="158">
        <f t="shared" si="140"/>
        <v>-11002.750717450108</v>
      </c>
      <c r="AC228" s="158">
        <f t="shared" si="140"/>
        <v>-12366.15535241738</v>
      </c>
      <c r="AD228" s="158">
        <f t="shared" si="140"/>
        <v>-13857.878248136956</v>
      </c>
      <c r="AE228" s="158">
        <f t="shared" si="140"/>
        <v>-15521.566906498803</v>
      </c>
      <c r="AF228" s="158">
        <f t="shared" si="140"/>
        <v>-17372.925880559662</v>
      </c>
      <c r="AG228" s="158">
        <f t="shared" si="140"/>
        <v>-19395.900606027164</v>
      </c>
      <c r="AH228" s="187">
        <f t="shared" si="140"/>
        <v>-21581.860479296418</v>
      </c>
    </row>
    <row r="229" spans="1:34">
      <c r="I229" s="129"/>
      <c r="J229" s="129"/>
      <c r="K229" s="129"/>
      <c r="L229" s="129"/>
      <c r="M229" s="129"/>
      <c r="O229" s="129"/>
      <c r="P229" s="129"/>
      <c r="Q229" s="129"/>
      <c r="R229" s="129"/>
      <c r="S229" s="129"/>
      <c r="T229" s="129"/>
      <c r="U229" s="129"/>
      <c r="V229" s="129"/>
      <c r="W229" s="129"/>
    </row>
    <row r="230" spans="1:34">
      <c r="A230" s="1" t="s">
        <v>413</v>
      </c>
    </row>
    <row r="231" spans="1:34">
      <c r="A231" t="s">
        <v>414</v>
      </c>
      <c r="C231" s="331">
        <f t="shared" ref="C231:AH231" si="141">C210-C191</f>
        <v>0</v>
      </c>
      <c r="D231" s="331">
        <f t="shared" si="141"/>
        <v>0</v>
      </c>
      <c r="E231" s="331">
        <f t="shared" si="141"/>
        <v>0</v>
      </c>
      <c r="F231" s="331">
        <f t="shared" si="141"/>
        <v>0</v>
      </c>
      <c r="G231" s="331">
        <f t="shared" si="141"/>
        <v>0</v>
      </c>
      <c r="H231" s="402">
        <f t="shared" si="141"/>
        <v>0</v>
      </c>
      <c r="I231" s="14">
        <f t="shared" si="141"/>
        <v>0</v>
      </c>
      <c r="J231" s="14">
        <f t="shared" si="141"/>
        <v>0</v>
      </c>
      <c r="K231" s="14">
        <f t="shared" si="141"/>
        <v>0</v>
      </c>
      <c r="L231" s="14">
        <f t="shared" si="141"/>
        <v>0</v>
      </c>
      <c r="M231" s="14">
        <f t="shared" si="141"/>
        <v>0</v>
      </c>
      <c r="N231" s="187">
        <f t="shared" ref="N231:O233" si="142">N210-N191</f>
        <v>0</v>
      </c>
      <c r="O231" s="14">
        <f t="shared" si="142"/>
        <v>0</v>
      </c>
      <c r="P231" s="14">
        <f t="shared" si="141"/>
        <v>0</v>
      </c>
      <c r="Q231" s="14">
        <f t="shared" si="141"/>
        <v>0</v>
      </c>
      <c r="R231" s="14">
        <f t="shared" si="141"/>
        <v>0</v>
      </c>
      <c r="S231" s="14">
        <f t="shared" si="141"/>
        <v>0</v>
      </c>
      <c r="T231" s="14">
        <f t="shared" si="141"/>
        <v>0</v>
      </c>
      <c r="U231" s="14">
        <f t="shared" si="141"/>
        <v>0</v>
      </c>
      <c r="V231" s="14">
        <f t="shared" si="141"/>
        <v>0</v>
      </c>
      <c r="W231" s="14">
        <f t="shared" si="141"/>
        <v>0</v>
      </c>
      <c r="X231" s="187">
        <f t="shared" si="141"/>
        <v>0</v>
      </c>
      <c r="Y231" s="158">
        <f t="shared" si="141"/>
        <v>0</v>
      </c>
      <c r="Z231" s="158">
        <f t="shared" si="141"/>
        <v>0</v>
      </c>
      <c r="AA231" s="158">
        <f t="shared" si="141"/>
        <v>0</v>
      </c>
      <c r="AB231" s="158">
        <f t="shared" si="141"/>
        <v>0</v>
      </c>
      <c r="AC231" s="158">
        <f t="shared" si="141"/>
        <v>0</v>
      </c>
      <c r="AD231" s="158">
        <f t="shared" si="141"/>
        <v>0</v>
      </c>
      <c r="AE231" s="158">
        <f t="shared" si="141"/>
        <v>0</v>
      </c>
      <c r="AF231" s="158">
        <f t="shared" si="141"/>
        <v>0</v>
      </c>
      <c r="AG231" s="158">
        <f t="shared" si="141"/>
        <v>0</v>
      </c>
      <c r="AH231" s="187">
        <f t="shared" si="141"/>
        <v>0</v>
      </c>
    </row>
    <row r="232" spans="1:34">
      <c r="A232" t="s">
        <v>415</v>
      </c>
      <c r="C232" s="331">
        <f t="shared" ref="C232:AH232" si="143">C211-C192</f>
        <v>0</v>
      </c>
      <c r="D232" s="331">
        <f t="shared" si="143"/>
        <v>0</v>
      </c>
      <c r="E232" s="331">
        <f t="shared" si="143"/>
        <v>0</v>
      </c>
      <c r="F232" s="331">
        <f t="shared" si="143"/>
        <v>0</v>
      </c>
      <c r="G232" s="331">
        <f t="shared" si="143"/>
        <v>0</v>
      </c>
      <c r="H232" s="402">
        <f t="shared" si="143"/>
        <v>0</v>
      </c>
      <c r="I232" s="14">
        <f t="shared" si="143"/>
        <v>0</v>
      </c>
      <c r="J232" s="14">
        <f t="shared" si="143"/>
        <v>0</v>
      </c>
      <c r="K232" s="14">
        <f t="shared" si="143"/>
        <v>0</v>
      </c>
      <c r="L232" s="14">
        <f t="shared" si="143"/>
        <v>0</v>
      </c>
      <c r="M232" s="14">
        <f t="shared" si="143"/>
        <v>0</v>
      </c>
      <c r="N232" s="187">
        <f t="shared" si="142"/>
        <v>0</v>
      </c>
      <c r="O232" s="14">
        <f t="shared" si="142"/>
        <v>0</v>
      </c>
      <c r="P232" s="14">
        <f t="shared" si="143"/>
        <v>0</v>
      </c>
      <c r="Q232" s="14">
        <f t="shared" si="143"/>
        <v>0</v>
      </c>
      <c r="R232" s="14">
        <f t="shared" si="143"/>
        <v>0</v>
      </c>
      <c r="S232" s="14">
        <f t="shared" si="143"/>
        <v>0</v>
      </c>
      <c r="T232" s="14">
        <f t="shared" si="143"/>
        <v>0</v>
      </c>
      <c r="U232" s="14">
        <f t="shared" si="143"/>
        <v>0</v>
      </c>
      <c r="V232" s="14">
        <f t="shared" si="143"/>
        <v>0</v>
      </c>
      <c r="W232" s="14">
        <f t="shared" si="143"/>
        <v>0</v>
      </c>
      <c r="X232" s="187">
        <f t="shared" si="143"/>
        <v>0</v>
      </c>
      <c r="Y232" s="158">
        <f t="shared" si="143"/>
        <v>0</v>
      </c>
      <c r="Z232" s="158">
        <f t="shared" si="143"/>
        <v>0</v>
      </c>
      <c r="AA232" s="158">
        <f t="shared" si="143"/>
        <v>0</v>
      </c>
      <c r="AB232" s="158">
        <f t="shared" si="143"/>
        <v>0</v>
      </c>
      <c r="AC232" s="158">
        <f t="shared" si="143"/>
        <v>0</v>
      </c>
      <c r="AD232" s="158">
        <f t="shared" si="143"/>
        <v>0</v>
      </c>
      <c r="AE232" s="158">
        <f t="shared" si="143"/>
        <v>0</v>
      </c>
      <c r="AF232" s="158">
        <f t="shared" si="143"/>
        <v>0</v>
      </c>
      <c r="AG232" s="158">
        <f t="shared" si="143"/>
        <v>0</v>
      </c>
      <c r="AH232" s="187">
        <f t="shared" si="143"/>
        <v>0</v>
      </c>
    </row>
    <row r="233" spans="1:34">
      <c r="A233" t="s">
        <v>416</v>
      </c>
      <c r="C233" s="331">
        <f t="shared" ref="C233:AH233" si="144">C212-C193</f>
        <v>0</v>
      </c>
      <c r="D233" s="331">
        <f t="shared" si="144"/>
        <v>0</v>
      </c>
      <c r="E233" s="331">
        <f t="shared" si="144"/>
        <v>0</v>
      </c>
      <c r="F233" s="331">
        <f t="shared" si="144"/>
        <v>0</v>
      </c>
      <c r="G233" s="331">
        <f t="shared" si="144"/>
        <v>0</v>
      </c>
      <c r="H233" s="402">
        <f t="shared" si="144"/>
        <v>0</v>
      </c>
      <c r="I233" s="14">
        <f t="shared" si="144"/>
        <v>0</v>
      </c>
      <c r="J233" s="14">
        <f t="shared" si="144"/>
        <v>0</v>
      </c>
      <c r="K233" s="14">
        <f t="shared" si="144"/>
        <v>0</v>
      </c>
      <c r="L233" s="14">
        <f t="shared" si="144"/>
        <v>0</v>
      </c>
      <c r="M233" s="14">
        <f t="shared" si="144"/>
        <v>0</v>
      </c>
      <c r="N233" s="187">
        <f t="shared" si="142"/>
        <v>0</v>
      </c>
      <c r="O233" s="14">
        <f t="shared" si="142"/>
        <v>0</v>
      </c>
      <c r="P233" s="14">
        <f t="shared" si="144"/>
        <v>0</v>
      </c>
      <c r="Q233" s="14">
        <f t="shared" si="144"/>
        <v>0</v>
      </c>
      <c r="R233" s="14">
        <f t="shared" si="144"/>
        <v>0</v>
      </c>
      <c r="S233" s="14">
        <f t="shared" si="144"/>
        <v>0</v>
      </c>
      <c r="T233" s="14">
        <f t="shared" si="144"/>
        <v>0</v>
      </c>
      <c r="U233" s="14">
        <f t="shared" si="144"/>
        <v>0</v>
      </c>
      <c r="V233" s="14">
        <f t="shared" si="144"/>
        <v>0</v>
      </c>
      <c r="W233" s="14">
        <f t="shared" si="144"/>
        <v>0</v>
      </c>
      <c r="X233" s="187">
        <f t="shared" si="144"/>
        <v>0</v>
      </c>
      <c r="Y233" s="158">
        <f t="shared" si="144"/>
        <v>0</v>
      </c>
      <c r="Z233" s="158">
        <f t="shared" si="144"/>
        <v>0</v>
      </c>
      <c r="AA233" s="158">
        <f t="shared" si="144"/>
        <v>0</v>
      </c>
      <c r="AB233" s="158">
        <f t="shared" si="144"/>
        <v>0</v>
      </c>
      <c r="AC233" s="158">
        <f t="shared" si="144"/>
        <v>0</v>
      </c>
      <c r="AD233" s="158">
        <f t="shared" si="144"/>
        <v>0</v>
      </c>
      <c r="AE233" s="158">
        <f t="shared" si="144"/>
        <v>0</v>
      </c>
      <c r="AF233" s="158">
        <f t="shared" si="144"/>
        <v>0</v>
      </c>
      <c r="AG233" s="158">
        <f t="shared" si="144"/>
        <v>0</v>
      </c>
      <c r="AH233" s="187">
        <f t="shared" si="144"/>
        <v>0</v>
      </c>
    </row>
    <row r="234" spans="1:34">
      <c r="A234" t="s">
        <v>417</v>
      </c>
      <c r="C234" s="331">
        <f t="shared" ref="C234:AH234" si="145">C213-C194</f>
        <v>-2.7000000000043656E-4</v>
      </c>
      <c r="D234" s="331">
        <f t="shared" si="145"/>
        <v>152.28723685979526</v>
      </c>
      <c r="E234" s="331">
        <f t="shared" si="145"/>
        <v>9.4381945928034838E-5</v>
      </c>
      <c r="F234" s="331">
        <f t="shared" si="145"/>
        <v>163.37937911756035</v>
      </c>
      <c r="G234" s="331">
        <f t="shared" si="145"/>
        <v>63.642493849557468</v>
      </c>
      <c r="H234" s="402">
        <f>H213-H194</f>
        <v>-2.7000000000043656E-4</v>
      </c>
      <c r="I234" s="14">
        <f t="shared" si="145"/>
        <v>86.996334399752413</v>
      </c>
      <c r="J234" s="14">
        <f t="shared" si="145"/>
        <v>179.50651124031629</v>
      </c>
      <c r="K234" s="14">
        <f t="shared" si="145"/>
        <v>159.37225657191289</v>
      </c>
      <c r="L234" s="14">
        <f t="shared" si="145"/>
        <v>215.17171787300822</v>
      </c>
      <c r="M234" s="14">
        <f t="shared" si="145"/>
        <v>299.5104408899374</v>
      </c>
      <c r="N234" s="187">
        <f t="shared" si="145"/>
        <v>387.94878909732438</v>
      </c>
      <c r="O234" s="14">
        <f t="shared" si="145"/>
        <v>442.89483455961113</v>
      </c>
      <c r="P234" s="14">
        <f t="shared" si="145"/>
        <v>555.45402735450193</v>
      </c>
      <c r="Q234" s="14">
        <f t="shared" si="145"/>
        <v>564.72387707275948</v>
      </c>
      <c r="R234" s="14">
        <f t="shared" si="145"/>
        <v>712.31925962692867</v>
      </c>
      <c r="S234" s="14">
        <f t="shared" si="145"/>
        <v>686.53638162033258</v>
      </c>
      <c r="T234" s="14">
        <f t="shared" si="145"/>
        <v>863.75923152191081</v>
      </c>
      <c r="U234" s="14">
        <f t="shared" si="145"/>
        <v>1086.1189951397359</v>
      </c>
      <c r="V234" s="14">
        <f t="shared" si="145"/>
        <v>1340.1381831898375</v>
      </c>
      <c r="W234" s="14">
        <f t="shared" si="145"/>
        <v>1356.2272004434762</v>
      </c>
      <c r="X234" s="187">
        <f t="shared" si="145"/>
        <v>1662.2713558096666</v>
      </c>
      <c r="Y234" s="158">
        <f t="shared" si="145"/>
        <v>1836.0576846842887</v>
      </c>
      <c r="Z234" s="158">
        <f t="shared" si="145"/>
        <v>2041.3937181229153</v>
      </c>
      <c r="AA234" s="158">
        <f t="shared" si="145"/>
        <v>2238.8368060187204</v>
      </c>
      <c r="AB234" s="158">
        <f t="shared" si="145"/>
        <v>2451.4964438306424</v>
      </c>
      <c r="AC234" s="158">
        <f t="shared" si="145"/>
        <v>2703.0187008351845</v>
      </c>
      <c r="AD234" s="158">
        <f t="shared" si="145"/>
        <v>2949.3435868727497</v>
      </c>
      <c r="AE234" s="158">
        <f t="shared" si="145"/>
        <v>3238.1176961723777</v>
      </c>
      <c r="AF234" s="158">
        <f t="shared" si="145"/>
        <v>3547.2048008214797</v>
      </c>
      <c r="AG234" s="158">
        <f t="shared" si="145"/>
        <v>3851.7318575005684</v>
      </c>
      <c r="AH234" s="187">
        <f t="shared" si="145"/>
        <v>4163.4320326638299</v>
      </c>
    </row>
    <row r="235" spans="1:34">
      <c r="A235" t="s">
        <v>418</v>
      </c>
      <c r="C235" s="331">
        <f t="shared" ref="C235:AH235" si="146">C214-C195</f>
        <v>0</v>
      </c>
      <c r="D235" s="331">
        <f t="shared" si="146"/>
        <v>80.151340448823248</v>
      </c>
      <c r="E235" s="331">
        <f t="shared" si="146"/>
        <v>2.0243441429101949E-4</v>
      </c>
      <c r="F235" s="331">
        <f t="shared" si="146"/>
        <v>85.989309318821597</v>
      </c>
      <c r="G235" s="331">
        <f t="shared" si="146"/>
        <v>33.49620553794955</v>
      </c>
      <c r="H235" s="402">
        <f t="shared" si="146"/>
        <v>0</v>
      </c>
      <c r="I235" s="14">
        <f t="shared" si="146"/>
        <v>45.787694202992043</v>
      </c>
      <c r="J235" s="14">
        <f t="shared" si="146"/>
        <v>94.477271129714495</v>
      </c>
      <c r="K235" s="14">
        <f t="shared" si="146"/>
        <v>83.880296333790625</v>
      </c>
      <c r="L235" s="14">
        <f t="shared" si="146"/>
        <v>113.24843742093958</v>
      </c>
      <c r="M235" s="14">
        <f t="shared" si="146"/>
        <v>157.63724406798713</v>
      </c>
      <c r="N235" s="187">
        <f t="shared" si="146"/>
        <v>204.18374906319787</v>
      </c>
      <c r="O235" s="14">
        <f t="shared" si="146"/>
        <v>233.10273541792549</v>
      </c>
      <c r="P235" s="14">
        <f t="shared" si="146"/>
        <v>292.34443260160651</v>
      </c>
      <c r="Q235" s="14">
        <f t="shared" si="146"/>
        <v>297.22332167639343</v>
      </c>
      <c r="R235" s="14">
        <f t="shared" si="146"/>
        <v>374.90512260095693</v>
      </c>
      <c r="S235" s="14">
        <f t="shared" si="146"/>
        <v>361.3352087358096</v>
      </c>
      <c r="T235" s="14">
        <f t="shared" si="146"/>
        <v>454.61041542158023</v>
      </c>
      <c r="U235" s="14">
        <f t="shared" si="146"/>
        <v>571.64189414169527</v>
      </c>
      <c r="V235" s="14">
        <f t="shared" si="146"/>
        <v>705.33623025427937</v>
      </c>
      <c r="W235" s="14">
        <f t="shared" si="146"/>
        <v>713.8041627998773</v>
      </c>
      <c r="X235" s="187">
        <f t="shared" si="146"/>
        <v>874.880064813731</v>
      </c>
      <c r="Y235" s="158">
        <f t="shared" si="146"/>
        <v>966.34657228540527</v>
      </c>
      <c r="Z235" s="158">
        <f t="shared" si="146"/>
        <v>1074.4181893006712</v>
      </c>
      <c r="AA235" s="158">
        <f t="shared" si="146"/>
        <v>1178.3356246519902</v>
      </c>
      <c r="AB235" s="158">
        <f t="shared" si="146"/>
        <v>1290.2617723334822</v>
      </c>
      <c r="AC235" s="158">
        <f t="shared" si="146"/>
        <v>1422.6419329055911</v>
      </c>
      <c r="AD235" s="158">
        <f t="shared" si="146"/>
        <v>1552.2866359661382</v>
      </c>
      <c r="AE235" s="158">
        <f t="shared" si="146"/>
        <v>1704.2730395540329</v>
      </c>
      <c r="AF235" s="158">
        <f t="shared" si="146"/>
        <v>1866.9504958734785</v>
      </c>
      <c r="AG235" s="158">
        <f t="shared" si="146"/>
        <v>2027.227926795644</v>
      </c>
      <c r="AH235" s="187">
        <f t="shared" si="146"/>
        <v>2191.2806832165506</v>
      </c>
    </row>
    <row r="236" spans="1:34">
      <c r="A236" t="s">
        <v>419</v>
      </c>
      <c r="C236" s="331">
        <f t="shared" ref="C236:AH236" si="147">C215-C196</f>
        <v>-2.7000000000043656E-4</v>
      </c>
      <c r="D236" s="331">
        <f t="shared" si="147"/>
        <v>72.13589641097218</v>
      </c>
      <c r="E236" s="331">
        <f t="shared" si="147"/>
        <v>-1.0805246859035833E-4</v>
      </c>
      <c r="F236" s="331">
        <f t="shared" si="147"/>
        <v>77.39006979873875</v>
      </c>
      <c r="G236" s="331">
        <f t="shared" si="147"/>
        <v>30.146288311607805</v>
      </c>
      <c r="H236" s="402">
        <f>H215-H196</f>
        <v>-2.7000000000043656E-4</v>
      </c>
      <c r="I236" s="14">
        <f t="shared" si="147"/>
        <v>41.208640196760598</v>
      </c>
      <c r="J236" s="14">
        <f t="shared" si="147"/>
        <v>85.029240110602018</v>
      </c>
      <c r="K236" s="14">
        <f t="shared" si="147"/>
        <v>75.491960238122374</v>
      </c>
      <c r="L236" s="14">
        <f t="shared" si="147"/>
        <v>101.92328045206875</v>
      </c>
      <c r="M236" s="14">
        <f t="shared" si="147"/>
        <v>141.87319682195027</v>
      </c>
      <c r="N236" s="187">
        <f t="shared" si="147"/>
        <v>183.76504003412651</v>
      </c>
      <c r="O236" s="14">
        <f t="shared" si="147"/>
        <v>209.79209914168541</v>
      </c>
      <c r="P236" s="14">
        <f t="shared" si="147"/>
        <v>263.10959475289542</v>
      </c>
      <c r="Q236" s="14">
        <f t="shared" si="147"/>
        <v>267.50055539636594</v>
      </c>
      <c r="R236" s="14">
        <f t="shared" si="147"/>
        <v>337.41413702597185</v>
      </c>
      <c r="S236" s="14">
        <f t="shared" si="147"/>
        <v>325.2011728845232</v>
      </c>
      <c r="T236" s="14">
        <f t="shared" si="147"/>
        <v>409.14881610033058</v>
      </c>
      <c r="U236" s="14">
        <f t="shared" si="147"/>
        <v>514.47710099804044</v>
      </c>
      <c r="V236" s="14">
        <f t="shared" si="147"/>
        <v>634.80195293555812</v>
      </c>
      <c r="W236" s="14">
        <f t="shared" si="147"/>
        <v>642.42303764359826</v>
      </c>
      <c r="X236" s="187">
        <f t="shared" si="147"/>
        <v>787.39129099593583</v>
      </c>
      <c r="Y236" s="158">
        <f t="shared" si="147"/>
        <v>869.71111239888319</v>
      </c>
      <c r="Z236" s="158">
        <f t="shared" si="147"/>
        <v>966.97552882224409</v>
      </c>
      <c r="AA236" s="158">
        <f t="shared" si="147"/>
        <v>1060.50118136673</v>
      </c>
      <c r="AB236" s="158">
        <f t="shared" si="147"/>
        <v>1161.2346714971607</v>
      </c>
      <c r="AC236" s="158">
        <f t="shared" si="147"/>
        <v>1280.3767679295938</v>
      </c>
      <c r="AD236" s="158">
        <f t="shared" si="147"/>
        <v>1397.056950906612</v>
      </c>
      <c r="AE236" s="158">
        <f t="shared" si="147"/>
        <v>1533.8446566183443</v>
      </c>
      <c r="AF236" s="158">
        <f t="shared" si="147"/>
        <v>1680.2543049480014</v>
      </c>
      <c r="AG236" s="158">
        <f t="shared" si="147"/>
        <v>1824.5039307049237</v>
      </c>
      <c r="AH236" s="187">
        <f t="shared" si="147"/>
        <v>1972.1513494472788</v>
      </c>
    </row>
    <row r="237" spans="1:34">
      <c r="A237" t="s">
        <v>420</v>
      </c>
      <c r="C237" s="331">
        <f t="shared" ref="C237:AH237" si="148">C216-C197</f>
        <v>0</v>
      </c>
      <c r="D237" s="331">
        <f t="shared" si="148"/>
        <v>177.29670072161389</v>
      </c>
      <c r="E237" s="331">
        <f t="shared" si="148"/>
        <v>101.88681013442238</v>
      </c>
      <c r="F237" s="331">
        <f t="shared" si="148"/>
        <v>452.56074595681275</v>
      </c>
      <c r="G237" s="331">
        <f t="shared" si="148"/>
        <v>171.42764323769916</v>
      </c>
      <c r="H237" s="402">
        <f t="shared" si="148"/>
        <v>0</v>
      </c>
      <c r="I237" s="14">
        <f t="shared" si="148"/>
        <v>26.245969979650908</v>
      </c>
      <c r="J237" s="14">
        <f t="shared" si="148"/>
        <v>104.33718405706895</v>
      </c>
      <c r="K237" s="14">
        <f t="shared" si="148"/>
        <v>-108.03573662935378</v>
      </c>
      <c r="L237" s="14">
        <f t="shared" si="148"/>
        <v>-201.39290281292233</v>
      </c>
      <c r="M237" s="14">
        <f t="shared" si="148"/>
        <v>-126.06783001885833</v>
      </c>
      <c r="N237" s="187">
        <f t="shared" si="148"/>
        <v>0</v>
      </c>
      <c r="O237" s="14">
        <f t="shared" si="148"/>
        <v>0.1657722060863307</v>
      </c>
      <c r="P237" s="14">
        <f t="shared" si="148"/>
        <v>10.666114447478321</v>
      </c>
      <c r="Q237" s="14">
        <f t="shared" si="148"/>
        <v>81.841718870428849</v>
      </c>
      <c r="R237" s="14">
        <f t="shared" si="148"/>
        <v>103.55027083425739</v>
      </c>
      <c r="S237" s="14">
        <f t="shared" si="148"/>
        <v>112.31617594948057</v>
      </c>
      <c r="T237" s="14">
        <f t="shared" si="148"/>
        <v>93.403109882660829</v>
      </c>
      <c r="U237" s="14">
        <f t="shared" si="148"/>
        <v>69.950885793989073</v>
      </c>
      <c r="V237" s="14">
        <f t="shared" si="148"/>
        <v>50.324278802391746</v>
      </c>
      <c r="W237" s="14">
        <f t="shared" si="148"/>
        <v>27.963532067732558</v>
      </c>
      <c r="X237" s="187">
        <f t="shared" si="148"/>
        <v>-0.75644455503970676</v>
      </c>
      <c r="Y237" s="158">
        <f t="shared" si="148"/>
        <v>-26.177292000289526</v>
      </c>
      <c r="Z237" s="158">
        <f t="shared" si="148"/>
        <v>-40.851812102836448</v>
      </c>
      <c r="AA237" s="158">
        <f t="shared" si="148"/>
        <v>-63.648287634754524</v>
      </c>
      <c r="AB237" s="158">
        <f t="shared" si="148"/>
        <v>-76.756478673311904</v>
      </c>
      <c r="AC237" s="158">
        <f t="shared" si="148"/>
        <v>-73.627191948349719</v>
      </c>
      <c r="AD237" s="158">
        <f t="shared" si="148"/>
        <v>-74.846309033653597</v>
      </c>
      <c r="AE237" s="158">
        <f t="shared" si="148"/>
        <v>-48.607520446377748</v>
      </c>
      <c r="AF237" s="158">
        <f t="shared" si="148"/>
        <v>-15.956097621680783</v>
      </c>
      <c r="AG237" s="158">
        <f t="shared" si="148"/>
        <v>-0.71393449437709933</v>
      </c>
      <c r="AH237" s="187">
        <f t="shared" si="148"/>
        <v>-1.1117140476389977</v>
      </c>
    </row>
    <row r="238" spans="1:34">
      <c r="A238" t="s">
        <v>421</v>
      </c>
      <c r="C238" s="331">
        <f t="shared" ref="C238:AH238" si="149">C217-C198</f>
        <v>0</v>
      </c>
      <c r="D238" s="331">
        <f t="shared" si="149"/>
        <v>93.314053011375563</v>
      </c>
      <c r="E238" s="331">
        <f t="shared" si="149"/>
        <v>53.62463691285393</v>
      </c>
      <c r="F238" s="331">
        <f t="shared" si="149"/>
        <v>238.18986629305937</v>
      </c>
      <c r="G238" s="331">
        <f t="shared" si="149"/>
        <v>90.225075388262667</v>
      </c>
      <c r="H238" s="402">
        <f t="shared" si="149"/>
        <v>0</v>
      </c>
      <c r="I238" s="14">
        <f t="shared" si="149"/>
        <v>13.813668410342871</v>
      </c>
      <c r="J238" s="14">
        <f t="shared" si="149"/>
        <v>54.914307398457368</v>
      </c>
      <c r="K238" s="14">
        <f t="shared" si="149"/>
        <v>-56.860914015449907</v>
      </c>
      <c r="L238" s="14">
        <f t="shared" si="149"/>
        <v>-105.99626463838058</v>
      </c>
      <c r="M238" s="14">
        <f t="shared" si="149"/>
        <v>-66.351489483609839</v>
      </c>
      <c r="N238" s="187">
        <f t="shared" si="149"/>
        <v>0</v>
      </c>
      <c r="O238" s="14">
        <f t="shared" si="149"/>
        <v>8.7248529519456497E-2</v>
      </c>
      <c r="P238" s="14">
        <f t="shared" si="149"/>
        <v>5.6137444460414372</v>
      </c>
      <c r="Q238" s="14">
        <f t="shared" si="149"/>
        <v>43.074588879173461</v>
      </c>
      <c r="R238" s="14">
        <f t="shared" si="149"/>
        <v>54.500142544346545</v>
      </c>
      <c r="S238" s="14">
        <f t="shared" si="149"/>
        <v>59.113776815515848</v>
      </c>
      <c r="T238" s="14">
        <f t="shared" si="149"/>
        <v>49.159531517190317</v>
      </c>
      <c r="U238" s="14">
        <f t="shared" si="149"/>
        <v>36.816255681047096</v>
      </c>
      <c r="V238" s="14">
        <f t="shared" si="149"/>
        <v>26.486462527574531</v>
      </c>
      <c r="W238" s="14">
        <f t="shared" si="149"/>
        <v>14.717648456701681</v>
      </c>
      <c r="X238" s="187">
        <f t="shared" si="149"/>
        <v>-0.39812871317826648</v>
      </c>
      <c r="Y238" s="158">
        <f t="shared" si="149"/>
        <v>-13.77752210541621</v>
      </c>
      <c r="Z238" s="158">
        <f t="shared" si="149"/>
        <v>-21.500953738335284</v>
      </c>
      <c r="AA238" s="158">
        <f t="shared" si="149"/>
        <v>-33.499098755134128</v>
      </c>
      <c r="AB238" s="158">
        <f t="shared" si="149"/>
        <v>-40.398146670164351</v>
      </c>
      <c r="AC238" s="158">
        <f t="shared" si="149"/>
        <v>-38.751153657025952</v>
      </c>
      <c r="AD238" s="158">
        <f t="shared" si="149"/>
        <v>-39.392794228238927</v>
      </c>
      <c r="AE238" s="158">
        <f t="shared" si="149"/>
        <v>-25.582905498093623</v>
      </c>
      <c r="AF238" s="158">
        <f t="shared" si="149"/>
        <v>-8.3979461166741203</v>
      </c>
      <c r="AG238" s="158">
        <f t="shared" si="149"/>
        <v>-0.37575499704053072</v>
      </c>
      <c r="AH238" s="187">
        <f t="shared" si="149"/>
        <v>-0.58511265665174506</v>
      </c>
    </row>
    <row r="239" spans="1:34">
      <c r="A239" t="s">
        <v>422</v>
      </c>
      <c r="C239" s="331">
        <f t="shared" ref="C239:AH239" si="150">C218-C199</f>
        <v>0</v>
      </c>
      <c r="D239" s="331">
        <f t="shared" si="150"/>
        <v>83.98264771023787</v>
      </c>
      <c r="E239" s="331">
        <f t="shared" si="150"/>
        <v>48.262173221568446</v>
      </c>
      <c r="F239" s="331">
        <f t="shared" si="150"/>
        <v>214.37087966375293</v>
      </c>
      <c r="G239" s="331">
        <f t="shared" si="150"/>
        <v>81.202567849436491</v>
      </c>
      <c r="H239" s="402">
        <f t="shared" si="150"/>
        <v>0</v>
      </c>
      <c r="I239" s="14">
        <f t="shared" si="150"/>
        <v>12.432301569308493</v>
      </c>
      <c r="J239" s="14">
        <f t="shared" si="150"/>
        <v>49.422876658611585</v>
      </c>
      <c r="K239" s="14">
        <f t="shared" si="150"/>
        <v>-51.174822613904325</v>
      </c>
      <c r="L239" s="14">
        <f t="shared" si="150"/>
        <v>-95.396638174542204</v>
      </c>
      <c r="M239" s="14">
        <f t="shared" si="150"/>
        <v>-59.716340535248492</v>
      </c>
      <c r="N239" s="187">
        <f t="shared" si="150"/>
        <v>0</v>
      </c>
      <c r="O239" s="14">
        <f t="shared" si="150"/>
        <v>7.8523676567783696E-2</v>
      </c>
      <c r="P239" s="14">
        <f t="shared" si="150"/>
        <v>5.0523700014368842</v>
      </c>
      <c r="Q239" s="14">
        <f t="shared" si="150"/>
        <v>38.767129991255842</v>
      </c>
      <c r="R239" s="14">
        <f t="shared" si="150"/>
        <v>49.050128289911754</v>
      </c>
      <c r="S239" s="14">
        <f t="shared" si="150"/>
        <v>53.202399133964718</v>
      </c>
      <c r="T239" s="14">
        <f t="shared" si="150"/>
        <v>44.243578365470967</v>
      </c>
      <c r="U239" s="14">
        <f t="shared" si="150"/>
        <v>33.134630112942432</v>
      </c>
      <c r="V239" s="14">
        <f t="shared" si="150"/>
        <v>23.837816274817214</v>
      </c>
      <c r="W239" s="14">
        <f t="shared" si="150"/>
        <v>13.245883611031331</v>
      </c>
      <c r="X239" s="187">
        <f t="shared" si="150"/>
        <v>-0.35831584186098553</v>
      </c>
      <c r="Y239" s="158">
        <f t="shared" si="150"/>
        <v>-12.399769894874225</v>
      </c>
      <c r="Z239" s="158">
        <f t="shared" si="150"/>
        <v>-19.350858364501619</v>
      </c>
      <c r="AA239" s="158">
        <f t="shared" si="150"/>
        <v>-30.149188879620851</v>
      </c>
      <c r="AB239" s="158">
        <f t="shared" si="150"/>
        <v>-36.358332003148007</v>
      </c>
      <c r="AC239" s="158">
        <f t="shared" si="150"/>
        <v>-34.876038291323312</v>
      </c>
      <c r="AD239" s="158">
        <f t="shared" si="150"/>
        <v>-35.453514805415125</v>
      </c>
      <c r="AE239" s="158">
        <f t="shared" si="150"/>
        <v>-23.024614948284125</v>
      </c>
      <c r="AF239" s="158">
        <f t="shared" si="150"/>
        <v>-7.5581515050066628</v>
      </c>
      <c r="AG239" s="158">
        <f t="shared" si="150"/>
        <v>-0.3381794973365686</v>
      </c>
      <c r="AH239" s="187">
        <f t="shared" si="150"/>
        <v>-0.52660139098679792</v>
      </c>
    </row>
    <row r="240" spans="1:34">
      <c r="A240" t="s">
        <v>394</v>
      </c>
      <c r="C240" s="331">
        <f>C219-C200</f>
        <v>14.002999999995154</v>
      </c>
      <c r="D240" s="331">
        <f t="shared" ref="D240:AH240" si="151">D219-D200+D249+D252</f>
        <v>-199.13898065752255</v>
      </c>
      <c r="E240" s="331">
        <f t="shared" si="151"/>
        <v>-79.591262421867214</v>
      </c>
      <c r="F240" s="331">
        <f t="shared" si="151"/>
        <v>-436.37299090824854</v>
      </c>
      <c r="G240" s="331">
        <f t="shared" si="151"/>
        <v>-168.42902644278547</v>
      </c>
      <c r="H240" s="402">
        <f t="shared" si="151"/>
        <v>-0.27170000000296568</v>
      </c>
      <c r="I240" s="14">
        <f t="shared" si="151"/>
        <v>-66.563005431713464</v>
      </c>
      <c r="J240" s="14">
        <f t="shared" si="151"/>
        <v>-176.13641911801824</v>
      </c>
      <c r="K240" s="14">
        <f t="shared" si="151"/>
        <v>0.43555282333181822</v>
      </c>
      <c r="L240" s="14">
        <f t="shared" si="151"/>
        <v>44.24072284263093</v>
      </c>
      <c r="M240" s="14">
        <f t="shared" si="151"/>
        <v>-59.267792028987969</v>
      </c>
      <c r="N240" s="187">
        <f t="shared" si="151"/>
        <v>-204.70914879322845</v>
      </c>
      <c r="O240" s="14">
        <f t="shared" si="151"/>
        <v>-233.81657497366541</v>
      </c>
      <c r="P240" s="14">
        <f t="shared" si="151"/>
        <v>-301.18270660272537</v>
      </c>
      <c r="Q240" s="14">
        <f t="shared" si="151"/>
        <v>-361.99693807639778</v>
      </c>
      <c r="R240" s="14">
        <f t="shared" si="151"/>
        <v>-456.47718597579296</v>
      </c>
      <c r="S240" s="14">
        <f t="shared" si="151"/>
        <v>-450.01776697546302</v>
      </c>
      <c r="T240" s="14">
        <f t="shared" si="151"/>
        <v>-528.2891578192648</v>
      </c>
      <c r="U240" s="14">
        <f t="shared" si="151"/>
        <v>-626.63646269445962</v>
      </c>
      <c r="V240" s="14">
        <f t="shared" si="151"/>
        <v>-744.66992393309192</v>
      </c>
      <c r="W240" s="14">
        <f t="shared" si="151"/>
        <v>-735.93020710928249</v>
      </c>
      <c r="X240" s="187">
        <f t="shared" si="151"/>
        <v>-874.11256247333586</v>
      </c>
      <c r="Y240" s="158">
        <f t="shared" si="151"/>
        <v>-945.45753760405933</v>
      </c>
      <c r="Z240" s="158">
        <f t="shared" si="151"/>
        <v>-1041.8175429818111</v>
      </c>
      <c r="AA240" s="158">
        <f t="shared" si="151"/>
        <v>-1127.6047302576917</v>
      </c>
      <c r="AB240" s="158">
        <f t="shared" si="151"/>
        <v>-1228.9373698367781</v>
      </c>
      <c r="AC240" s="158">
        <f t="shared" si="151"/>
        <v>-1363.4046349672535</v>
      </c>
      <c r="AD240" s="158">
        <f t="shared" si="151"/>
        <v>-1491.7228957196239</v>
      </c>
      <c r="AE240" s="158">
        <f t="shared" si="151"/>
        <v>-1663.6886583618543</v>
      </c>
      <c r="AF240" s="158">
        <f t="shared" si="151"/>
        <v>-1851.3589740608732</v>
      </c>
      <c r="AG240" s="158">
        <f t="shared" si="151"/>
        <v>-2022.9747254675021</v>
      </c>
      <c r="AH240" s="187">
        <f t="shared" si="151"/>
        <v>-2185.9598732692211</v>
      </c>
    </row>
    <row r="241" spans="1:34">
      <c r="A241" t="s">
        <v>423</v>
      </c>
      <c r="C241" s="331">
        <f>C220-C201</f>
        <v>7.3699999999980719</v>
      </c>
      <c r="D241" s="331">
        <f t="shared" ref="D241:AH241" si="152">D220-D201+D250+D253</f>
        <v>-104.80998981974881</v>
      </c>
      <c r="E241" s="331">
        <f t="shared" si="152"/>
        <v>-41.890138116772505</v>
      </c>
      <c r="F241" s="331">
        <f t="shared" si="152"/>
        <v>-229.6699952148665</v>
      </c>
      <c r="G241" s="331">
        <f t="shared" si="152"/>
        <v>-88.646856022518477</v>
      </c>
      <c r="H241" s="402">
        <f t="shared" si="152"/>
        <v>-0.14300000000184809</v>
      </c>
      <c r="I241" s="14">
        <f t="shared" si="152"/>
        <v>-35.033160753533593</v>
      </c>
      <c r="J241" s="14">
        <f t="shared" si="152"/>
        <v>-92.703378483167398</v>
      </c>
      <c r="K241" s="14">
        <f t="shared" si="152"/>
        <v>0.22923832806918654</v>
      </c>
      <c r="L241" s="14">
        <f t="shared" si="152"/>
        <v>23.284590969806231</v>
      </c>
      <c r="M241" s="14">
        <f t="shared" si="152"/>
        <v>-31.193574752098357</v>
      </c>
      <c r="N241" s="187">
        <f t="shared" si="152"/>
        <v>-107.74165725959392</v>
      </c>
      <c r="O241" s="14">
        <f t="shared" si="152"/>
        <v>-123.06135524929778</v>
      </c>
      <c r="P241" s="14">
        <f t="shared" si="152"/>
        <v>-158.5172140014347</v>
      </c>
      <c r="Q241" s="14">
        <f t="shared" si="152"/>
        <v>-190.52470425073443</v>
      </c>
      <c r="R241" s="14">
        <f t="shared" si="152"/>
        <v>-240.25115051357534</v>
      </c>
      <c r="S241" s="14">
        <f t="shared" si="152"/>
        <v>-236.85145630287479</v>
      </c>
      <c r="T241" s="14">
        <f t="shared" si="152"/>
        <v>-278.04692516803334</v>
      </c>
      <c r="U241" s="14">
        <f t="shared" si="152"/>
        <v>-329.80866457603042</v>
      </c>
      <c r="V241" s="14">
        <f t="shared" si="152"/>
        <v>-391.93153891215297</v>
      </c>
      <c r="W241" s="14">
        <f t="shared" si="152"/>
        <v>-387.33168795225356</v>
      </c>
      <c r="X241" s="187">
        <f t="shared" si="152"/>
        <v>-460.05924340701858</v>
      </c>
      <c r="Y241" s="158">
        <f t="shared" si="152"/>
        <v>-497.60923031792481</v>
      </c>
      <c r="Z241" s="158">
        <f t="shared" si="152"/>
        <v>-548.32502262200433</v>
      </c>
      <c r="AA241" s="158">
        <f t="shared" si="152"/>
        <v>-593.47617381983764</v>
      </c>
      <c r="AB241" s="158">
        <f t="shared" si="152"/>
        <v>-646.80914201935593</v>
      </c>
      <c r="AC241" s="158">
        <f t="shared" si="152"/>
        <v>-717.58138682487152</v>
      </c>
      <c r="AD241" s="158">
        <f t="shared" si="152"/>
        <v>-785.11731353664436</v>
      </c>
      <c r="AE241" s="158">
        <f t="shared" si="152"/>
        <v>-875.62560966413548</v>
      </c>
      <c r="AF241" s="158">
        <f t="shared" si="152"/>
        <v>-974.39946003204022</v>
      </c>
      <c r="AG241" s="158">
        <f t="shared" si="152"/>
        <v>-1064.7235397197383</v>
      </c>
      <c r="AH241" s="187">
        <f t="shared" si="152"/>
        <v>-1150.505196457485</v>
      </c>
    </row>
    <row r="242" spans="1:34">
      <c r="A242" t="s">
        <v>424</v>
      </c>
      <c r="C242" s="331">
        <f>C221-C202</f>
        <v>6.6329999999979918</v>
      </c>
      <c r="D242" s="331">
        <f t="shared" ref="D242:AH242" si="153">D221-D202+D251+D254</f>
        <v>-94.328990837774654</v>
      </c>
      <c r="E242" s="331">
        <f t="shared" si="153"/>
        <v>-37.701124305094709</v>
      </c>
      <c r="F242" s="331">
        <f t="shared" si="153"/>
        <v>-206.70299569338113</v>
      </c>
      <c r="G242" s="331">
        <f t="shared" si="153"/>
        <v>-79.782170420266993</v>
      </c>
      <c r="H242" s="402">
        <f t="shared" si="153"/>
        <v>-0.12870000000020809</v>
      </c>
      <c r="I242" s="14">
        <f t="shared" si="153"/>
        <v>-31.529844678178961</v>
      </c>
      <c r="J242" s="14">
        <f t="shared" si="153"/>
        <v>-83.43304063485084</v>
      </c>
      <c r="K242" s="14">
        <f t="shared" si="153"/>
        <v>0.20631449526172219</v>
      </c>
      <c r="L242" s="14">
        <f t="shared" si="153"/>
        <v>20.956131872825608</v>
      </c>
      <c r="M242" s="14">
        <f t="shared" si="153"/>
        <v>-28.074217276889613</v>
      </c>
      <c r="N242" s="187">
        <f t="shared" si="153"/>
        <v>-96.967491533634529</v>
      </c>
      <c r="O242" s="14">
        <f t="shared" si="153"/>
        <v>-110.75521972436854</v>
      </c>
      <c r="P242" s="14">
        <f t="shared" si="153"/>
        <v>-142.66549260129068</v>
      </c>
      <c r="Q242" s="14">
        <f t="shared" si="153"/>
        <v>-171.47223382566335</v>
      </c>
      <c r="R242" s="14">
        <f t="shared" si="153"/>
        <v>-216.22603546221944</v>
      </c>
      <c r="S242" s="14">
        <f t="shared" si="153"/>
        <v>-213.16631067258822</v>
      </c>
      <c r="T242" s="14">
        <f t="shared" si="153"/>
        <v>-250.24223265123237</v>
      </c>
      <c r="U242" s="14">
        <f t="shared" si="153"/>
        <v>-296.82779811842647</v>
      </c>
      <c r="V242" s="14">
        <f t="shared" si="153"/>
        <v>-352.73838502093804</v>
      </c>
      <c r="W242" s="14">
        <f t="shared" si="153"/>
        <v>-348.59851915702893</v>
      </c>
      <c r="X242" s="187">
        <f t="shared" si="153"/>
        <v>-414.05331906631727</v>
      </c>
      <c r="Y242" s="158">
        <f t="shared" si="153"/>
        <v>-447.84830728613451</v>
      </c>
      <c r="Z242" s="158">
        <f t="shared" si="153"/>
        <v>-493.49252035980498</v>
      </c>
      <c r="AA242" s="158">
        <f t="shared" si="153"/>
        <v>-534.12855643785224</v>
      </c>
      <c r="AB242" s="158">
        <f t="shared" si="153"/>
        <v>-582.12822781742216</v>
      </c>
      <c r="AC242" s="158">
        <f t="shared" si="153"/>
        <v>-645.82324814238382</v>
      </c>
      <c r="AD242" s="158">
        <f t="shared" si="153"/>
        <v>-706.60558218297956</v>
      </c>
      <c r="AE242" s="158">
        <f t="shared" si="153"/>
        <v>-788.06304869772066</v>
      </c>
      <c r="AF242" s="158">
        <f t="shared" si="153"/>
        <v>-876.95951402883657</v>
      </c>
      <c r="AG242" s="158">
        <f t="shared" si="153"/>
        <v>-958.25118574776388</v>
      </c>
      <c r="AH242" s="187">
        <f t="shared" si="153"/>
        <v>-1035.454676811738</v>
      </c>
    </row>
    <row r="243" spans="1:34" s="1" customFormat="1">
      <c r="A243" s="1" t="s">
        <v>405</v>
      </c>
      <c r="B243" s="13"/>
      <c r="C243" s="341">
        <f>C222-C203</f>
        <v>14.002729999996518</v>
      </c>
      <c r="D243" s="341">
        <f t="shared" ref="D243:AH243" si="154">D222-D203+D249+D252</f>
        <v>130.44495692388591</v>
      </c>
      <c r="E243" s="341">
        <f t="shared" si="154"/>
        <v>22.29564209450109</v>
      </c>
      <c r="F243" s="341">
        <f t="shared" si="154"/>
        <v>179.56713416612547</v>
      </c>
      <c r="G243" s="341">
        <f t="shared" si="154"/>
        <v>66.641110644472064</v>
      </c>
      <c r="H243" s="405">
        <f t="shared" si="154"/>
        <v>-0.27197000000160187</v>
      </c>
      <c r="I243" s="15">
        <f t="shared" si="154"/>
        <v>46.679298947688949</v>
      </c>
      <c r="J243" s="15">
        <f t="shared" si="154"/>
        <v>107.70727617936791</v>
      </c>
      <c r="K243" s="15">
        <f t="shared" si="154"/>
        <v>51.772072765892517</v>
      </c>
      <c r="L243" s="15">
        <f t="shared" si="154"/>
        <v>58.019537902713637</v>
      </c>
      <c r="M243" s="15">
        <f t="shared" si="154"/>
        <v>114.17481884209337</v>
      </c>
      <c r="N243" s="190">
        <f t="shared" si="154"/>
        <v>183.23964030409479</v>
      </c>
      <c r="O243" s="15">
        <f t="shared" si="154"/>
        <v>209.24403179203</v>
      </c>
      <c r="P243" s="15">
        <f t="shared" si="154"/>
        <v>264.93743519925192</v>
      </c>
      <c r="Q243" s="15">
        <f t="shared" si="154"/>
        <v>284.56865786679191</v>
      </c>
      <c r="R243" s="15">
        <f t="shared" si="154"/>
        <v>359.39234448539355</v>
      </c>
      <c r="S243" s="15">
        <f t="shared" si="154"/>
        <v>348.83479059434831</v>
      </c>
      <c r="T243" s="15">
        <f t="shared" si="154"/>
        <v>428.87318358530683</v>
      </c>
      <c r="U243" s="15">
        <f t="shared" si="154"/>
        <v>529.43341823926676</v>
      </c>
      <c r="V243" s="15">
        <f t="shared" si="154"/>
        <v>645.79253805913686</v>
      </c>
      <c r="W243" s="15">
        <f t="shared" si="154"/>
        <v>648.26052540192541</v>
      </c>
      <c r="X243" s="190">
        <f t="shared" si="154"/>
        <v>787.40234878129195</v>
      </c>
      <c r="Y243" s="130">
        <f t="shared" si="154"/>
        <v>864.42285507994166</v>
      </c>
      <c r="Z243" s="130">
        <f t="shared" si="154"/>
        <v>958.72436303826544</v>
      </c>
      <c r="AA243" s="130">
        <f t="shared" si="154"/>
        <v>1047.5837881262742</v>
      </c>
      <c r="AB243" s="130">
        <f t="shared" si="154"/>
        <v>1145.8025953205506</v>
      </c>
      <c r="AC243" s="130">
        <f t="shared" si="154"/>
        <v>1265.9868739195808</v>
      </c>
      <c r="AD243" s="130">
        <f t="shared" si="154"/>
        <v>1382.7743821194708</v>
      </c>
      <c r="AE243" s="130">
        <f t="shared" si="154"/>
        <v>1525.8215173641474</v>
      </c>
      <c r="AF243" s="130">
        <f t="shared" si="154"/>
        <v>1679.8897291389221</v>
      </c>
      <c r="AG243" s="130">
        <f t="shared" si="154"/>
        <v>1828.0431975386891</v>
      </c>
      <c r="AH243" s="190">
        <f t="shared" si="154"/>
        <v>1976.3604453469707</v>
      </c>
    </row>
    <row r="244" spans="1:34">
      <c r="A244" t="s">
        <v>445</v>
      </c>
      <c r="C244" s="331"/>
      <c r="D244" s="331">
        <f>D231+D234</f>
        <v>152.28723685979526</v>
      </c>
      <c r="E244" s="331">
        <f t="shared" ref="E244:N244" si="155">E231+E234</f>
        <v>9.4381945928034838E-5</v>
      </c>
      <c r="F244" s="331">
        <f t="shared" si="155"/>
        <v>163.37937911756035</v>
      </c>
      <c r="G244" s="331">
        <f t="shared" si="155"/>
        <v>63.642493849557468</v>
      </c>
      <c r="H244" s="402">
        <f t="shared" si="155"/>
        <v>-2.7000000000043656E-4</v>
      </c>
      <c r="I244" s="14">
        <f t="shared" si="155"/>
        <v>86.996334399752413</v>
      </c>
      <c r="J244" s="14">
        <f t="shared" si="155"/>
        <v>179.50651124031629</v>
      </c>
      <c r="K244" s="14">
        <f t="shared" si="155"/>
        <v>159.37225657191289</v>
      </c>
      <c r="L244" s="14">
        <f t="shared" si="155"/>
        <v>215.17171787300822</v>
      </c>
      <c r="M244" s="14">
        <f t="shared" si="155"/>
        <v>299.5104408899374</v>
      </c>
      <c r="N244" s="187">
        <f t="shared" si="155"/>
        <v>387.94878909732438</v>
      </c>
      <c r="O244" s="14">
        <f>O231+O234</f>
        <v>442.89483455961113</v>
      </c>
      <c r="P244" s="14">
        <f t="shared" ref="P244:AH244" si="156">P231+P234</f>
        <v>555.45402735450193</v>
      </c>
      <c r="Q244" s="14">
        <f t="shared" si="156"/>
        <v>564.72387707275948</v>
      </c>
      <c r="R244" s="14">
        <f t="shared" si="156"/>
        <v>712.31925962692867</v>
      </c>
      <c r="S244" s="14">
        <f t="shared" si="156"/>
        <v>686.53638162033258</v>
      </c>
      <c r="T244" s="14">
        <f t="shared" si="156"/>
        <v>863.75923152191081</v>
      </c>
      <c r="U244" s="14">
        <f t="shared" si="156"/>
        <v>1086.1189951397359</v>
      </c>
      <c r="V244" s="14">
        <f t="shared" si="156"/>
        <v>1340.1381831898375</v>
      </c>
      <c r="W244" s="14">
        <f t="shared" si="156"/>
        <v>1356.2272004434762</v>
      </c>
      <c r="X244" s="187">
        <f t="shared" si="156"/>
        <v>1662.2713558096666</v>
      </c>
      <c r="Y244" s="158">
        <f t="shared" si="156"/>
        <v>1836.0576846842887</v>
      </c>
      <c r="Z244" s="158">
        <f t="shared" si="156"/>
        <v>2041.3937181229153</v>
      </c>
      <c r="AA244" s="158">
        <f t="shared" si="156"/>
        <v>2238.8368060187204</v>
      </c>
      <c r="AB244" s="158">
        <f t="shared" si="156"/>
        <v>2451.4964438306424</v>
      </c>
      <c r="AC244" s="158">
        <f t="shared" si="156"/>
        <v>2703.0187008351845</v>
      </c>
      <c r="AD244" s="158">
        <f t="shared" si="156"/>
        <v>2949.3435868727497</v>
      </c>
      <c r="AE244" s="158">
        <f t="shared" si="156"/>
        <v>3238.1176961723777</v>
      </c>
      <c r="AF244" s="158">
        <f t="shared" si="156"/>
        <v>3547.2048008214797</v>
      </c>
      <c r="AG244" s="158">
        <f t="shared" si="156"/>
        <v>3851.7318575005684</v>
      </c>
      <c r="AH244" s="187">
        <f t="shared" si="156"/>
        <v>4163.4320326638299</v>
      </c>
    </row>
    <row r="245" spans="1:34">
      <c r="A245" t="s">
        <v>446</v>
      </c>
      <c r="D245" s="331">
        <f>D231+D234+D237</f>
        <v>329.58393758140915</v>
      </c>
      <c r="E245" s="331">
        <f t="shared" ref="E245:N245" si="157">E231+E234+E237</f>
        <v>101.8869045163683</v>
      </c>
      <c r="F245" s="331">
        <f t="shared" si="157"/>
        <v>615.9401250743731</v>
      </c>
      <c r="G245" s="331">
        <f t="shared" si="157"/>
        <v>235.07013708725663</v>
      </c>
      <c r="H245" s="402">
        <f t="shared" si="157"/>
        <v>-2.7000000000043656E-4</v>
      </c>
      <c r="I245" s="14">
        <f t="shared" si="157"/>
        <v>113.24230437940332</v>
      </c>
      <c r="J245" s="14">
        <f t="shared" si="157"/>
        <v>283.84369529738524</v>
      </c>
      <c r="K245" s="14">
        <f t="shared" si="157"/>
        <v>51.336519942559107</v>
      </c>
      <c r="L245" s="14">
        <f t="shared" si="157"/>
        <v>13.77881506008589</v>
      </c>
      <c r="M245" s="14">
        <f t="shared" si="157"/>
        <v>173.44261087107907</v>
      </c>
      <c r="N245" s="187">
        <f t="shared" si="157"/>
        <v>387.94878909732438</v>
      </c>
      <c r="O245" s="14">
        <f>O231+O234+O237</f>
        <v>443.06060676569746</v>
      </c>
      <c r="P245" s="14">
        <f t="shared" ref="P245:AH245" si="158">P231+P234+P237</f>
        <v>566.12014180198025</v>
      </c>
      <c r="Q245" s="14">
        <f t="shared" si="158"/>
        <v>646.56559594318833</v>
      </c>
      <c r="R245" s="14">
        <f t="shared" si="158"/>
        <v>815.86953046118606</v>
      </c>
      <c r="S245" s="14">
        <f t="shared" si="158"/>
        <v>798.85255756981314</v>
      </c>
      <c r="T245" s="14">
        <f t="shared" si="158"/>
        <v>957.16234140457163</v>
      </c>
      <c r="U245" s="14">
        <f t="shared" si="158"/>
        <v>1156.069880933725</v>
      </c>
      <c r="V245" s="14">
        <f t="shared" si="158"/>
        <v>1390.4624619922292</v>
      </c>
      <c r="W245" s="14">
        <f t="shared" si="158"/>
        <v>1384.1907325112088</v>
      </c>
      <c r="X245" s="187">
        <f t="shared" si="158"/>
        <v>1661.5149112546269</v>
      </c>
      <c r="Y245" s="158">
        <f t="shared" si="158"/>
        <v>1809.8803926839992</v>
      </c>
      <c r="Z245" s="158">
        <f t="shared" si="158"/>
        <v>2000.5419060200788</v>
      </c>
      <c r="AA245" s="158">
        <f t="shared" si="158"/>
        <v>2175.1885183839659</v>
      </c>
      <c r="AB245" s="158">
        <f t="shared" si="158"/>
        <v>2374.7399651573305</v>
      </c>
      <c r="AC245" s="158">
        <f t="shared" si="158"/>
        <v>2629.3915088868348</v>
      </c>
      <c r="AD245" s="158">
        <f t="shared" si="158"/>
        <v>2874.4972778390961</v>
      </c>
      <c r="AE245" s="158">
        <f t="shared" si="158"/>
        <v>3189.5101757259999</v>
      </c>
      <c r="AF245" s="158">
        <f t="shared" si="158"/>
        <v>3531.2487031997989</v>
      </c>
      <c r="AG245" s="158">
        <f t="shared" si="158"/>
        <v>3851.0179230061913</v>
      </c>
      <c r="AH245" s="187">
        <f t="shared" si="158"/>
        <v>4162.3203186161909</v>
      </c>
    </row>
    <row r="246" spans="1:34" s="1" customFormat="1">
      <c r="A246" s="1" t="s">
        <v>449</v>
      </c>
      <c r="B246" s="13"/>
      <c r="C246" s="328"/>
      <c r="D246" s="341">
        <f>D243</f>
        <v>130.44495692388591</v>
      </c>
      <c r="E246" s="341">
        <f>D246+E243</f>
        <v>152.740599018387</v>
      </c>
      <c r="F246" s="341">
        <f>E246+F243</f>
        <v>332.30773318451247</v>
      </c>
      <c r="G246" s="341">
        <f>F246+G243</f>
        <v>398.94884382898454</v>
      </c>
      <c r="H246" s="405"/>
      <c r="I246" s="15">
        <f t="shared" ref="I246:X246" si="159">H246+I243</f>
        <v>46.679298947688949</v>
      </c>
      <c r="J246" s="15">
        <f t="shared" si="159"/>
        <v>154.38657512705686</v>
      </c>
      <c r="K246" s="15">
        <f t="shared" si="159"/>
        <v>206.15864789294938</v>
      </c>
      <c r="L246" s="15">
        <f t="shared" si="159"/>
        <v>264.17818579566301</v>
      </c>
      <c r="M246" s="15">
        <f t="shared" si="159"/>
        <v>378.35300463775638</v>
      </c>
      <c r="N246" s="190">
        <f t="shared" si="159"/>
        <v>561.59264494185118</v>
      </c>
      <c r="O246" s="15">
        <f t="shared" si="159"/>
        <v>770.83667673388118</v>
      </c>
      <c r="P246" s="15">
        <f t="shared" si="159"/>
        <v>1035.7741119331331</v>
      </c>
      <c r="Q246" s="15">
        <f t="shared" si="159"/>
        <v>1320.342769799925</v>
      </c>
      <c r="R246" s="15">
        <f t="shared" si="159"/>
        <v>1679.7351142853186</v>
      </c>
      <c r="S246" s="15">
        <f t="shared" si="159"/>
        <v>2028.5699048796669</v>
      </c>
      <c r="T246" s="15">
        <f t="shared" si="159"/>
        <v>2457.4430884649737</v>
      </c>
      <c r="U246" s="15">
        <f t="shared" si="159"/>
        <v>2986.8765067042405</v>
      </c>
      <c r="V246" s="15">
        <f t="shared" si="159"/>
        <v>3632.6690447633773</v>
      </c>
      <c r="W246" s="15">
        <f t="shared" si="159"/>
        <v>4280.9295701653027</v>
      </c>
      <c r="X246" s="190">
        <f t="shared" si="159"/>
        <v>5068.3319189465947</v>
      </c>
      <c r="Y246" s="130">
        <f t="shared" ref="Y246:AH246" si="160">X246+Y243</f>
        <v>5932.7547740265363</v>
      </c>
      <c r="Z246" s="130">
        <f t="shared" si="160"/>
        <v>6891.4791370648018</v>
      </c>
      <c r="AA246" s="130">
        <f t="shared" si="160"/>
        <v>7939.0629251910759</v>
      </c>
      <c r="AB246" s="130">
        <f t="shared" si="160"/>
        <v>9084.8655205116265</v>
      </c>
      <c r="AC246" s="130">
        <f t="shared" si="160"/>
        <v>10350.852394431207</v>
      </c>
      <c r="AD246" s="130">
        <f t="shared" si="160"/>
        <v>11733.626776550678</v>
      </c>
      <c r="AE246" s="130">
        <f t="shared" si="160"/>
        <v>13259.448293914826</v>
      </c>
      <c r="AF246" s="130">
        <f t="shared" si="160"/>
        <v>14939.338023053748</v>
      </c>
      <c r="AG246" s="130">
        <f t="shared" si="160"/>
        <v>16767.381220592437</v>
      </c>
      <c r="AH246" s="190">
        <f t="shared" si="160"/>
        <v>18743.741665939408</v>
      </c>
    </row>
    <row r="247" spans="1:34">
      <c r="A247" t="s">
        <v>458</v>
      </c>
      <c r="D247" s="343" t="b">
        <f t="shared" ref="D247:AH247" si="161">IF(D185-D246&lt;1,TRUE,FALSE)</f>
        <v>1</v>
      </c>
      <c r="E247" s="343" t="b">
        <f t="shared" si="161"/>
        <v>1</v>
      </c>
      <c r="F247" s="343" t="b">
        <f t="shared" si="161"/>
        <v>1</v>
      </c>
      <c r="G247" s="343" t="b">
        <f t="shared" si="161"/>
        <v>1</v>
      </c>
      <c r="H247" s="408"/>
      <c r="I247" s="133" t="b">
        <f t="shared" si="161"/>
        <v>1</v>
      </c>
      <c r="J247" s="133" t="b">
        <f t="shared" si="161"/>
        <v>1</v>
      </c>
      <c r="K247" s="133" t="b">
        <f t="shared" si="161"/>
        <v>1</v>
      </c>
      <c r="L247" s="133" t="b">
        <f t="shared" si="161"/>
        <v>1</v>
      </c>
      <c r="M247" s="133" t="b">
        <f t="shared" si="161"/>
        <v>1</v>
      </c>
      <c r="N247" s="194" t="b">
        <f t="shared" si="161"/>
        <v>1</v>
      </c>
      <c r="O247" s="133" t="b">
        <f t="shared" si="161"/>
        <v>1</v>
      </c>
      <c r="P247" s="133" t="b">
        <f t="shared" si="161"/>
        <v>1</v>
      </c>
      <c r="Q247" s="133" t="b">
        <f t="shared" si="161"/>
        <v>1</v>
      </c>
      <c r="R247" s="133" t="b">
        <f t="shared" si="161"/>
        <v>1</v>
      </c>
      <c r="S247" s="133" t="b">
        <f t="shared" si="161"/>
        <v>1</v>
      </c>
      <c r="T247" s="133" t="b">
        <f t="shared" si="161"/>
        <v>1</v>
      </c>
      <c r="U247" s="133" t="b">
        <f t="shared" si="161"/>
        <v>1</v>
      </c>
      <c r="V247" s="133" t="b">
        <f t="shared" si="161"/>
        <v>1</v>
      </c>
      <c r="W247" s="133" t="b">
        <f t="shared" si="161"/>
        <v>1</v>
      </c>
      <c r="X247" s="194" t="b">
        <f t="shared" si="161"/>
        <v>1</v>
      </c>
      <c r="Y247" s="290" t="b">
        <f t="shared" si="161"/>
        <v>1</v>
      </c>
      <c r="Z247" s="290" t="b">
        <f t="shared" si="161"/>
        <v>1</v>
      </c>
      <c r="AA247" s="290" t="b">
        <f t="shared" si="161"/>
        <v>1</v>
      </c>
      <c r="AB247" s="290" t="b">
        <f t="shared" si="161"/>
        <v>1</v>
      </c>
      <c r="AC247" s="290" t="b">
        <f t="shared" si="161"/>
        <v>1</v>
      </c>
      <c r="AD247" s="290" t="b">
        <f t="shared" si="161"/>
        <v>1</v>
      </c>
      <c r="AE247" s="290" t="b">
        <f t="shared" si="161"/>
        <v>1</v>
      </c>
      <c r="AF247" s="290" t="b">
        <f t="shared" si="161"/>
        <v>1</v>
      </c>
      <c r="AG247" s="290" t="b">
        <f t="shared" si="161"/>
        <v>1</v>
      </c>
      <c r="AH247" s="194" t="b">
        <f t="shared" si="161"/>
        <v>1</v>
      </c>
    </row>
    <row r="248" spans="1:34">
      <c r="A248" t="s">
        <v>439</v>
      </c>
    </row>
    <row r="249" spans="1:34" s="1" customFormat="1">
      <c r="A249" s="1" t="s">
        <v>440</v>
      </c>
      <c r="B249" s="13"/>
      <c r="C249" s="328"/>
      <c r="D249" s="341">
        <f>D$29*(EIA_electricity_aeo2014!F$60) * Inputs!$M$60</f>
        <v>0</v>
      </c>
      <c r="E249" s="341">
        <f>E$29*(EIA_electricity_aeo2014!G$60) * Inputs!$M$60</f>
        <v>0</v>
      </c>
      <c r="F249" s="341">
        <f>F$29*(EIA_electricity_aeo2014!H$60) * Inputs!$M$60</f>
        <v>0</v>
      </c>
      <c r="G249" s="341">
        <f>G$29*(EIA_electricity_aeo2014!I$60) * Inputs!$M$60</f>
        <v>0</v>
      </c>
      <c r="H249" s="405">
        <f>H$29*(EIA_electricity_aeo2014!J$60) * Inputs!$M$60</f>
        <v>0</v>
      </c>
      <c r="I249" s="15">
        <f>I$29*(EIA_electricity_aeo2014!K$60) * Inputs!$M$60</f>
        <v>0</v>
      </c>
      <c r="J249" s="15">
        <f>J$29*(EIA_electricity_aeo2014!L$60) * Inputs!$M$60</f>
        <v>0</v>
      </c>
      <c r="K249" s="15">
        <f>K$29*(EIA_electricity_aeo2014!M$60) * Inputs!$M$60</f>
        <v>0</v>
      </c>
      <c r="L249" s="15">
        <f>L$29*(EIA_electricity_aeo2014!N$60) * Inputs!$M$60</f>
        <v>0</v>
      </c>
      <c r="M249" s="15">
        <f>M$29*(EIA_electricity_aeo2014!O$60) * Inputs!$M$60</f>
        <v>0</v>
      </c>
      <c r="N249" s="190">
        <f>N$29*(EIA_electricity_aeo2014!P$60) * Inputs!$M$60</f>
        <v>0</v>
      </c>
      <c r="O249" s="15">
        <f>O$29*(EIA_electricity_aeo2014!Q$60) * Inputs!$M$60</f>
        <v>0</v>
      </c>
      <c r="P249" s="15">
        <f>P$29*(EIA_electricity_aeo2014!R$60) * Inputs!$M$60</f>
        <v>0</v>
      </c>
      <c r="Q249" s="15">
        <f>Q$29*(EIA_electricity_aeo2014!S$60) * Inputs!$M$60</f>
        <v>0</v>
      </c>
      <c r="R249" s="15">
        <f>R$29*(EIA_electricity_aeo2014!T$60) * Inputs!$M$60</f>
        <v>0</v>
      </c>
      <c r="S249" s="15">
        <f>S$29*(EIA_electricity_aeo2014!U$60) * Inputs!$M$60</f>
        <v>0</v>
      </c>
      <c r="T249" s="15">
        <f>T$29*(EIA_electricity_aeo2014!V$60) * Inputs!$M$60</f>
        <v>0</v>
      </c>
      <c r="U249" s="15">
        <f>U$29*(EIA_electricity_aeo2014!W$60) * Inputs!$M$60</f>
        <v>0</v>
      </c>
      <c r="V249" s="15">
        <f>V$29*(EIA_electricity_aeo2014!X$60) * Inputs!$M$60</f>
        <v>0</v>
      </c>
      <c r="W249" s="15">
        <f>W$29*(EIA_electricity_aeo2014!Y$60) * Inputs!$M$60</f>
        <v>0</v>
      </c>
      <c r="X249" s="190">
        <f>X$29*(EIA_electricity_aeo2014!Z$60) * Inputs!$M$60</f>
        <v>0</v>
      </c>
      <c r="Y249" s="130">
        <f>Y$29*(EIA_electricity_aeo2014!AA$60) * Inputs!$M$60</f>
        <v>0</v>
      </c>
      <c r="Z249" s="130">
        <f>Z$29*(EIA_electricity_aeo2014!AB$60) * Inputs!$M$60</f>
        <v>0</v>
      </c>
      <c r="AA249" s="130">
        <f>AA$29*(EIA_electricity_aeo2014!AC$60) * Inputs!$M$60</f>
        <v>0</v>
      </c>
      <c r="AB249" s="130">
        <f>AB$29*(EIA_electricity_aeo2014!AD$60) * Inputs!$M$60</f>
        <v>0</v>
      </c>
      <c r="AC249" s="130">
        <f>AC$29*(EIA_electricity_aeo2014!AE$60) * Inputs!$M$60</f>
        <v>0</v>
      </c>
      <c r="AD249" s="130">
        <f>AD$29*(EIA_electricity_aeo2014!AF$60) * Inputs!$M$60</f>
        <v>0</v>
      </c>
      <c r="AE249" s="130">
        <f>AE$29*(EIA_electricity_aeo2014!AG$60) * Inputs!$M$60</f>
        <v>0</v>
      </c>
      <c r="AF249" s="130">
        <f>AF$29*(EIA_electricity_aeo2014!AH$60) * Inputs!$M$60</f>
        <v>0</v>
      </c>
      <c r="AG249" s="130">
        <f>AG$29*(EIA_electricity_aeo2014!AI$60) * Inputs!$M$60</f>
        <v>0</v>
      </c>
      <c r="AH249" s="190">
        <f>AH$29*(EIA_electricity_aeo2014!AJ$60) * Inputs!$M$60</f>
        <v>0</v>
      </c>
    </row>
    <row r="250" spans="1:34">
      <c r="A250" t="s">
        <v>442</v>
      </c>
      <c r="D250" s="331">
        <f>D$29*(EIA_electricity_aeo2014!F$60) * Inputs!$C$60</f>
        <v>0</v>
      </c>
      <c r="E250" s="331">
        <f>E$29*(EIA_electricity_aeo2014!G$60) * Inputs!$C$60</f>
        <v>0</v>
      </c>
      <c r="F250" s="331">
        <f>F$29*(EIA_electricity_aeo2014!H$60) * Inputs!$C$60</f>
        <v>0</v>
      </c>
      <c r="G250" s="331">
        <f>G$29*(EIA_electricity_aeo2014!I$60) * Inputs!$C$60</f>
        <v>0</v>
      </c>
      <c r="H250" s="402">
        <f>H$29*(EIA_electricity_aeo2014!J$60) * Inputs!$C$60</f>
        <v>0</v>
      </c>
      <c r="I250" s="14">
        <f>I$29*(EIA_electricity_aeo2014!K$60) * Inputs!$C$60</f>
        <v>0</v>
      </c>
      <c r="J250" s="14">
        <f>J$29*(EIA_electricity_aeo2014!L$60) * Inputs!$C$60</f>
        <v>0</v>
      </c>
      <c r="K250" s="14">
        <f>K$29*(EIA_electricity_aeo2014!M$60) * Inputs!$C$60</f>
        <v>0</v>
      </c>
      <c r="L250" s="14">
        <f>L$29*(EIA_electricity_aeo2014!N$60) * Inputs!$C$60</f>
        <v>0</v>
      </c>
      <c r="M250" s="14">
        <f>M$29*(EIA_electricity_aeo2014!O$60) * Inputs!$C$60</f>
        <v>0</v>
      </c>
      <c r="N250" s="187">
        <f>N$29*(EIA_electricity_aeo2014!P$60) * Inputs!$C$60</f>
        <v>0</v>
      </c>
      <c r="O250" s="14">
        <f>O$29*(EIA_electricity_aeo2014!Q$60) * Inputs!$C$60</f>
        <v>0</v>
      </c>
      <c r="P250" s="14">
        <f>P$29*(EIA_electricity_aeo2014!R$60) * Inputs!$C$60</f>
        <v>0</v>
      </c>
      <c r="Q250" s="14">
        <f>Q$29*(EIA_electricity_aeo2014!S$60) * Inputs!$C$60</f>
        <v>0</v>
      </c>
      <c r="R250" s="14">
        <f>R$29*(EIA_electricity_aeo2014!T$60) * Inputs!$C$60</f>
        <v>0</v>
      </c>
      <c r="S250" s="14">
        <f>S$29*(EIA_electricity_aeo2014!U$60) * Inputs!$C$60</f>
        <v>0</v>
      </c>
      <c r="T250" s="14">
        <f>T$29*(EIA_electricity_aeo2014!V$60) * Inputs!$C$60</f>
        <v>0</v>
      </c>
      <c r="U250" s="14">
        <f>U$29*(EIA_electricity_aeo2014!W$60) * Inputs!$C$60</f>
        <v>0</v>
      </c>
      <c r="V250" s="14">
        <f>V$29*(EIA_electricity_aeo2014!X$60) * Inputs!$C$60</f>
        <v>0</v>
      </c>
      <c r="W250" s="14">
        <f>W$29*(EIA_electricity_aeo2014!Y$60) * Inputs!$C$60</f>
        <v>0</v>
      </c>
      <c r="X250" s="190">
        <f>X$29*(EIA_electricity_aeo2014!Z$60) * Inputs!$M$60</f>
        <v>0</v>
      </c>
      <c r="Y250" s="130">
        <f>Y$29*(EIA_electricity_aeo2014!AA$60) * Inputs!$M$60</f>
        <v>0</v>
      </c>
      <c r="Z250" s="130">
        <f>Z$29*(EIA_electricity_aeo2014!AB$60) * Inputs!$M$60</f>
        <v>0</v>
      </c>
      <c r="AA250" s="130">
        <f>AA$29*(EIA_electricity_aeo2014!AC$60) * Inputs!$M$60</f>
        <v>0</v>
      </c>
      <c r="AB250" s="130">
        <f>AB$29*(EIA_electricity_aeo2014!AD$60) * Inputs!$M$60</f>
        <v>0</v>
      </c>
      <c r="AC250" s="130">
        <f>AC$29*(EIA_electricity_aeo2014!AE$60) * Inputs!$M$60</f>
        <v>0</v>
      </c>
      <c r="AD250" s="130">
        <f>AD$29*(EIA_electricity_aeo2014!AF$60) * Inputs!$M$60</f>
        <v>0</v>
      </c>
      <c r="AE250" s="130">
        <f>AE$29*(EIA_electricity_aeo2014!AG$60) * Inputs!$M$60</f>
        <v>0</v>
      </c>
      <c r="AF250" s="130">
        <f>AF$29*(EIA_electricity_aeo2014!AH$60) * Inputs!$M$60</f>
        <v>0</v>
      </c>
      <c r="AG250" s="130">
        <f>AG$29*(EIA_electricity_aeo2014!AI$60) * Inputs!$M$60</f>
        <v>0</v>
      </c>
      <c r="AH250" s="190">
        <f>AH$29*(EIA_electricity_aeo2014!AJ$60) * Inputs!$M$60</f>
        <v>0</v>
      </c>
    </row>
    <row r="251" spans="1:34">
      <c r="A251" t="s">
        <v>443</v>
      </c>
      <c r="D251" s="331">
        <f>D250*Inputs!$H$60</f>
        <v>0</v>
      </c>
      <c r="E251" s="331">
        <f>E250*Inputs!$H$60</f>
        <v>0</v>
      </c>
      <c r="F251" s="331">
        <f>F250*Inputs!$H$60</f>
        <v>0</v>
      </c>
      <c r="G251" s="331">
        <f>G250*Inputs!$H$60</f>
        <v>0</v>
      </c>
      <c r="H251" s="402">
        <f>H250*Inputs!$H$60</f>
        <v>0</v>
      </c>
      <c r="I251" s="14">
        <f>I250*Inputs!$H$60</f>
        <v>0</v>
      </c>
      <c r="J251" s="14">
        <f>J250*Inputs!$H$60</f>
        <v>0</v>
      </c>
      <c r="K251" s="14">
        <f>K250*Inputs!$H$60</f>
        <v>0</v>
      </c>
      <c r="L251" s="14">
        <f>L250*Inputs!$H$60</f>
        <v>0</v>
      </c>
      <c r="M251" s="14">
        <f>M250*Inputs!$H$60</f>
        <v>0</v>
      </c>
      <c r="N251" s="187">
        <f>N250*Inputs!$H$60</f>
        <v>0</v>
      </c>
      <c r="O251" s="14">
        <f>O250*Inputs!$H$60</f>
        <v>0</v>
      </c>
      <c r="P251" s="14">
        <f>P250*Inputs!$H$60</f>
        <v>0</v>
      </c>
      <c r="Q251" s="14">
        <f>Q250*Inputs!$H$60</f>
        <v>0</v>
      </c>
      <c r="R251" s="14">
        <f>R250*Inputs!$H$60</f>
        <v>0</v>
      </c>
      <c r="S251" s="14">
        <f>S250*Inputs!$H$60</f>
        <v>0</v>
      </c>
      <c r="T251" s="14">
        <f>T250*Inputs!$H$60</f>
        <v>0</v>
      </c>
      <c r="U251" s="14">
        <f>U250*Inputs!$H$60</f>
        <v>0</v>
      </c>
      <c r="V251" s="14">
        <f>V250*Inputs!$H$60</f>
        <v>0</v>
      </c>
      <c r="W251" s="14">
        <f>W250*Inputs!$H$60</f>
        <v>0</v>
      </c>
      <c r="X251" s="190">
        <f>X$29*(EIA_electricity_aeo2014!Z$60) * Inputs!$M$60</f>
        <v>0</v>
      </c>
      <c r="Y251" s="130">
        <f>Y$29*(EIA_electricity_aeo2014!AA$60) * Inputs!$M$60</f>
        <v>0</v>
      </c>
      <c r="Z251" s="130">
        <f>Z$29*(EIA_electricity_aeo2014!AB$60) * Inputs!$M$60</f>
        <v>0</v>
      </c>
      <c r="AA251" s="130">
        <f>AA$29*(EIA_electricity_aeo2014!AC$60) * Inputs!$M$60</f>
        <v>0</v>
      </c>
      <c r="AB251" s="130">
        <f>AB$29*(EIA_electricity_aeo2014!AD$60) * Inputs!$M$60</f>
        <v>0</v>
      </c>
      <c r="AC251" s="130">
        <f>AC$29*(EIA_electricity_aeo2014!AE$60) * Inputs!$M$60</f>
        <v>0</v>
      </c>
      <c r="AD251" s="130">
        <f>AD$29*(EIA_electricity_aeo2014!AF$60) * Inputs!$M$60</f>
        <v>0</v>
      </c>
      <c r="AE251" s="130">
        <f>AE$29*(EIA_electricity_aeo2014!AG$60) * Inputs!$M$60</f>
        <v>0</v>
      </c>
      <c r="AF251" s="130">
        <f>AF$29*(EIA_electricity_aeo2014!AH$60) * Inputs!$M$60</f>
        <v>0</v>
      </c>
      <c r="AG251" s="130">
        <f>AG$29*(EIA_electricity_aeo2014!AI$60) * Inputs!$M$60</f>
        <v>0</v>
      </c>
      <c r="AH251" s="190">
        <f>AH$29*(EIA_electricity_aeo2014!AJ$60) * Inputs!$M$60</f>
        <v>0</v>
      </c>
    </row>
    <row r="252" spans="1:34" s="1" customFormat="1">
      <c r="A252" s="1" t="s">
        <v>441</v>
      </c>
      <c r="B252" s="13"/>
      <c r="C252" s="328"/>
      <c r="D252" s="341">
        <f>D$29*(1-EIA_electricity_aeo2014!F$60) * Inputs!$M$61</f>
        <v>0</v>
      </c>
      <c r="E252" s="341">
        <f>E$29*(1-EIA_electricity_aeo2014!G$60) * Inputs!$M$61</f>
        <v>0</v>
      </c>
      <c r="F252" s="341">
        <f>F$29*(1-EIA_electricity_aeo2014!H$60) * Inputs!$M$61</f>
        <v>0</v>
      </c>
      <c r="G252" s="341">
        <f>G$29*(1-EIA_electricity_aeo2014!I$60) * Inputs!$M$61</f>
        <v>0</v>
      </c>
      <c r="H252" s="405">
        <f>H$29*(1-EIA_electricity_aeo2014!J$60) * Inputs!$M$61</f>
        <v>0</v>
      </c>
      <c r="I252" s="15">
        <f>I$29*(1-EIA_electricity_aeo2014!K$60) * Inputs!$M$61</f>
        <v>0</v>
      </c>
      <c r="J252" s="15">
        <f>J$29*(1-EIA_electricity_aeo2014!L$60) * Inputs!$M$61</f>
        <v>0</v>
      </c>
      <c r="K252" s="15">
        <f>K$29*(1-EIA_electricity_aeo2014!M$60) * Inputs!$M$61</f>
        <v>0</v>
      </c>
      <c r="L252" s="15">
        <f>L$29*(1-EIA_electricity_aeo2014!N$60) * Inputs!$M$61</f>
        <v>0</v>
      </c>
      <c r="M252" s="15">
        <f>M$29*(1-EIA_electricity_aeo2014!O$60) * Inputs!$M$61</f>
        <v>0</v>
      </c>
      <c r="N252" s="190">
        <f>N$29*(1-EIA_electricity_aeo2014!P$60) * Inputs!$M$61</f>
        <v>0</v>
      </c>
      <c r="O252" s="15">
        <f>O$29*(1-EIA_electricity_aeo2014!Q$60) * Inputs!$M$61</f>
        <v>0</v>
      </c>
      <c r="P252" s="15">
        <f>P$29*(1-EIA_electricity_aeo2014!R$60) * Inputs!$M$61</f>
        <v>0</v>
      </c>
      <c r="Q252" s="15">
        <f>Q$29*(1-EIA_electricity_aeo2014!S$60) * Inputs!$M$61</f>
        <v>0</v>
      </c>
      <c r="R252" s="15">
        <f>R$29*(1-EIA_electricity_aeo2014!T$60) * Inputs!$M$61</f>
        <v>0</v>
      </c>
      <c r="S252" s="15">
        <f>S$29*(1-EIA_electricity_aeo2014!U$60) * Inputs!$M$61</f>
        <v>0</v>
      </c>
      <c r="T252" s="15">
        <f>T$29*(1-EIA_electricity_aeo2014!V$60) * Inputs!$M$61</f>
        <v>0</v>
      </c>
      <c r="U252" s="15">
        <f>U$29*(1-EIA_electricity_aeo2014!W$60) * Inputs!$M$61</f>
        <v>0</v>
      </c>
      <c r="V252" s="15">
        <f>V$29*(1-EIA_electricity_aeo2014!X$60) * Inputs!$M$61</f>
        <v>0</v>
      </c>
      <c r="W252" s="15">
        <f>W$29*(1-EIA_electricity_aeo2014!Y$60) * Inputs!$M$61</f>
        <v>0</v>
      </c>
      <c r="X252" s="190">
        <f>X$29*(EIA_electricity_aeo2014!Z$60) * Inputs!$M$60</f>
        <v>0</v>
      </c>
      <c r="Y252" s="130">
        <f>Y$29*(EIA_electricity_aeo2014!AA$60) * Inputs!$M$60</f>
        <v>0</v>
      </c>
      <c r="Z252" s="130">
        <f>Z$29*(EIA_electricity_aeo2014!AB$60) * Inputs!$M$60</f>
        <v>0</v>
      </c>
      <c r="AA252" s="130">
        <f>AA$29*(EIA_electricity_aeo2014!AC$60) * Inputs!$M$60</f>
        <v>0</v>
      </c>
      <c r="AB252" s="130">
        <f>AB$29*(EIA_electricity_aeo2014!AD$60) * Inputs!$M$60</f>
        <v>0</v>
      </c>
      <c r="AC252" s="130">
        <f>AC$29*(EIA_electricity_aeo2014!AE$60) * Inputs!$M$60</f>
        <v>0</v>
      </c>
      <c r="AD252" s="130">
        <f>AD$29*(EIA_electricity_aeo2014!AF$60) * Inputs!$M$60</f>
        <v>0</v>
      </c>
      <c r="AE252" s="130">
        <f>AE$29*(EIA_electricity_aeo2014!AG$60) * Inputs!$M$60</f>
        <v>0</v>
      </c>
      <c r="AF252" s="130">
        <f>AF$29*(EIA_electricity_aeo2014!AH$60) * Inputs!$M$60</f>
        <v>0</v>
      </c>
      <c r="AG252" s="130">
        <f>AG$29*(EIA_electricity_aeo2014!AI$60) * Inputs!$M$60</f>
        <v>0</v>
      </c>
      <c r="AH252" s="190">
        <f>AH$29*(EIA_electricity_aeo2014!AJ$60) * Inputs!$M$60</f>
        <v>0</v>
      </c>
    </row>
    <row r="253" spans="1:34">
      <c r="A253" t="s">
        <v>442</v>
      </c>
      <c r="D253" s="331">
        <f>D$29*(1-EIA_electricity_aeo2014!F$60) * Inputs!$C$61</f>
        <v>0</v>
      </c>
      <c r="E253" s="331">
        <f>E$29*(1-EIA_electricity_aeo2014!G$60) * Inputs!$C$61</f>
        <v>0</v>
      </c>
      <c r="F253" s="331">
        <f>F$29*(1-EIA_electricity_aeo2014!H$60) * Inputs!$C$61</f>
        <v>0</v>
      </c>
      <c r="G253" s="331">
        <f>G$29*(1-EIA_electricity_aeo2014!I$60) * Inputs!$C$61</f>
        <v>0</v>
      </c>
      <c r="H253" s="402">
        <f>H$29*(1-EIA_electricity_aeo2014!J$60) * Inputs!$C$61</f>
        <v>0</v>
      </c>
      <c r="I253" s="14">
        <f>I$29*(1-EIA_electricity_aeo2014!K$60) * Inputs!$C$61</f>
        <v>0</v>
      </c>
      <c r="J253" s="14">
        <f>J$29*(1-EIA_electricity_aeo2014!L$60) * Inputs!$C$61</f>
        <v>0</v>
      </c>
      <c r="K253" s="14">
        <f>K$29*(1-EIA_electricity_aeo2014!M$60) * Inputs!$C$61</f>
        <v>0</v>
      </c>
      <c r="L253" s="14">
        <f>L$29*(1-EIA_electricity_aeo2014!N$60) * Inputs!$C$61</f>
        <v>0</v>
      </c>
      <c r="M253" s="14">
        <f>M$29*(1-EIA_electricity_aeo2014!O$60) * Inputs!$C$61</f>
        <v>0</v>
      </c>
      <c r="N253" s="187">
        <f>N$29*(1-EIA_electricity_aeo2014!P$60) * Inputs!$C$61</f>
        <v>0</v>
      </c>
      <c r="O253" s="14">
        <f>O$29*(1-EIA_electricity_aeo2014!Q$60) * Inputs!$C$61</f>
        <v>0</v>
      </c>
      <c r="P253" s="14">
        <f>P$29*(1-EIA_electricity_aeo2014!R$60) * Inputs!$C$61</f>
        <v>0</v>
      </c>
      <c r="Q253" s="14">
        <f>Q$29*(1-EIA_electricity_aeo2014!S$60) * Inputs!$C$61</f>
        <v>0</v>
      </c>
      <c r="R253" s="14">
        <f>R$29*(1-EIA_electricity_aeo2014!T$60) * Inputs!$C$61</f>
        <v>0</v>
      </c>
      <c r="S253" s="14">
        <f>S$29*(1-EIA_electricity_aeo2014!U$60) * Inputs!$C$61</f>
        <v>0</v>
      </c>
      <c r="T253" s="14">
        <f>T$29*(1-EIA_electricity_aeo2014!V$60) * Inputs!$C$61</f>
        <v>0</v>
      </c>
      <c r="U253" s="14">
        <f>U$29*(1-EIA_electricity_aeo2014!W$60) * Inputs!$C$61</f>
        <v>0</v>
      </c>
      <c r="V253" s="14">
        <f>V$29*(1-EIA_electricity_aeo2014!X$60) * Inputs!$C$61</f>
        <v>0</v>
      </c>
      <c r="W253" s="14">
        <f>W$29*(1-EIA_electricity_aeo2014!Y$60) * Inputs!$C$61</f>
        <v>0</v>
      </c>
      <c r="X253" s="190">
        <f>X$29*(EIA_electricity_aeo2014!Z$60) * Inputs!$M$60</f>
        <v>0</v>
      </c>
      <c r="Y253" s="130">
        <f>Y$29*(EIA_electricity_aeo2014!AA$60) * Inputs!$M$60</f>
        <v>0</v>
      </c>
      <c r="Z253" s="130">
        <f>Z$29*(EIA_electricity_aeo2014!AB$60) * Inputs!$M$60</f>
        <v>0</v>
      </c>
      <c r="AA253" s="130">
        <f>AA$29*(EIA_electricity_aeo2014!AC$60) * Inputs!$M$60</f>
        <v>0</v>
      </c>
      <c r="AB253" s="130">
        <f>AB$29*(EIA_electricity_aeo2014!AD$60) * Inputs!$M$60</f>
        <v>0</v>
      </c>
      <c r="AC253" s="130">
        <f>AC$29*(EIA_electricity_aeo2014!AE$60) * Inputs!$M$60</f>
        <v>0</v>
      </c>
      <c r="AD253" s="130">
        <f>AD$29*(EIA_electricity_aeo2014!AF$60) * Inputs!$M$60</f>
        <v>0</v>
      </c>
      <c r="AE253" s="130">
        <f>AE$29*(EIA_electricity_aeo2014!AG$60) * Inputs!$M$60</f>
        <v>0</v>
      </c>
      <c r="AF253" s="130">
        <f>AF$29*(EIA_electricity_aeo2014!AH$60) * Inputs!$M$60</f>
        <v>0</v>
      </c>
      <c r="AG253" s="130">
        <f>AG$29*(EIA_electricity_aeo2014!AI$60) * Inputs!$M$60</f>
        <v>0</v>
      </c>
      <c r="AH253" s="190">
        <f>AH$29*(EIA_electricity_aeo2014!AJ$60) * Inputs!$M$60</f>
        <v>0</v>
      </c>
    </row>
    <row r="254" spans="1:34">
      <c r="A254" t="s">
        <v>443</v>
      </c>
      <c r="D254" s="331">
        <f>D253*Inputs!$H$61</f>
        <v>0</v>
      </c>
      <c r="E254" s="331">
        <f>E253*Inputs!$H$61</f>
        <v>0</v>
      </c>
      <c r="F254" s="331">
        <f>F253*Inputs!$H$61</f>
        <v>0</v>
      </c>
      <c r="G254" s="331">
        <f>G253*Inputs!$H$61</f>
        <v>0</v>
      </c>
      <c r="H254" s="402">
        <f>H253*Inputs!$H$61</f>
        <v>0</v>
      </c>
      <c r="I254" s="14">
        <f>I253*Inputs!$H$61</f>
        <v>0</v>
      </c>
      <c r="J254" s="14">
        <f>J253*Inputs!$H$61</f>
        <v>0</v>
      </c>
      <c r="K254" s="14">
        <f>K253*Inputs!$H$61</f>
        <v>0</v>
      </c>
      <c r="L254" s="14">
        <f>L253*Inputs!$H$61</f>
        <v>0</v>
      </c>
      <c r="M254" s="14">
        <f>M253*Inputs!$H$61</f>
        <v>0</v>
      </c>
      <c r="N254" s="187">
        <f>N253*Inputs!$H$61</f>
        <v>0</v>
      </c>
      <c r="O254" s="14">
        <f>O253*Inputs!$H$61</f>
        <v>0</v>
      </c>
      <c r="P254" s="14">
        <f>P253*Inputs!$H$61</f>
        <v>0</v>
      </c>
      <c r="Q254" s="14">
        <f>Q253*Inputs!$H$61</f>
        <v>0</v>
      </c>
      <c r="R254" s="14">
        <f>R253*Inputs!$H$61</f>
        <v>0</v>
      </c>
      <c r="S254" s="14">
        <f>S253*Inputs!$H$61</f>
        <v>0</v>
      </c>
      <c r="T254" s="14">
        <f>T253*Inputs!$H$61</f>
        <v>0</v>
      </c>
      <c r="U254" s="14">
        <f>U253*Inputs!$H$61</f>
        <v>0</v>
      </c>
      <c r="V254" s="14">
        <f>V253*Inputs!$H$61</f>
        <v>0</v>
      </c>
      <c r="W254" s="14">
        <f>W253*Inputs!$H$61</f>
        <v>0</v>
      </c>
      <c r="X254" s="190">
        <f>X$29*(EIA_electricity_aeo2014!Z$60) * Inputs!$M$60</f>
        <v>0</v>
      </c>
      <c r="Y254" s="130">
        <f>Y$29*(EIA_electricity_aeo2014!AA$60) * Inputs!$M$60</f>
        <v>0</v>
      </c>
      <c r="Z254" s="130">
        <f>Z$29*(EIA_electricity_aeo2014!AB$60) * Inputs!$M$60</f>
        <v>0</v>
      </c>
      <c r="AA254" s="130">
        <f>AA$29*(EIA_electricity_aeo2014!AC$60) * Inputs!$M$60</f>
        <v>0</v>
      </c>
      <c r="AB254" s="130">
        <f>AB$29*(EIA_electricity_aeo2014!AD$60) * Inputs!$M$60</f>
        <v>0</v>
      </c>
      <c r="AC254" s="130">
        <f>AC$29*(EIA_electricity_aeo2014!AE$60) * Inputs!$M$60</f>
        <v>0</v>
      </c>
      <c r="AD254" s="130">
        <f>AD$29*(EIA_electricity_aeo2014!AF$60) * Inputs!$M$60</f>
        <v>0</v>
      </c>
      <c r="AE254" s="130">
        <f>AE$29*(EIA_electricity_aeo2014!AG$60) * Inputs!$M$60</f>
        <v>0</v>
      </c>
      <c r="AF254" s="130">
        <f>AF$29*(EIA_electricity_aeo2014!AH$60) * Inputs!$M$60</f>
        <v>0</v>
      </c>
      <c r="AG254" s="130">
        <f>AG$29*(EIA_electricity_aeo2014!AI$60) * Inputs!$M$60</f>
        <v>0</v>
      </c>
      <c r="AH254" s="190">
        <f>AH$29*(EIA_electricity_aeo2014!AJ$60) * Inputs!$M$60</f>
        <v>0</v>
      </c>
    </row>
  </sheetData>
  <mergeCells count="1">
    <mergeCell ref="A1:AL9"/>
  </mergeCells>
  <pageMargins left="0.7" right="0.7" top="0.75" bottom="0.75" header="0.3" footer="0.3"/>
  <pageSetup orientation="portrait"/>
  <legacy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85"/>
  <sheetViews>
    <sheetView zoomScale="80" zoomScaleNormal="80" zoomScalePageLayoutView="80" workbookViewId="0">
      <pane xSplit="2" ySplit="2" topLeftCell="C3" activePane="bottomRight" state="frozen"/>
      <selection pane="topRight" activeCell="C1" sqref="C1"/>
      <selection pane="bottomLeft" activeCell="A3" sqref="A3"/>
      <selection pane="bottomRight" activeCell="AF25" sqref="AF25"/>
    </sheetView>
  </sheetViews>
  <sheetFormatPr baseColWidth="10" defaultColWidth="8.83203125" defaultRowHeight="14" x14ac:dyDescent="0"/>
  <cols>
    <col min="1" max="1" width="25.6640625" bestFit="1" customWidth="1"/>
    <col min="2" max="2" width="5.6640625" style="2" bestFit="1" customWidth="1"/>
    <col min="3" max="3" width="13.33203125" style="327" bestFit="1" customWidth="1"/>
    <col min="4" max="4" width="12.33203125" style="327" customWidth="1"/>
    <col min="5" max="5" width="14.1640625" style="327" customWidth="1"/>
    <col min="6" max="6" width="11.33203125" style="327" bestFit="1" customWidth="1"/>
    <col min="7" max="7" width="14.33203125" style="327" customWidth="1"/>
    <col min="8" max="8" width="13.33203125" style="2" customWidth="1"/>
    <col min="9" max="10" width="12.5" style="2" customWidth="1"/>
    <col min="11" max="11" width="12.1640625" style="2" customWidth="1"/>
    <col min="12" max="12" width="15.5" style="2" customWidth="1"/>
    <col min="13" max="13" width="14.5" style="2" customWidth="1"/>
    <col min="14" max="14" width="13.1640625" style="176" bestFit="1" customWidth="1"/>
    <col min="15" max="22" width="11.5" style="2" bestFit="1" customWidth="1"/>
    <col min="23" max="23" width="11.33203125" style="2" bestFit="1" customWidth="1"/>
    <col min="24" max="24" width="11.33203125" style="192" bestFit="1" customWidth="1"/>
    <col min="25" max="25" width="12.33203125" customWidth="1"/>
    <col min="26" max="26" width="11.6640625" customWidth="1"/>
    <col min="27" max="27" width="13.1640625" customWidth="1"/>
    <col min="28" max="28" width="11.6640625" customWidth="1"/>
    <col min="29" max="29" width="11.5" customWidth="1"/>
    <col min="30" max="30" width="13.33203125" bestFit="1" customWidth="1"/>
    <col min="31" max="31" width="12.33203125" customWidth="1"/>
    <col min="32" max="32" width="12.6640625" customWidth="1"/>
    <col min="33" max="33" width="12.5" customWidth="1"/>
    <col min="34" max="34" width="11.33203125" customWidth="1"/>
  </cols>
  <sheetData>
    <row r="1" spans="1:34">
      <c r="C1" s="327" t="s">
        <v>0</v>
      </c>
      <c r="D1" s="327" t="s">
        <v>0</v>
      </c>
      <c r="E1" s="393" t="s">
        <v>0</v>
      </c>
    </row>
    <row r="2" spans="1:34" s="1" customFormat="1">
      <c r="B2" s="2" t="s">
        <v>127</v>
      </c>
      <c r="C2" s="328">
        <v>2009</v>
      </c>
      <c r="D2" s="328">
        <v>2010</v>
      </c>
      <c r="E2" s="328">
        <v>2011</v>
      </c>
      <c r="F2" s="328">
        <v>2012</v>
      </c>
      <c r="G2" s="328">
        <v>2013</v>
      </c>
      <c r="H2" s="13">
        <v>2014</v>
      </c>
      <c r="I2" s="13">
        <v>2015</v>
      </c>
      <c r="J2" s="13">
        <v>2016</v>
      </c>
      <c r="K2" s="13">
        <v>2017</v>
      </c>
      <c r="L2" s="13">
        <v>2018</v>
      </c>
      <c r="M2" s="13">
        <v>2019</v>
      </c>
      <c r="N2" s="176">
        <v>2020</v>
      </c>
      <c r="O2" s="13">
        <v>2021</v>
      </c>
      <c r="P2" s="13">
        <v>2022</v>
      </c>
      <c r="Q2" s="13">
        <v>2023</v>
      </c>
      <c r="R2" s="13">
        <v>2024</v>
      </c>
      <c r="S2" s="13">
        <v>2025</v>
      </c>
      <c r="T2" s="13">
        <v>2026</v>
      </c>
      <c r="U2" s="13">
        <v>2027</v>
      </c>
      <c r="V2" s="13">
        <v>2028</v>
      </c>
      <c r="W2" s="13">
        <v>2029</v>
      </c>
      <c r="X2" s="176">
        <v>2030</v>
      </c>
      <c r="Y2" s="13">
        <v>2031</v>
      </c>
      <c r="Z2" s="13">
        <v>2032</v>
      </c>
      <c r="AA2" s="13">
        <v>2033</v>
      </c>
      <c r="AB2" s="13">
        <v>2034</v>
      </c>
      <c r="AC2" s="13">
        <v>2035</v>
      </c>
      <c r="AD2" s="13">
        <v>2036</v>
      </c>
      <c r="AE2" s="13">
        <v>2037</v>
      </c>
      <c r="AF2" s="13">
        <v>2038</v>
      </c>
      <c r="AG2" s="13">
        <v>2039</v>
      </c>
      <c r="AH2" s="13">
        <v>2040</v>
      </c>
    </row>
    <row r="3" spans="1:34" s="1" customFormat="1">
      <c r="A3" s="1" t="s">
        <v>62</v>
      </c>
      <c r="B3" s="13"/>
      <c r="C3" s="328"/>
      <c r="D3" s="328"/>
      <c r="E3" s="328"/>
      <c r="F3" s="328"/>
      <c r="G3" s="328"/>
      <c r="H3" s="13"/>
      <c r="I3" s="13"/>
      <c r="J3" s="13"/>
      <c r="K3" s="13"/>
      <c r="L3" s="13"/>
      <c r="M3" s="13"/>
      <c r="N3" s="176"/>
      <c r="O3" s="13"/>
      <c r="P3" s="13"/>
      <c r="Q3" s="13"/>
      <c r="R3" s="13"/>
      <c r="S3" s="13"/>
      <c r="T3" s="13"/>
      <c r="U3" s="13"/>
      <c r="V3" s="13"/>
      <c r="W3" s="13"/>
      <c r="X3" s="176"/>
      <c r="Y3" s="13"/>
      <c r="Z3" s="13"/>
      <c r="AA3" s="13"/>
      <c r="AB3" s="13"/>
      <c r="AC3" s="13"/>
      <c r="AD3" s="13"/>
      <c r="AE3" s="13"/>
      <c r="AF3" s="13"/>
      <c r="AG3" s="13"/>
      <c r="AH3" s="13"/>
    </row>
    <row r="4" spans="1:34" s="1" customFormat="1">
      <c r="A4" s="1" t="s">
        <v>111</v>
      </c>
      <c r="B4" s="13"/>
      <c r="C4" s="329">
        <f>EIA_electricity_aeo2014!E58 * 1000</f>
        <v>89765.999999999985</v>
      </c>
      <c r="D4" s="329">
        <f>EIA_electricity_aeo2014!F58 * 1000</f>
        <v>101324</v>
      </c>
      <c r="E4" s="329">
        <f>EIA_electricity_aeo2014!G58 * 1000</f>
        <v>93268.560024526727</v>
      </c>
      <c r="F4" s="329">
        <f>EIA_electricity_aeo2014!H58 * 1000</f>
        <v>97491.004911933502</v>
      </c>
      <c r="G4" s="329">
        <f>EIA_electricity_aeo2014!I58 * 1000</f>
        <v>92145.676863238667</v>
      </c>
      <c r="H4" s="21">
        <f>EIA_electricity_aeo2014!J58 * 1000</f>
        <v>90667.034160436437</v>
      </c>
      <c r="I4" s="21">
        <f>EIA_electricity_aeo2014!K58 * 1000</f>
        <v>93953.172017554185</v>
      </c>
      <c r="J4" s="21">
        <f>EIA_electricity_aeo2014!L58 * 1000</f>
        <v>98639.274356128808</v>
      </c>
      <c r="K4" s="21">
        <f>EIA_electricity_aeo2014!M58 * 1000</f>
        <v>97791.20745660353</v>
      </c>
      <c r="L4" s="21">
        <f>EIA_electricity_aeo2014!N58 * 1000</f>
        <v>98263.905740122689</v>
      </c>
      <c r="M4" s="21">
        <f>EIA_electricity_aeo2014!O58 * 1000</f>
        <v>99571.220012364167</v>
      </c>
      <c r="N4" s="388">
        <f>EIA_electricity_aeo2014!P58 * 1000</f>
        <v>101313.17776516854</v>
      </c>
      <c r="O4" s="21">
        <f>EIA_electricity_aeo2014!Q58 * 1000</f>
        <v>102623.23241717133</v>
      </c>
      <c r="P4" s="21">
        <f>EIA_electricity_aeo2014!R58 * 1000</f>
        <v>104159.37587256526</v>
      </c>
      <c r="Q4" s="21">
        <f>EIA_electricity_aeo2014!S58 * 1000</f>
        <v>106918.55205752949</v>
      </c>
      <c r="R4" s="21">
        <f>EIA_electricity_aeo2014!T58 * 1000</f>
        <v>108767.22693983853</v>
      </c>
      <c r="S4" s="21">
        <f>EIA_electricity_aeo2014!U58 * 1000</f>
        <v>110416.33264577134</v>
      </c>
      <c r="T4" s="21">
        <f>EIA_electricity_aeo2014!V58 * 1000</f>
        <v>111584.56423199797</v>
      </c>
      <c r="U4" s="21">
        <f>EIA_electricity_aeo2014!W58 * 1000</f>
        <v>112688.93600856735</v>
      </c>
      <c r="V4" s="21">
        <f>EIA_electricity_aeo2014!X58 * 1000</f>
        <v>113948.43370838852</v>
      </c>
      <c r="W4" s="21">
        <f>EIA_electricity_aeo2014!Y58 * 1000</f>
        <v>115186.96715333588</v>
      </c>
      <c r="X4" s="388">
        <f>EIA_electricity_aeo2014!Z58 * 1000</f>
        <v>116336.42279680446</v>
      </c>
      <c r="Y4" s="21">
        <f>EIA_electricity_aeo2014!AA58 * 1000</f>
        <v>116856.07509621435</v>
      </c>
      <c r="Z4" s="21">
        <f>EIA_electricity_aeo2014!AB58 * 1000</f>
        <v>117649.67143299525</v>
      </c>
      <c r="AA4" s="21">
        <f>EIA_electricity_aeo2014!AC58 * 1000</f>
        <v>118246.88605867364</v>
      </c>
      <c r="AB4" s="21">
        <f>EIA_electricity_aeo2014!AD58 * 1000</f>
        <v>119063.51821358527</v>
      </c>
      <c r="AC4" s="21">
        <f>EIA_electricity_aeo2014!AE58 * 1000</f>
        <v>120284.58049203787</v>
      </c>
      <c r="AD4" s="21">
        <f>EIA_electricity_aeo2014!AF58 * 1000</f>
        <v>121422.100053153</v>
      </c>
      <c r="AE4" s="21">
        <f>EIA_electricity_aeo2014!AG58 * 1000</f>
        <v>123162.7907685805</v>
      </c>
      <c r="AF4" s="21">
        <f>EIA_electricity_aeo2014!AH58 * 1000</f>
        <v>125104.00462463108</v>
      </c>
      <c r="AG4" s="21">
        <f>EIA_electricity_aeo2014!AI58 * 1000</f>
        <v>126666.50654530025</v>
      </c>
      <c r="AH4" s="21">
        <f>EIA_electricity_aeo2014!AJ58 * 1000</f>
        <v>127903.61111169815</v>
      </c>
    </row>
    <row r="5" spans="1:34">
      <c r="A5" s="9" t="s">
        <v>61</v>
      </c>
      <c r="B5" s="34">
        <v>0</v>
      </c>
      <c r="C5" s="330">
        <v>0</v>
      </c>
      <c r="D5" s="330"/>
      <c r="E5" s="330"/>
      <c r="F5" s="330"/>
      <c r="G5" s="330"/>
      <c r="H5" s="3"/>
      <c r="I5" s="3"/>
      <c r="J5" s="3"/>
      <c r="K5" s="3"/>
      <c r="L5" s="3"/>
      <c r="M5" s="3"/>
      <c r="N5" s="388"/>
      <c r="O5" s="3"/>
      <c r="P5" s="3"/>
      <c r="Q5" s="3"/>
      <c r="R5" s="3"/>
      <c r="S5" s="3"/>
      <c r="T5" s="3"/>
      <c r="U5" s="3"/>
      <c r="V5" s="3"/>
      <c r="W5" s="3"/>
      <c r="X5" s="184"/>
    </row>
    <row r="6" spans="1:34">
      <c r="A6" s="9" t="s">
        <v>60</v>
      </c>
      <c r="B6" s="34">
        <v>0</v>
      </c>
      <c r="C6" s="330">
        <v>0</v>
      </c>
      <c r="D6" s="330"/>
      <c r="E6" s="394" t="s">
        <v>0</v>
      </c>
      <c r="F6" s="330"/>
      <c r="G6" s="330"/>
      <c r="H6" s="3"/>
      <c r="I6" s="3"/>
      <c r="J6" s="3"/>
      <c r="K6" s="3"/>
      <c r="L6" s="3"/>
      <c r="M6" s="3"/>
      <c r="N6" s="388"/>
      <c r="O6" s="3"/>
      <c r="P6" s="3"/>
      <c r="Q6" s="3"/>
      <c r="R6" s="3"/>
      <c r="S6" s="3"/>
      <c r="T6" s="3"/>
      <c r="U6" s="3"/>
      <c r="V6" s="3"/>
      <c r="W6" s="3"/>
      <c r="X6" s="184"/>
    </row>
    <row r="7" spans="1:34">
      <c r="A7" s="9" t="s">
        <v>49</v>
      </c>
      <c r="B7" s="34">
        <v>0</v>
      </c>
      <c r="C7" s="330">
        <f>EIA_RE_aeo2014!E73*1000-C15</f>
        <v>1235.99</v>
      </c>
      <c r="D7" s="330">
        <f>EIA_RE_aeo2014!F73*1000-D15</f>
        <v>1108.99</v>
      </c>
      <c r="E7" s="330">
        <f>EIA_RE_aeo2014!G73*1000-E15</f>
        <v>1247.5906959349747</v>
      </c>
      <c r="F7" s="330">
        <f>EIA_RE_aeo2014!H73*1000-F15</f>
        <v>1015.0480872627193</v>
      </c>
      <c r="G7" s="330">
        <f>EIA_RE_aeo2014!I73*1000-G15</f>
        <v>1288.4851551780735</v>
      </c>
      <c r="H7" s="174">
        <f>EIA_RE_aeo2014!J73*1000-H15</f>
        <v>1319.4682949267435</v>
      </c>
      <c r="I7" s="174">
        <f>EIA_RE_aeo2014!K73*1000-I15</f>
        <v>1346.8149842397527</v>
      </c>
      <c r="J7" s="174">
        <f>EIA_RE_aeo2014!L73*1000-J15</f>
        <v>1370.443648929032</v>
      </c>
      <c r="K7" s="174">
        <f>EIA_RE_aeo2014!M73*1000-K15</f>
        <v>1386.4761207738109</v>
      </c>
      <c r="L7" s="174">
        <f>EIA_RE_aeo2014!N73*1000-L15</f>
        <v>1386.4754252230944</v>
      </c>
      <c r="M7" s="174">
        <f>EIA_RE_aeo2014!O73*1000-M15</f>
        <v>1386.4757869094669</v>
      </c>
      <c r="N7" s="184">
        <f>EIA_RE_aeo2014!P73*1000-N15</f>
        <v>1386.4754252230944</v>
      </c>
      <c r="O7" s="174">
        <f>EIA_RE_aeo2014!Q73*1000-O15</f>
        <v>1386.4757590874383</v>
      </c>
      <c r="P7" s="174">
        <f>EIA_RE_aeo2014!R73*1000-P15</f>
        <v>1386.4747853164347</v>
      </c>
      <c r="Q7" s="174">
        <f>EIA_RE_aeo2014!S73*1000-Q15</f>
        <v>1394.1293765991195</v>
      </c>
      <c r="R7" s="174">
        <f>EIA_RE_aeo2014!T73*1000-R15</f>
        <v>1394.128820158546</v>
      </c>
      <c r="S7" s="83">
        <f>EIA_RE_aeo2014!U73*1000-S15</f>
        <v>1394.1294044211481</v>
      </c>
      <c r="T7" s="83">
        <f>EIA_RE_aeo2014!V73*1000-T15</f>
        <v>1397.0383644510703</v>
      </c>
      <c r="U7" s="83">
        <f>EIA_RE_aeo2014!W73*1000-U15</f>
        <v>1398.7849479450681</v>
      </c>
      <c r="V7" s="83">
        <f>EIA_RE_aeo2014!X73*1000-V15</f>
        <v>1408.6728691133831</v>
      </c>
      <c r="W7" s="83">
        <f>EIA_RE_aeo2014!Y73*1000-W15</f>
        <v>1418.3316480535477</v>
      </c>
      <c r="X7" s="184">
        <f>EIA_RE_aeo2014!Z73*1000-X15</f>
        <v>1429.109262054764</v>
      </c>
      <c r="Y7" s="174">
        <f>EIA_RE_aeo2014!AA73*1000-Y15</f>
        <v>1429.109456808965</v>
      </c>
      <c r="Z7" s="174">
        <f>EIA_RE_aeo2014!AB73*1000-Z15</f>
        <v>1435.3608162535043</v>
      </c>
      <c r="AA7" s="174">
        <f>EIA_RE_aeo2014!AC73*1000-AA15</f>
        <v>1435.3611222958195</v>
      </c>
      <c r="AB7" s="174">
        <f>EIA_RE_aeo2014!AD73*1000-AB15</f>
        <v>1435.3611222958195</v>
      </c>
      <c r="AC7" s="174">
        <f>EIA_RE_aeo2014!AE73*1000-AC15</f>
        <v>1441.2940864442262</v>
      </c>
      <c r="AD7" s="174">
        <f>EIA_RE_aeo2014!AF73*1000-AD15</f>
        <v>1445.4034835452976</v>
      </c>
      <c r="AE7" s="174">
        <f>EIA_RE_aeo2014!AG73*1000-AE15</f>
        <v>1445.4040399858711</v>
      </c>
      <c r="AF7" s="174">
        <f>EIA_RE_aeo2014!AH73*1000-AF15</f>
        <v>1449.1324422262956</v>
      </c>
      <c r="AG7" s="174">
        <f>EIA_RE_aeo2014!AI73*1000-AG15</f>
        <v>1449.1324144042669</v>
      </c>
      <c r="AH7" s="174">
        <f>EIA_RE_aeo2014!AJ73*1000-AH15</f>
        <v>1449.1325535144106</v>
      </c>
    </row>
    <row r="8" spans="1:34">
      <c r="A8" s="9" t="s">
        <v>59</v>
      </c>
      <c r="B8" s="34">
        <v>0</v>
      </c>
      <c r="C8" s="330">
        <f>EIA_electricity_aeo2014!E52*1000</f>
        <v>16782</v>
      </c>
      <c r="D8" s="330">
        <f>EIA_electricity_aeo2014!F52*1000</f>
        <v>18639</v>
      </c>
      <c r="E8" s="330">
        <f>EIA_electricity_aeo2014!G52*1000</f>
        <v>17196.390716688973</v>
      </c>
      <c r="F8" s="330">
        <f>EIA_electricity_aeo2014!H52*1000</f>
        <v>17037.613515304569</v>
      </c>
      <c r="G8" s="330">
        <f>EIA_electricity_aeo2014!I52*1000</f>
        <v>16765.531468870839</v>
      </c>
      <c r="H8" s="3">
        <f>EIA_electricity_aeo2014!J52*1000</f>
        <v>16815.288126750682</v>
      </c>
      <c r="I8" s="3">
        <f>EIA_electricity_aeo2014!K52*1000</f>
        <v>17453.653465141928</v>
      </c>
      <c r="J8" s="3">
        <f>EIA_electricity_aeo2014!L52*1000</f>
        <v>18193.102670670854</v>
      </c>
      <c r="K8" s="3">
        <f>EIA_electricity_aeo2014!M52*1000</f>
        <v>18911.862296520823</v>
      </c>
      <c r="L8" s="3">
        <f>EIA_electricity_aeo2014!N52*1000</f>
        <v>19469.951471464148</v>
      </c>
      <c r="M8" s="3">
        <f>EIA_electricity_aeo2014!O52*1000</f>
        <v>19567.454230028117</v>
      </c>
      <c r="N8" s="388">
        <f>EIA_electricity_aeo2014!P52*1000</f>
        <v>19567.454719830515</v>
      </c>
      <c r="O8" s="3">
        <f>EIA_electricity_aeo2014!Q52*1000</f>
        <v>19567.454719830515</v>
      </c>
      <c r="P8" s="3">
        <f>EIA_electricity_aeo2014!R52*1000</f>
        <v>19567.454556563051</v>
      </c>
      <c r="Q8" s="3">
        <f>EIA_electricity_aeo2014!S52*1000</f>
        <v>19567.454719830515</v>
      </c>
      <c r="R8" s="3">
        <f>EIA_electricity_aeo2014!T52*1000</f>
        <v>19567.454230028117</v>
      </c>
      <c r="S8" s="3">
        <f>EIA_electricity_aeo2014!U52*1000</f>
        <v>19567.49382238834</v>
      </c>
      <c r="T8" s="3">
        <f>EIA_electricity_aeo2014!V52*1000</f>
        <v>19567.454556563051</v>
      </c>
      <c r="U8" s="3">
        <f>EIA_electricity_aeo2014!W52*1000</f>
        <v>19567.454393295586</v>
      </c>
      <c r="V8" s="3">
        <f>EIA_electricity_aeo2014!X52*1000</f>
        <v>19567.454393295586</v>
      </c>
      <c r="W8" s="3">
        <f>EIA_electricity_aeo2014!Y52*1000</f>
        <v>19567.454719830515</v>
      </c>
      <c r="X8" s="184">
        <f>EIA_electricity_aeo2014!Z52*1000</f>
        <v>19567.454393295586</v>
      </c>
      <c r="Y8" s="174">
        <f>EIA_electricity_aeo2014!AA52*1000</f>
        <v>19567.454393295586</v>
      </c>
      <c r="Z8" s="174">
        <f>EIA_electricity_aeo2014!AB52*1000</f>
        <v>19567.454556563051</v>
      </c>
      <c r="AA8" s="174">
        <f>EIA_electricity_aeo2014!AC52*1000</f>
        <v>19567.454148394387</v>
      </c>
      <c r="AB8" s="174">
        <f>EIA_electricity_aeo2014!AD52*1000</f>
        <v>19567.454393295586</v>
      </c>
      <c r="AC8" s="174">
        <f>EIA_electricity_aeo2014!AE52*1000</f>
        <v>19567.454719830515</v>
      </c>
      <c r="AD8" s="174">
        <f>EIA_electricity_aeo2014!AF52*1000</f>
        <v>19567.454719830515</v>
      </c>
      <c r="AE8" s="174">
        <f>EIA_electricity_aeo2014!AG52*1000</f>
        <v>19567.454719830515</v>
      </c>
      <c r="AF8" s="174">
        <f>EIA_electricity_aeo2014!AH52*1000</f>
        <v>19567.454719830515</v>
      </c>
      <c r="AG8" s="174">
        <f>EIA_electricity_aeo2014!AI52*1000</f>
        <v>19567.454393295586</v>
      </c>
      <c r="AH8" s="174">
        <f>EIA_electricity_aeo2014!AJ52*1000</f>
        <v>19567.454393295586</v>
      </c>
    </row>
    <row r="9" spans="1:34">
      <c r="A9" s="9"/>
      <c r="B9" s="34"/>
      <c r="C9" s="330"/>
      <c r="D9" s="330"/>
      <c r="E9" s="330"/>
      <c r="F9" s="330"/>
      <c r="G9" s="330"/>
      <c r="H9" s="118"/>
      <c r="I9" s="118"/>
      <c r="J9" s="118"/>
      <c r="K9" s="118"/>
      <c r="L9" s="118"/>
      <c r="M9" s="118"/>
      <c r="N9" s="388"/>
      <c r="O9" s="118"/>
      <c r="P9" s="118"/>
      <c r="Q9" s="118"/>
      <c r="R9" s="118"/>
      <c r="S9" s="118"/>
      <c r="T9" s="118"/>
      <c r="U9" s="118"/>
      <c r="V9" s="118"/>
      <c r="W9" s="118"/>
      <c r="X9" s="184"/>
    </row>
    <row r="10" spans="1:34" s="20" customFormat="1">
      <c r="A10" s="9" t="s">
        <v>125</v>
      </c>
      <c r="B10" s="35">
        <v>1</v>
      </c>
      <c r="C10" s="330">
        <f>EIA_RE_aeo2014!E76*1000</f>
        <v>2297</v>
      </c>
      <c r="D10" s="330">
        <f>EIA_RE_aeo2014!F76*1000</f>
        <v>2393</v>
      </c>
      <c r="E10" s="330">
        <f>EIA_RE_aeo2014!G76*1000</f>
        <v>2742.1769152551055</v>
      </c>
      <c r="F10" s="330">
        <f>EIA_RE_aeo2014!H76*1000</f>
        <v>2648.0107183453924</v>
      </c>
      <c r="G10" s="330">
        <f>EIA_RE_aeo2014!I76*1000</f>
        <v>2933.0998996527064</v>
      </c>
      <c r="H10" s="83">
        <f>EIA_RE_aeo2014!J76*1000</f>
        <v>3017.7602309434628</v>
      </c>
      <c r="I10" s="174">
        <f>EIA_RE_aeo2014!K76*1000</f>
        <v>3128.5574725869596</v>
      </c>
      <c r="J10" s="174">
        <f>EIA_RE_aeo2014!L76*1000</f>
        <v>3310.1973392204031</v>
      </c>
      <c r="K10" s="174">
        <f>EIA_RE_aeo2014!M76*1000</f>
        <v>3589.8846098249737</v>
      </c>
      <c r="L10" s="174">
        <f>EIA_RE_aeo2014!N76*1000</f>
        <v>3750.5892973112323</v>
      </c>
      <c r="M10" s="174">
        <f>EIA_RE_aeo2014!O76*1000</f>
        <v>3901.3029912311804</v>
      </c>
      <c r="N10" s="184">
        <f>EIA_RE_aeo2014!P76*1000</f>
        <v>4093.1663238625893</v>
      </c>
      <c r="O10" s="174">
        <f>EIA_RE_aeo2014!Q76*1000</f>
        <v>4389.3006061709902</v>
      </c>
      <c r="P10" s="174">
        <f>EIA_RE_aeo2014!R76*1000</f>
        <v>4590.2061439361205</v>
      </c>
      <c r="Q10" s="174">
        <f>EIA_RE_aeo2014!S76*1000</f>
        <v>5166.2796184344625</v>
      </c>
      <c r="R10" s="174">
        <f>EIA_RE_aeo2014!T76*1000</f>
        <v>5390.800098459903</v>
      </c>
      <c r="S10" s="83">
        <f>EIA_RE_aeo2014!U76*1000</f>
        <v>6087.1586989276429</v>
      </c>
      <c r="T10" s="83">
        <f>EIA_RE_aeo2014!V76*1000</f>
        <v>6291.9953510165478</v>
      </c>
      <c r="U10" s="83">
        <f>EIA_RE_aeo2014!W76*1000</f>
        <v>6431.4553242394386</v>
      </c>
      <c r="V10" s="83">
        <f>EIA_RE_aeo2014!X76*1000</f>
        <v>6561.5224571140134</v>
      </c>
      <c r="W10" s="83">
        <f>EIA_RE_aeo2014!Y76*1000</f>
        <v>7348.8497035313521</v>
      </c>
      <c r="X10" s="184">
        <f>EIA_RE_aeo2014!Z76*1000</f>
        <v>7468.2616358920286</v>
      </c>
      <c r="Y10" s="174">
        <f>EIA_RE_aeo2014!AA76*1000</f>
        <v>7568.2930370245576</v>
      </c>
      <c r="Z10" s="174">
        <f>EIA_RE_aeo2014!AB76*1000</f>
        <v>7643.3673208079326</v>
      </c>
      <c r="AA10" s="174">
        <f>EIA_RE_aeo2014!AC76*1000</f>
        <v>7744.0054988398169</v>
      </c>
      <c r="AB10" s="174">
        <f>EIA_RE_aeo2014!AD76*1000</f>
        <v>7859.7479630389444</v>
      </c>
      <c r="AC10" s="174">
        <f>EIA_RE_aeo2014!AE76*1000</f>
        <v>7958.4483815201438</v>
      </c>
      <c r="AD10" s="174">
        <f>EIA_RE_aeo2014!AF76*1000</f>
        <v>8095.8764686276827</v>
      </c>
      <c r="AE10" s="174">
        <f>EIA_RE_aeo2014!AG76*1000</f>
        <v>8244.2768141511697</v>
      </c>
      <c r="AF10" s="174">
        <f>EIA_RE_aeo2014!AH76*1000</f>
        <v>8415.1642345021428</v>
      </c>
      <c r="AG10" s="174">
        <f>EIA_RE_aeo2014!AI76*1000</f>
        <v>8593.1616049136228</v>
      </c>
      <c r="AH10" s="174">
        <f>EIA_RE_aeo2014!AJ76*1000</f>
        <v>8753.3791461441215</v>
      </c>
    </row>
    <row r="11" spans="1:34" s="20" customFormat="1">
      <c r="A11" s="9" t="s">
        <v>50</v>
      </c>
      <c r="B11" s="35">
        <v>1</v>
      </c>
      <c r="C11" s="330">
        <f>EIA_RE_aeo2014!E74*1000</f>
        <v>0</v>
      </c>
      <c r="D11" s="330">
        <f>EIA_RE_aeo2014!F74*1000</f>
        <v>0</v>
      </c>
      <c r="E11" s="330">
        <f>EIA_RE_aeo2014!G74*1000</f>
        <v>4.0118829999999999E-3</v>
      </c>
      <c r="F11" s="330">
        <f>EIA_RE_aeo2014!H74*1000</f>
        <v>3.7581989999999998E-3</v>
      </c>
      <c r="G11" s="330">
        <f>EIA_RE_aeo2014!I74*1000</f>
        <v>4.109054E-3</v>
      </c>
      <c r="H11" s="83">
        <f>EIA_RE_aeo2014!J74*1000</f>
        <v>4.1090699999999994E-3</v>
      </c>
      <c r="I11" s="83">
        <f>EIA_RE_aeo2014!K74*1000</f>
        <v>4.1077979999999993E-3</v>
      </c>
      <c r="J11" s="83">
        <f>EIA_RE_aeo2014!L74*1000</f>
        <v>4.1001169999999995E-3</v>
      </c>
      <c r="K11" s="83">
        <f>EIA_RE_aeo2014!M74*1000</f>
        <v>4.5077809999999989E-3</v>
      </c>
      <c r="L11" s="83">
        <f>EIA_RE_aeo2014!N74*1000</f>
        <v>4.9009479999999996E-3</v>
      </c>
      <c r="M11" s="83">
        <f>EIA_RE_aeo2014!O74*1000</f>
        <v>4.9156639999999993E-3</v>
      </c>
      <c r="N11" s="388">
        <f>EIA_RE_aeo2014!P74*1000</f>
        <v>4.9143329999999999E-3</v>
      </c>
      <c r="O11" s="83">
        <f>EIA_RE_aeo2014!Q74*1000</f>
        <v>4.9132239999999999E-3</v>
      </c>
      <c r="P11" s="83">
        <f>EIA_RE_aeo2014!R74*1000</f>
        <v>4.9197499999999996E-3</v>
      </c>
      <c r="Q11" s="83">
        <f>EIA_RE_aeo2014!S74*1000</f>
        <v>4.9287999999999997E-3</v>
      </c>
      <c r="R11" s="83">
        <f>EIA_RE_aeo2014!T74*1000</f>
        <v>4.9247539999999999E-3</v>
      </c>
      <c r="S11" s="83">
        <f>EIA_RE_aeo2014!U74*1000</f>
        <v>4.9286719999999994E-3</v>
      </c>
      <c r="T11" s="83">
        <f>EIA_RE_aeo2014!V74*1000</f>
        <v>4.9275430000000004E-3</v>
      </c>
      <c r="U11" s="83">
        <f>EIA_RE_aeo2014!W74*1000</f>
        <v>5.3101979999999995E-3</v>
      </c>
      <c r="V11" s="83">
        <f>EIA_RE_aeo2014!X74*1000</f>
        <v>5.5501300000000003E-3</v>
      </c>
      <c r="W11" s="83">
        <f>EIA_RE_aeo2014!Y74*1000</f>
        <v>5.5720199999999996E-3</v>
      </c>
      <c r="X11" s="184">
        <f>EIA_RE_aeo2014!Z74*1000</f>
        <v>5.8294079999999995E-3</v>
      </c>
      <c r="Y11" s="174">
        <f>EIA_RE_aeo2014!AA74*1000</f>
        <v>6.0471729999999994E-3</v>
      </c>
      <c r="Z11" s="174">
        <f>EIA_RE_aeo2014!AB74*1000</f>
        <v>6.0445359999999997E-3</v>
      </c>
      <c r="AA11" s="174">
        <f>EIA_RE_aeo2014!AC74*1000</f>
        <v>6.0421289999999994E-3</v>
      </c>
      <c r="AB11" s="174">
        <f>EIA_RE_aeo2014!AD74*1000</f>
        <v>6.0397999999999997E-3</v>
      </c>
      <c r="AC11" s="174">
        <f>EIA_RE_aeo2014!AE74*1000</f>
        <v>6.0375639999999996E-3</v>
      </c>
      <c r="AD11" s="174">
        <f>EIA_RE_aeo2014!AF74*1000</f>
        <v>6.0354029999999999E-3</v>
      </c>
      <c r="AE11" s="174">
        <f>EIA_RE_aeo2014!AG74*1000</f>
        <v>6.0333230000000002E-3</v>
      </c>
      <c r="AF11" s="174">
        <f>EIA_RE_aeo2014!AH74*1000</f>
        <v>6.0313509999999999E-3</v>
      </c>
      <c r="AG11" s="174">
        <f>EIA_RE_aeo2014!AI74*1000</f>
        <v>6.0293979999999992E-3</v>
      </c>
      <c r="AH11" s="174">
        <f>EIA_RE_aeo2014!AJ74*1000</f>
        <v>6.0275829999999996E-3</v>
      </c>
    </row>
    <row r="12" spans="1:34" s="20" customFormat="1">
      <c r="A12" s="9" t="s">
        <v>51</v>
      </c>
      <c r="B12" s="35">
        <v>1</v>
      </c>
      <c r="C12" s="330">
        <f>EIA_RE_aeo2014!E75*1000</f>
        <v>0</v>
      </c>
      <c r="D12" s="330">
        <f>EIA_RE_aeo2014!F75*1000</f>
        <v>0</v>
      </c>
      <c r="E12" s="330">
        <f>EIA_RE_aeo2014!G75*1000</f>
        <v>1.3393529999999999E-3</v>
      </c>
      <c r="F12" s="330">
        <f>EIA_RE_aeo2014!H75*1000</f>
        <v>1.3868399999999999E-3</v>
      </c>
      <c r="G12" s="330">
        <f>EIA_RE_aeo2014!I75*1000</f>
        <v>1.1280109999999999E-3</v>
      </c>
      <c r="H12" s="83">
        <f>EIA_RE_aeo2014!J75*1000</f>
        <v>1.2137750000000001E-3</v>
      </c>
      <c r="I12" s="174">
        <f>EIA_RE_aeo2014!K75*1000</f>
        <v>1.1110189999999998E-3</v>
      </c>
      <c r="J12" s="174">
        <f>EIA_RE_aeo2014!L75*1000</f>
        <v>1.2996959999999999E-3</v>
      </c>
      <c r="K12" s="174">
        <f>EIA_RE_aeo2014!M75*1000</f>
        <v>1.3086109999999999E-3</v>
      </c>
      <c r="L12" s="174">
        <f>EIA_RE_aeo2014!N75*1000</f>
        <v>1.3088319999999998E-3</v>
      </c>
      <c r="M12" s="174">
        <f>EIA_RE_aeo2014!O75*1000</f>
        <v>1.3002439999999999E-3</v>
      </c>
      <c r="N12" s="184">
        <f>EIA_RE_aeo2014!P75*1000</f>
        <v>1.2998630000000001E-3</v>
      </c>
      <c r="O12" s="174">
        <f>EIA_RE_aeo2014!Q75*1000</f>
        <v>1.2996369999999998E-3</v>
      </c>
      <c r="P12" s="174">
        <f>EIA_RE_aeo2014!R75*1000</f>
        <v>1.3080209999999999E-3</v>
      </c>
      <c r="Q12" s="174">
        <f>EIA_RE_aeo2014!S75*1000</f>
        <v>1.2992279999999997E-3</v>
      </c>
      <c r="R12" s="174">
        <f>EIA_RE_aeo2014!T75*1000</f>
        <v>1.2990320000000001E-3</v>
      </c>
      <c r="S12" s="83">
        <f>EIA_RE_aeo2014!U75*1000</f>
        <v>1.3074349999999998E-3</v>
      </c>
      <c r="T12" s="83">
        <f>EIA_RE_aeo2014!V75*1000</f>
        <v>1.2846369999999999E-3</v>
      </c>
      <c r="U12" s="83">
        <f>EIA_RE_aeo2014!W75*1000</f>
        <v>1.2981029999999999E-3</v>
      </c>
      <c r="V12" s="83">
        <f>EIA_RE_aeo2014!X75*1000</f>
        <v>1.297704E-3</v>
      </c>
      <c r="W12" s="83">
        <f>EIA_RE_aeo2014!Y75*1000</f>
        <v>1.2972439999999999E-3</v>
      </c>
      <c r="X12" s="184">
        <f>EIA_RE_aeo2014!Z75*1000</f>
        <v>1.2967479999999999E-3</v>
      </c>
      <c r="Y12" s="174">
        <f>EIA_RE_aeo2014!AA75*1000</f>
        <v>1.2962539999999999E-3</v>
      </c>
      <c r="Z12" s="174">
        <f>EIA_RE_aeo2014!AB75*1000</f>
        <v>1.3044589999999998E-3</v>
      </c>
      <c r="AA12" s="174">
        <f>EIA_RE_aeo2014!AC75*1000</f>
        <v>1.3161710000000001E-3</v>
      </c>
      <c r="AB12" s="174">
        <f>EIA_RE_aeo2014!AD75*1000</f>
        <v>1.3335859999999999E-3</v>
      </c>
      <c r="AC12" s="174">
        <f>EIA_RE_aeo2014!AE75*1000</f>
        <v>1.333243E-3</v>
      </c>
      <c r="AD12" s="174">
        <f>EIA_RE_aeo2014!AF75*1000</f>
        <v>1.3329069999999999E-3</v>
      </c>
      <c r="AE12" s="174">
        <f>EIA_RE_aeo2014!AG75*1000</f>
        <v>1.3581589999999998E-3</v>
      </c>
      <c r="AF12" s="174">
        <f>EIA_RE_aeo2014!AH75*1000</f>
        <v>1.3578999999999998E-3</v>
      </c>
      <c r="AG12" s="174">
        <f>EIA_RE_aeo2014!AI75*1000</f>
        <v>1.3576220000000002E-3</v>
      </c>
      <c r="AH12" s="174">
        <f>EIA_RE_aeo2014!AJ75*1000</f>
        <v>1.3573469999999996E-3</v>
      </c>
    </row>
    <row r="13" spans="1:34">
      <c r="A13" s="9" t="s">
        <v>347</v>
      </c>
      <c r="B13" s="34">
        <v>1</v>
      </c>
      <c r="C13" s="330">
        <f>(EIA_RE_aeo2014!E34+EIA_RE_aeo2014!E54)*1000</f>
        <v>0</v>
      </c>
      <c r="D13" s="330">
        <f>(EIA_RE_aeo2014!F34+EIA_RE_aeo2014!F54)*1000</f>
        <v>0</v>
      </c>
      <c r="E13" s="330">
        <f>(EIA_RE_aeo2014!G34+EIA_RE_aeo2014!G54)*1000</f>
        <v>0.2</v>
      </c>
      <c r="F13" s="330">
        <f>(EIA_RE_aeo2014!H34+EIA_RE_aeo2014!H54)*1000</f>
        <v>0.2</v>
      </c>
      <c r="G13" s="330">
        <f>(EIA_RE_aeo2014!I34+EIA_RE_aeo2014!I54)*1000</f>
        <v>0.2</v>
      </c>
      <c r="H13" s="83">
        <f>(EIA_RE_aeo2014!J34+EIA_RE_aeo2014!J54)*1000</f>
        <v>0.2</v>
      </c>
      <c r="I13" s="83">
        <f>(EIA_RE_aeo2014!K34+EIA_RE_aeo2014!K54)*1000</f>
        <v>0.2</v>
      </c>
      <c r="J13" s="83">
        <f>(EIA_RE_aeo2014!L34+EIA_RE_aeo2014!L54)*1000</f>
        <v>0.2</v>
      </c>
      <c r="K13" s="83">
        <f>(EIA_RE_aeo2014!M34+EIA_RE_aeo2014!M54)*1000</f>
        <v>0.2</v>
      </c>
      <c r="L13" s="83">
        <f>(EIA_RE_aeo2014!N34+EIA_RE_aeo2014!N54)*1000</f>
        <v>0.2</v>
      </c>
      <c r="M13" s="83">
        <f>(EIA_RE_aeo2014!O34+EIA_RE_aeo2014!O54)*1000</f>
        <v>0.2</v>
      </c>
      <c r="N13" s="388">
        <f>(EIA_RE_aeo2014!P34+EIA_RE_aeo2014!P54)*1000</f>
        <v>0.2</v>
      </c>
      <c r="O13" s="83">
        <f>(EIA_RE_aeo2014!Q34+EIA_RE_aeo2014!Q54)*1000</f>
        <v>0.2</v>
      </c>
      <c r="P13" s="83">
        <f>(EIA_RE_aeo2014!R34+EIA_RE_aeo2014!R54)*1000</f>
        <v>0.2</v>
      </c>
      <c r="Q13" s="83">
        <f>(EIA_RE_aeo2014!S34+EIA_RE_aeo2014!S54)*1000</f>
        <v>0.2</v>
      </c>
      <c r="R13" s="83">
        <f>(EIA_RE_aeo2014!T34+EIA_RE_aeo2014!T54)*1000</f>
        <v>0.2</v>
      </c>
      <c r="S13" s="83">
        <f>(EIA_RE_aeo2014!U34+EIA_RE_aeo2014!U54)*1000</f>
        <v>0.2</v>
      </c>
      <c r="T13" s="83">
        <f>(EIA_RE_aeo2014!V34+EIA_RE_aeo2014!V54)*1000</f>
        <v>0.2</v>
      </c>
      <c r="U13" s="83">
        <f>(EIA_RE_aeo2014!W34+EIA_RE_aeo2014!W54)*1000</f>
        <v>0.2</v>
      </c>
      <c r="V13" s="83">
        <f>(EIA_RE_aeo2014!X34+EIA_RE_aeo2014!X54)*1000</f>
        <v>0.2</v>
      </c>
      <c r="W13" s="83">
        <f>(EIA_RE_aeo2014!Y34+EIA_RE_aeo2014!Y54)*1000</f>
        <v>0.2</v>
      </c>
      <c r="X13" s="184">
        <f>(EIA_RE_aeo2014!Z34+EIA_RE_aeo2014!Z54)*1000</f>
        <v>0.2</v>
      </c>
      <c r="Y13" s="174">
        <f>(EIA_RE_aeo2014!AA34+EIA_RE_aeo2014!AA54)*1000</f>
        <v>0.2</v>
      </c>
      <c r="Z13" s="174">
        <f>(EIA_RE_aeo2014!AB34+EIA_RE_aeo2014!AB54)*1000</f>
        <v>0.2</v>
      </c>
      <c r="AA13" s="174">
        <f>(EIA_RE_aeo2014!AC34+EIA_RE_aeo2014!AC54)*1000</f>
        <v>0.2</v>
      </c>
      <c r="AB13" s="174">
        <f>(EIA_RE_aeo2014!AD34+EIA_RE_aeo2014!AD54)*1000</f>
        <v>0.2</v>
      </c>
      <c r="AC13" s="174">
        <f>(EIA_RE_aeo2014!AE34+EIA_RE_aeo2014!AE54)*1000</f>
        <v>0.2</v>
      </c>
      <c r="AD13" s="174">
        <f>(EIA_RE_aeo2014!AF34+EIA_RE_aeo2014!AF54)*1000</f>
        <v>0.2</v>
      </c>
      <c r="AE13" s="174">
        <f>(EIA_RE_aeo2014!AG34+EIA_RE_aeo2014!AG54)*1000</f>
        <v>0.2</v>
      </c>
      <c r="AF13" s="174">
        <f>(EIA_RE_aeo2014!AH34+EIA_RE_aeo2014!AH54)*1000</f>
        <v>0.2</v>
      </c>
      <c r="AG13" s="174">
        <f>(EIA_RE_aeo2014!AI34+EIA_RE_aeo2014!AI54)*1000</f>
        <v>0.2</v>
      </c>
      <c r="AH13" s="174">
        <f>EIA_RE_aeo2014!AJ77*1000</f>
        <v>0</v>
      </c>
    </row>
    <row r="14" spans="1:34">
      <c r="A14" s="9" t="s">
        <v>348</v>
      </c>
      <c r="B14" s="34">
        <v>1</v>
      </c>
      <c r="C14" s="330">
        <f>EIA_RE_aeo2014!E33*1000</f>
        <v>0</v>
      </c>
      <c r="D14" s="330">
        <f>EIA_RE_aeo2014!F33*1000</f>
        <v>0</v>
      </c>
      <c r="E14" s="330">
        <f>EIA_RE_aeo2014!G33*1000</f>
        <v>0.1</v>
      </c>
      <c r="F14" s="330">
        <f>EIA_RE_aeo2014!H33*1000</f>
        <v>0.1</v>
      </c>
      <c r="G14" s="330">
        <f>EIA_RE_aeo2014!I33*1000</f>
        <v>0.1</v>
      </c>
      <c r="H14" s="83">
        <f>EIA_RE_aeo2014!J33*1000</f>
        <v>0.1</v>
      </c>
      <c r="I14" s="83">
        <f>EIA_RE_aeo2014!K33*1000</f>
        <v>0.1</v>
      </c>
      <c r="J14" s="83">
        <f>EIA_RE_aeo2014!L33*1000</f>
        <v>0.1</v>
      </c>
      <c r="K14" s="83">
        <f>EIA_RE_aeo2014!M33*1000</f>
        <v>0.1</v>
      </c>
      <c r="L14" s="83">
        <f>EIA_RE_aeo2014!N33*1000</f>
        <v>0.1</v>
      </c>
      <c r="M14" s="83">
        <f>EIA_RE_aeo2014!O33*1000</f>
        <v>0.1</v>
      </c>
      <c r="N14" s="388">
        <f>EIA_RE_aeo2014!P33*1000</f>
        <v>0.1</v>
      </c>
      <c r="O14" s="83">
        <f>EIA_RE_aeo2014!Q33*1000</f>
        <v>0.1</v>
      </c>
      <c r="P14" s="83">
        <f>EIA_RE_aeo2014!R33*1000</f>
        <v>0.1</v>
      </c>
      <c r="Q14" s="83">
        <f>EIA_RE_aeo2014!S33*1000</f>
        <v>0.1</v>
      </c>
      <c r="R14" s="83">
        <f>EIA_RE_aeo2014!T33*1000</f>
        <v>0.1</v>
      </c>
      <c r="S14" s="83">
        <f>EIA_RE_aeo2014!U33*1000</f>
        <v>0.1</v>
      </c>
      <c r="T14" s="83">
        <f>EIA_RE_aeo2014!V33*1000</f>
        <v>0.1</v>
      </c>
      <c r="U14" s="83">
        <f>EIA_RE_aeo2014!W33*1000</f>
        <v>0.1</v>
      </c>
      <c r="V14" s="83">
        <f>EIA_RE_aeo2014!X33*1000</f>
        <v>0.1</v>
      </c>
      <c r="W14" s="83">
        <f>EIA_RE_aeo2014!Y33*1000</f>
        <v>0.1</v>
      </c>
      <c r="X14" s="184">
        <f>EIA_RE_aeo2014!Z33*1000</f>
        <v>0.1</v>
      </c>
      <c r="Y14" s="174">
        <f>EIA_RE_aeo2014!AA33*1000</f>
        <v>0.1</v>
      </c>
      <c r="Z14" s="174">
        <f>EIA_RE_aeo2014!AB33*1000</f>
        <v>0.1</v>
      </c>
      <c r="AA14" s="174">
        <f>EIA_RE_aeo2014!AC33*1000</f>
        <v>0.1</v>
      </c>
      <c r="AB14" s="174">
        <f>EIA_RE_aeo2014!AD33*1000</f>
        <v>0.1</v>
      </c>
      <c r="AC14" s="174">
        <f>EIA_RE_aeo2014!AE33*1000</f>
        <v>0.1</v>
      </c>
      <c r="AD14" s="174">
        <f>EIA_RE_aeo2014!AF33*1000</f>
        <v>0.1</v>
      </c>
      <c r="AE14" s="174">
        <f>EIA_RE_aeo2014!AG33*1000</f>
        <v>0.1</v>
      </c>
      <c r="AF14" s="174">
        <f>EIA_RE_aeo2014!AH33*1000</f>
        <v>0.1</v>
      </c>
      <c r="AG14" s="174">
        <f>EIA_RE_aeo2014!AI33*1000</f>
        <v>0.1</v>
      </c>
      <c r="AH14" s="174">
        <f>EIA_RE_aeo2014!AJ33*1000</f>
        <v>0.1</v>
      </c>
    </row>
    <row r="15" spans="1:34" s="514" customFormat="1">
      <c r="A15" s="511" t="s">
        <v>717</v>
      </c>
      <c r="B15" s="512">
        <v>1</v>
      </c>
      <c r="C15" s="513">
        <v>0.01</v>
      </c>
      <c r="D15" s="513">
        <v>0.01</v>
      </c>
      <c r="E15" s="513">
        <v>0.01</v>
      </c>
      <c r="F15" s="513">
        <v>0.01</v>
      </c>
      <c r="G15" s="513">
        <v>0.01</v>
      </c>
      <c r="H15" s="513">
        <v>0.01</v>
      </c>
      <c r="I15" s="513">
        <v>0.01</v>
      </c>
      <c r="J15" s="513">
        <v>0.01</v>
      </c>
      <c r="K15" s="513">
        <v>0.01</v>
      </c>
      <c r="L15" s="513">
        <v>0.01</v>
      </c>
      <c r="M15" s="513">
        <v>0.01</v>
      </c>
      <c r="N15" s="513">
        <v>0.01</v>
      </c>
      <c r="O15" s="513">
        <v>0.01</v>
      </c>
      <c r="P15" s="513">
        <v>0.01</v>
      </c>
      <c r="Q15" s="513">
        <v>0.01</v>
      </c>
      <c r="R15" s="513">
        <v>0.01</v>
      </c>
      <c r="S15" s="513">
        <v>0.01</v>
      </c>
      <c r="T15" s="513">
        <v>0.01</v>
      </c>
      <c r="U15" s="513">
        <v>0.01</v>
      </c>
      <c r="V15" s="513">
        <v>0.01</v>
      </c>
      <c r="W15" s="513">
        <v>0.01</v>
      </c>
      <c r="X15" s="513">
        <v>0.01</v>
      </c>
      <c r="Y15" s="513">
        <v>0.01</v>
      </c>
      <c r="Z15" s="513">
        <v>0.01</v>
      </c>
      <c r="AA15" s="513">
        <v>0.01</v>
      </c>
      <c r="AB15" s="513">
        <v>0.01</v>
      </c>
      <c r="AC15" s="513">
        <v>0.01</v>
      </c>
      <c r="AD15" s="513">
        <v>0.01</v>
      </c>
      <c r="AE15" s="513">
        <v>0.01</v>
      </c>
      <c r="AF15" s="513">
        <v>0.01</v>
      </c>
      <c r="AG15" s="513">
        <v>0.01</v>
      </c>
      <c r="AH15" s="513">
        <v>0.01</v>
      </c>
    </row>
    <row r="16" spans="1:34">
      <c r="A16" s="9" t="s">
        <v>53</v>
      </c>
      <c r="B16" s="34">
        <v>1</v>
      </c>
      <c r="C16" s="330">
        <f>EIA_RE_aeo2014!E78*1000</f>
        <v>0</v>
      </c>
      <c r="D16" s="330">
        <f>EIA_RE_aeo2014!F78*1000</f>
        <v>0</v>
      </c>
      <c r="E16" s="330">
        <f>EIA_RE_aeo2014!G78*1000</f>
        <v>3.8983921000000006E-3</v>
      </c>
      <c r="F16" s="330">
        <f>EIA_RE_aeo2014!H78*1000</f>
        <v>4.3605922999999996E-3</v>
      </c>
      <c r="G16" s="330">
        <f>EIA_RE_aeo2014!I78*1000</f>
        <v>4.6780897999999984E-3</v>
      </c>
      <c r="H16" s="3">
        <f>EIA_RE_aeo2014!J78*1000</f>
        <v>4.7040752999999999E-3</v>
      </c>
      <c r="I16" s="3">
        <f>EIA_RE_aeo2014!K78*1000</f>
        <v>5.9372954000000006E-3</v>
      </c>
      <c r="J16" s="3">
        <f>EIA_RE_aeo2014!L78*1000</f>
        <v>6.7380639999999993E-3</v>
      </c>
      <c r="K16" s="3">
        <f>EIA_RE_aeo2014!M78*1000</f>
        <v>6.7380969999999984E-3</v>
      </c>
      <c r="L16" s="3">
        <f>EIA_RE_aeo2014!N78*1000</f>
        <v>6.7371153999999985E-3</v>
      </c>
      <c r="M16" s="3">
        <f>EIA_RE_aeo2014!O78*1000</f>
        <v>6.7383626999999984E-3</v>
      </c>
      <c r="N16" s="388">
        <f>EIA_RE_aeo2014!P78*1000</f>
        <v>6.7387489999999996E-3</v>
      </c>
      <c r="O16" s="3">
        <f>EIA_RE_aeo2014!Q78*1000</f>
        <v>6.7393857999999999E-3</v>
      </c>
      <c r="P16" s="3">
        <f>EIA_RE_aeo2014!R78*1000</f>
        <v>6.7421112999999982E-3</v>
      </c>
      <c r="Q16" s="3">
        <f>EIA_RE_aeo2014!S78*1000</f>
        <v>6.7413718999999993E-3</v>
      </c>
      <c r="R16" s="3">
        <f>EIA_RE_aeo2014!T78*1000</f>
        <v>6.7409741999999995E-3</v>
      </c>
      <c r="S16" s="3">
        <f>EIA_RE_aeo2014!U78*1000</f>
        <v>6.7406161000000001E-3</v>
      </c>
      <c r="T16" s="3">
        <f>EIA_RE_aeo2014!V78*1000</f>
        <v>6.7415045999999999E-3</v>
      </c>
      <c r="U16" s="3">
        <f>EIA_RE_aeo2014!W78*1000</f>
        <v>6.7431210999999991E-3</v>
      </c>
      <c r="V16" s="3">
        <f>EIA_RE_aeo2014!X78*1000</f>
        <v>6.7428821999999996E-3</v>
      </c>
      <c r="W16" s="3">
        <f>EIA_RE_aeo2014!Y78*1000</f>
        <v>6.7500607000000002E-3</v>
      </c>
      <c r="X16" s="184">
        <f>EIA_RE_aeo2014!Z78*1000</f>
        <v>6.7593867999999994E-3</v>
      </c>
      <c r="Y16" s="174">
        <f>EIA_RE_aeo2014!AA78*1000</f>
        <v>6.7692880999999996E-3</v>
      </c>
      <c r="Z16" s="174">
        <f>EIA_RE_aeo2014!AB78*1000</f>
        <v>6.7802677999999989E-3</v>
      </c>
      <c r="AA16" s="174">
        <f>EIA_RE_aeo2014!AC78*1000</f>
        <v>6.7932296000000007E-3</v>
      </c>
      <c r="AB16" s="174">
        <f>EIA_RE_aeo2014!AD78*1000</f>
        <v>6.8157132999999998E-3</v>
      </c>
      <c r="AC16" s="174">
        <f>EIA_RE_aeo2014!AE78*1000</f>
        <v>6.8263563999999997E-3</v>
      </c>
      <c r="AD16" s="174">
        <f>EIA_RE_aeo2014!AF78*1000</f>
        <v>6.8268462999999998E-3</v>
      </c>
      <c r="AE16" s="174">
        <f>EIA_RE_aeo2014!AG78*1000</f>
        <v>6.8581466999999997E-3</v>
      </c>
      <c r="AF16" s="174">
        <f>EIA_RE_aeo2014!AH78*1000</f>
        <v>6.8813840999999995E-3</v>
      </c>
      <c r="AG16" s="174">
        <f>EIA_RE_aeo2014!AI78*1000</f>
        <v>6.9208895999999997E-3</v>
      </c>
      <c r="AH16" s="174">
        <f>EIA_RE_aeo2014!AJ78*1000</f>
        <v>6.9860670999999999E-3</v>
      </c>
    </row>
    <row r="17" spans="1:34">
      <c r="A17" s="11" t="s">
        <v>327</v>
      </c>
      <c r="B17" s="36"/>
      <c r="C17" s="330">
        <f t="shared" ref="C17:AH17" si="0">SUM(C7:C16)</f>
        <v>20315</v>
      </c>
      <c r="D17" s="330">
        <f t="shared" si="0"/>
        <v>22141</v>
      </c>
      <c r="E17" s="330">
        <f t="shared" si="0"/>
        <v>21186.47757750715</v>
      </c>
      <c r="F17" s="330">
        <f t="shared" si="0"/>
        <v>20700.991826543974</v>
      </c>
      <c r="G17" s="330">
        <f t="shared" si="0"/>
        <v>20987.436438856417</v>
      </c>
      <c r="H17" s="3">
        <f t="shared" si="0"/>
        <v>21152.836679541189</v>
      </c>
      <c r="I17" s="3">
        <f t="shared" si="0"/>
        <v>21929.347078081035</v>
      </c>
      <c r="J17" s="3">
        <f t="shared" si="0"/>
        <v>22874.065796697283</v>
      </c>
      <c r="K17" s="3">
        <f t="shared" si="0"/>
        <v>23888.545581608607</v>
      </c>
      <c r="L17" s="3">
        <f t="shared" si="0"/>
        <v>24607.339140893873</v>
      </c>
      <c r="M17" s="3">
        <f t="shared" si="0"/>
        <v>24855.555962439463</v>
      </c>
      <c r="N17" s="388">
        <f t="shared" si="0"/>
        <v>25047.419421861199</v>
      </c>
      <c r="O17" s="3">
        <f t="shared" si="0"/>
        <v>25343.55403733574</v>
      </c>
      <c r="P17" s="3">
        <f t="shared" si="0"/>
        <v>25544.458455697906</v>
      </c>
      <c r="Q17" s="3">
        <f t="shared" si="0"/>
        <v>26128.186684263997</v>
      </c>
      <c r="R17" s="3">
        <f t="shared" si="0"/>
        <v>26352.706113406763</v>
      </c>
      <c r="S17" s="3">
        <f t="shared" si="0"/>
        <v>27049.104902460229</v>
      </c>
      <c r="T17" s="3">
        <f t="shared" si="0"/>
        <v>27256.811225715264</v>
      </c>
      <c r="U17" s="3">
        <f t="shared" si="0"/>
        <v>27398.018016902191</v>
      </c>
      <c r="V17" s="3">
        <f t="shared" si="0"/>
        <v>27537.97331023918</v>
      </c>
      <c r="W17" s="3">
        <f t="shared" si="0"/>
        <v>28334.959690740114</v>
      </c>
      <c r="X17" s="184">
        <f t="shared" si="0"/>
        <v>28465.149176785177</v>
      </c>
      <c r="Y17" s="174">
        <f t="shared" si="0"/>
        <v>28565.1809998442</v>
      </c>
      <c r="Z17" s="174">
        <f t="shared" si="0"/>
        <v>28646.506822887288</v>
      </c>
      <c r="AA17" s="174">
        <f t="shared" si="0"/>
        <v>28747.144921059622</v>
      </c>
      <c r="AB17" s="174">
        <f t="shared" si="0"/>
        <v>28862.887667729643</v>
      </c>
      <c r="AC17" s="174">
        <f t="shared" si="0"/>
        <v>28967.521384958283</v>
      </c>
      <c r="AD17" s="174">
        <f t="shared" si="0"/>
        <v>29109.058867159794</v>
      </c>
      <c r="AE17" s="174">
        <f t="shared" si="0"/>
        <v>29257.459823596251</v>
      </c>
      <c r="AF17" s="174">
        <f t="shared" si="0"/>
        <v>29432.075667194051</v>
      </c>
      <c r="AG17" s="174">
        <f t="shared" si="0"/>
        <v>29610.072720523069</v>
      </c>
      <c r="AH17" s="174">
        <f t="shared" si="0"/>
        <v>29770.090463951212</v>
      </c>
    </row>
    <row r="18" spans="1:34">
      <c r="A18" s="10" t="s">
        <v>126</v>
      </c>
      <c r="B18" s="37"/>
      <c r="C18" s="331">
        <f t="shared" ref="C18:AH18" si="1">SUMPRODUCT($B7:$B16,C7:C16)</f>
        <v>2297.0100000000002</v>
      </c>
      <c r="D18" s="331">
        <f t="shared" si="1"/>
        <v>2393.0100000000002</v>
      </c>
      <c r="E18" s="331">
        <f t="shared" si="1"/>
        <v>2742.4961648832054</v>
      </c>
      <c r="F18" s="331">
        <f t="shared" si="1"/>
        <v>2648.3302239766927</v>
      </c>
      <c r="G18" s="331">
        <f t="shared" si="1"/>
        <v>2933.4198148075066</v>
      </c>
      <c r="H18" s="14">
        <f t="shared" si="1"/>
        <v>3018.0802578637631</v>
      </c>
      <c r="I18" s="14">
        <f t="shared" si="1"/>
        <v>3128.8786286993595</v>
      </c>
      <c r="J18" s="14">
        <f t="shared" si="1"/>
        <v>3310.5194770974026</v>
      </c>
      <c r="K18" s="14">
        <f t="shared" si="1"/>
        <v>3590.2071643139734</v>
      </c>
      <c r="L18" s="14">
        <f t="shared" si="1"/>
        <v>3750.9122442066323</v>
      </c>
      <c r="M18" s="14">
        <f t="shared" si="1"/>
        <v>3901.6259455018803</v>
      </c>
      <c r="N18" s="190">
        <f t="shared" si="1"/>
        <v>4093.4892768075892</v>
      </c>
      <c r="O18" s="14">
        <f t="shared" si="1"/>
        <v>4389.6235584177903</v>
      </c>
      <c r="P18" s="14">
        <f t="shared" si="1"/>
        <v>4590.5291138184211</v>
      </c>
      <c r="Q18" s="14">
        <f t="shared" si="1"/>
        <v>5166.6025878343626</v>
      </c>
      <c r="R18" s="14">
        <f t="shared" si="1"/>
        <v>5391.1230632201032</v>
      </c>
      <c r="S18" s="14">
        <f t="shared" si="1"/>
        <v>6087.4816756507425</v>
      </c>
      <c r="T18" s="14">
        <f t="shared" si="1"/>
        <v>6292.318304701148</v>
      </c>
      <c r="U18" s="14">
        <f t="shared" si="1"/>
        <v>6431.7786756615396</v>
      </c>
      <c r="V18" s="14">
        <f t="shared" si="1"/>
        <v>6561.846047830214</v>
      </c>
      <c r="W18" s="14">
        <f t="shared" si="1"/>
        <v>7349.1733228560524</v>
      </c>
      <c r="X18" s="187">
        <f t="shared" si="1"/>
        <v>7468.5855214348285</v>
      </c>
      <c r="Y18" s="14">
        <f t="shared" si="1"/>
        <v>7568.617149739659</v>
      </c>
      <c r="Z18" s="14">
        <f t="shared" si="1"/>
        <v>7643.6914500707335</v>
      </c>
      <c r="AA18" s="14">
        <f t="shared" si="1"/>
        <v>7744.3296503694173</v>
      </c>
      <c r="AB18" s="14">
        <f t="shared" si="1"/>
        <v>7860.0721521382447</v>
      </c>
      <c r="AC18" s="14">
        <f t="shared" si="1"/>
        <v>7958.7725786835435</v>
      </c>
      <c r="AD18" s="14">
        <f t="shared" si="1"/>
        <v>8096.2006637839831</v>
      </c>
      <c r="AE18" s="14">
        <f t="shared" si="1"/>
        <v>8244.6010637798699</v>
      </c>
      <c r="AF18" s="14">
        <f t="shared" si="1"/>
        <v>8415.4885051372457</v>
      </c>
      <c r="AG18" s="14">
        <f t="shared" si="1"/>
        <v>8593.4859128232256</v>
      </c>
      <c r="AH18" s="14">
        <f t="shared" si="1"/>
        <v>8753.5035171412219</v>
      </c>
    </row>
    <row r="19" spans="1:34">
      <c r="A19" s="10" t="s">
        <v>112</v>
      </c>
      <c r="B19" s="37"/>
      <c r="C19" s="332">
        <f t="shared" ref="C19:AH19" si="2">C18/C4</f>
        <v>2.558886438072322E-2</v>
      </c>
      <c r="D19" s="332">
        <f t="shared" si="2"/>
        <v>2.3617405550511235E-2</v>
      </c>
      <c r="E19" s="332">
        <f t="shared" si="2"/>
        <v>2.9404294053237388E-2</v>
      </c>
      <c r="F19" s="332">
        <f t="shared" si="2"/>
        <v>2.7164867429246498E-2</v>
      </c>
      <c r="G19" s="332">
        <f t="shared" si="2"/>
        <v>3.1834589691725285E-2</v>
      </c>
      <c r="H19" s="23">
        <f t="shared" si="2"/>
        <v>3.3287514980618348E-2</v>
      </c>
      <c r="I19" s="23">
        <f t="shared" si="2"/>
        <v>3.3302533182325775E-2</v>
      </c>
      <c r="J19" s="23">
        <f t="shared" si="2"/>
        <v>3.3561879877025962E-2</v>
      </c>
      <c r="K19" s="23">
        <f t="shared" si="2"/>
        <v>3.6712985325466886E-2</v>
      </c>
      <c r="L19" s="23">
        <f t="shared" si="2"/>
        <v>3.8171821239495841E-2</v>
      </c>
      <c r="M19" s="23">
        <f t="shared" si="2"/>
        <v>3.9184273779284809E-2</v>
      </c>
      <c r="N19" s="183">
        <f t="shared" si="2"/>
        <v>4.0404312322487729E-2</v>
      </c>
      <c r="O19" s="23">
        <f t="shared" si="2"/>
        <v>4.2774169698471719E-2</v>
      </c>
      <c r="P19" s="23">
        <f t="shared" si="2"/>
        <v>4.4072164174973033E-2</v>
      </c>
      <c r="Q19" s="23">
        <f t="shared" si="2"/>
        <v>4.8322788593829602E-2</v>
      </c>
      <c r="R19" s="23">
        <f t="shared" si="2"/>
        <v>4.9565693774670273E-2</v>
      </c>
      <c r="S19" s="23">
        <f t="shared" si="2"/>
        <v>5.5132076295090364E-2</v>
      </c>
      <c r="T19" s="23">
        <f t="shared" si="2"/>
        <v>5.6390580077174901E-2</v>
      </c>
      <c r="U19" s="23">
        <f t="shared" si="2"/>
        <v>5.7075511611650621E-2</v>
      </c>
      <c r="V19" s="23">
        <f t="shared" si="2"/>
        <v>5.7586101311607164E-2</v>
      </c>
      <c r="W19" s="23">
        <f t="shared" si="2"/>
        <v>6.3802125400809429E-2</v>
      </c>
      <c r="X19" s="185">
        <f t="shared" si="2"/>
        <v>6.4198170632078055E-2</v>
      </c>
      <c r="Y19" s="172">
        <f t="shared" si="2"/>
        <v>6.4768709230632465E-2</v>
      </c>
      <c r="Z19" s="172">
        <f t="shared" si="2"/>
        <v>6.4969934526540749E-2</v>
      </c>
      <c r="AA19" s="172">
        <f t="shared" si="2"/>
        <v>6.5492884493606976E-2</v>
      </c>
      <c r="AB19" s="172">
        <f t="shared" si="2"/>
        <v>6.6015789471618375E-2</v>
      </c>
      <c r="AC19" s="172">
        <f t="shared" si="2"/>
        <v>6.6166191428088883E-2</v>
      </c>
      <c r="AD19" s="172">
        <f t="shared" si="2"/>
        <v>6.6678147225586112E-2</v>
      </c>
      <c r="AE19" s="172">
        <f t="shared" si="2"/>
        <v>6.6940680804085134E-2</v>
      </c>
      <c r="AF19" s="172">
        <f t="shared" si="2"/>
        <v>6.7267938627444734E-2</v>
      </c>
      <c r="AG19" s="172">
        <f t="shared" si="2"/>
        <v>6.7843395600003409E-2</v>
      </c>
      <c r="AH19" s="172">
        <f t="shared" si="2"/>
        <v>6.8438282868313952E-2</v>
      </c>
    </row>
    <row r="20" spans="1:34">
      <c r="A20" s="10" t="s">
        <v>142</v>
      </c>
      <c r="B20" s="37"/>
      <c r="C20" s="331">
        <f>EIA_electricity_aeo2014!E49*1000</f>
        <v>23067</v>
      </c>
      <c r="D20" s="331">
        <f>EIA_electricity_aeo2014!F49*1000</f>
        <v>23924</v>
      </c>
      <c r="E20" s="331">
        <f>EIA_electricity_aeo2014!G49*1000</f>
        <v>23097.326216360238</v>
      </c>
      <c r="F20" s="331">
        <f>EIA_electricity_aeo2014!H49*1000</f>
        <v>19898.209246656959</v>
      </c>
      <c r="G20" s="331">
        <f>EIA_electricity_aeo2014!I49*1000</f>
        <v>21276.908023750551</v>
      </c>
      <c r="H20" s="14">
        <f>EIA_electricity_aeo2014!J49*1000</f>
        <v>21917.534920940427</v>
      </c>
      <c r="I20" s="14">
        <f>EIA_electricity_aeo2014!K49*1000</f>
        <v>20770.785933068542</v>
      </c>
      <c r="J20" s="14">
        <f>EIA_electricity_aeo2014!L49*1000</f>
        <v>19956.715288852429</v>
      </c>
      <c r="K20" s="14">
        <f>EIA_electricity_aeo2014!M49*1000</f>
        <v>21009.0272166344</v>
      </c>
      <c r="L20" s="14">
        <f>EIA_electricity_aeo2014!N49*1000</f>
        <v>21387.900474036825</v>
      </c>
      <c r="M20" s="14">
        <f>EIA_electricity_aeo2014!O49*1000</f>
        <v>21583.327754041304</v>
      </c>
      <c r="N20" s="190">
        <f>EIA_electricity_aeo2014!P49*1000</f>
        <v>21528.135828782615</v>
      </c>
      <c r="O20" s="14">
        <f>EIA_electricity_aeo2014!Q49*1000</f>
        <v>21708.491778639469</v>
      </c>
      <c r="P20" s="14">
        <f>EIA_electricity_aeo2014!R49*1000</f>
        <v>21876.832404299479</v>
      </c>
      <c r="Q20" s="14">
        <f>EIA_electricity_aeo2014!S49*1000</f>
        <v>21886.222011683229</v>
      </c>
      <c r="R20" s="14">
        <f>EIA_electricity_aeo2014!T49*1000</f>
        <v>22169.41733886813</v>
      </c>
      <c r="S20" s="14">
        <f>EIA_electricity_aeo2014!U49*1000</f>
        <v>22387.279142989511</v>
      </c>
      <c r="T20" s="14">
        <f>EIA_electricity_aeo2014!V49*1000</f>
        <v>22371.416801101957</v>
      </c>
      <c r="U20" s="14">
        <f>EIA_electricity_aeo2014!W49*1000</f>
        <v>22376.1127961354</v>
      </c>
      <c r="V20" s="14">
        <f>EIA_electricity_aeo2014!X49*1000</f>
        <v>22372.938085692113</v>
      </c>
      <c r="W20" s="14">
        <f>EIA_electricity_aeo2014!Y49*1000</f>
        <v>22290.361905059548</v>
      </c>
      <c r="X20" s="187">
        <f>EIA_electricity_aeo2014!Z49*1000</f>
        <v>22308.637592478291</v>
      </c>
      <c r="Y20" s="14">
        <f>EIA_electricity_aeo2014!AA49*1000</f>
        <v>22298.732622450887</v>
      </c>
      <c r="Z20" s="14">
        <f>EIA_electricity_aeo2014!AB49*1000</f>
        <v>22291.294940338394</v>
      </c>
      <c r="AA20" s="14">
        <f>EIA_electricity_aeo2014!AC49*1000</f>
        <v>22268.937677651615</v>
      </c>
      <c r="AB20" s="14">
        <f>EIA_electricity_aeo2014!AD49*1000</f>
        <v>22250.605196441458</v>
      </c>
      <c r="AC20" s="14">
        <f>EIA_electricity_aeo2014!AE49*1000</f>
        <v>22230.671903709019</v>
      </c>
      <c r="AD20" s="14">
        <f>EIA_electricity_aeo2014!AF49*1000</f>
        <v>22210.891844844326</v>
      </c>
      <c r="AE20" s="14">
        <f>EIA_electricity_aeo2014!AG49*1000</f>
        <v>22192.357421473505</v>
      </c>
      <c r="AF20" s="14">
        <f>EIA_electricity_aeo2014!AH49*1000</f>
        <v>22173.65308545301</v>
      </c>
      <c r="AG20" s="14">
        <f>EIA_electricity_aeo2014!AI49*1000</f>
        <v>22173.477079384174</v>
      </c>
      <c r="AH20" s="14">
        <f>EIA_electricity_aeo2014!AJ49*1000</f>
        <v>22173.187681034404</v>
      </c>
    </row>
    <row r="21" spans="1:34">
      <c r="A21" s="10" t="s">
        <v>222</v>
      </c>
      <c r="B21" s="37"/>
      <c r="C21" s="331">
        <f>EIA_electricity_aeo2014!E51*1000</f>
        <v>44003</v>
      </c>
      <c r="D21" s="331">
        <f>EIA_electricity_aeo2014!F51*1000</f>
        <v>51344</v>
      </c>
      <c r="E21" s="331">
        <f>EIA_electricity_aeo2014!G51*1000</f>
        <v>46273.102837413309</v>
      </c>
      <c r="F21" s="331">
        <f>EIA_electricity_aeo2014!H51*1000</f>
        <v>55015.615608582979</v>
      </c>
      <c r="G21" s="331">
        <f>EIA_electricity_aeo2014!I51*1000</f>
        <v>49113.365570929214</v>
      </c>
      <c r="H21" s="14">
        <f>EIA_electricity_aeo2014!J51*1000</f>
        <v>46810.998919602447</v>
      </c>
      <c r="I21" s="14">
        <f>EIA_electricity_aeo2014!K51*1000</f>
        <v>50504.18688685121</v>
      </c>
      <c r="J21" s="14">
        <f>EIA_electricity_aeo2014!L51*1000</f>
        <v>55111.526697867877</v>
      </c>
      <c r="K21" s="14">
        <f>EIA_electricity_aeo2014!M51*1000</f>
        <v>52640.950897031253</v>
      </c>
      <c r="L21" s="14">
        <f>EIA_electricity_aeo2014!N51*1000</f>
        <v>52004.22957468297</v>
      </c>
      <c r="M21" s="14">
        <f>EIA_electricity_aeo2014!O51*1000</f>
        <v>52861.481469690545</v>
      </c>
      <c r="N21" s="190">
        <f>EIA_electricity_aeo2014!P51*1000</f>
        <v>54467.001031294225</v>
      </c>
      <c r="O21" s="14">
        <f>EIA_electricity_aeo2014!Q51*1000</f>
        <v>55293.58815585485</v>
      </c>
      <c r="P21" s="14">
        <f>EIA_electricity_aeo2014!R51*1000</f>
        <v>56455.269854088416</v>
      </c>
      <c r="Q21" s="14">
        <f>EIA_electricity_aeo2014!S51*1000</f>
        <v>58618.043054718546</v>
      </c>
      <c r="R21" s="14">
        <f>EIA_electricity_aeo2014!T51*1000</f>
        <v>59949.945136941977</v>
      </c>
      <c r="S21" s="14">
        <f>EIA_electricity_aeo2014!U51*1000</f>
        <v>60673.224411192088</v>
      </c>
      <c r="T21" s="14">
        <f>EIA_electricity_aeo2014!V51*1000</f>
        <v>61655.881399291175</v>
      </c>
      <c r="U21" s="14">
        <f>EIA_electricity_aeo2014!W51*1000</f>
        <v>62615.404820621443</v>
      </c>
      <c r="V21" s="14">
        <f>EIA_electricity_aeo2014!X51*1000</f>
        <v>63736.230558322779</v>
      </c>
      <c r="W21" s="14">
        <f>EIA_electricity_aeo2014!Y51*1000</f>
        <v>64260.044663962035</v>
      </c>
      <c r="X21" s="187">
        <f>EIA_electricity_aeo2014!Z51*1000</f>
        <v>65259.811405952889</v>
      </c>
      <c r="Y21" s="14">
        <f>EIA_electricity_aeo2014!AA51*1000</f>
        <v>65689.093810822407</v>
      </c>
      <c r="Z21" s="14">
        <f>EIA_electricity_aeo2014!AB51*1000</f>
        <v>66408.727837584054</v>
      </c>
      <c r="AA21" s="14">
        <f>EIA_electricity_aeo2014!AC51*1000</f>
        <v>66928.18791039061</v>
      </c>
      <c r="AB21" s="14">
        <f>EIA_electricity_aeo2014!AD51*1000</f>
        <v>67647.706815599508</v>
      </c>
      <c r="AC21" s="14">
        <f>EIA_electricity_aeo2014!AE51*1000</f>
        <v>68784.488101494921</v>
      </c>
      <c r="AD21" s="14">
        <f>EIA_electricity_aeo2014!AF51*1000</f>
        <v>69800.63660594009</v>
      </c>
      <c r="AE21" s="14">
        <f>EIA_electricity_aeo2014!AG51*1000</f>
        <v>71411.584246511484</v>
      </c>
      <c r="AF21" s="14">
        <f>EIA_electricity_aeo2014!AH51*1000</f>
        <v>73197.33045166402</v>
      </c>
      <c r="AG21" s="14">
        <f>EIA_electricity_aeo2014!AI51*1000</f>
        <v>74581.895296465984</v>
      </c>
      <c r="AH21" s="14">
        <f>EIA_electricity_aeo2014!AJ51*1000</f>
        <v>75658.691237979539</v>
      </c>
    </row>
    <row r="22" spans="1:34">
      <c r="A22" s="10" t="s">
        <v>351</v>
      </c>
      <c r="B22" s="37"/>
      <c r="C22" s="330">
        <f>SUM(C17,C20:C21)</f>
        <v>87385</v>
      </c>
      <c r="D22" s="330">
        <f t="shared" ref="D22:AH22" si="3">SUM(D17,D20:D21)</f>
        <v>97409</v>
      </c>
      <c r="E22" s="330">
        <f t="shared" si="3"/>
        <v>90556.906631280697</v>
      </c>
      <c r="F22" s="330">
        <f t="shared" si="3"/>
        <v>95614.816681783908</v>
      </c>
      <c r="G22" s="330">
        <f t="shared" si="3"/>
        <v>91377.71003353619</v>
      </c>
      <c r="H22" s="79">
        <f t="shared" si="3"/>
        <v>89881.370520084063</v>
      </c>
      <c r="I22" s="79">
        <f t="shared" si="3"/>
        <v>93204.319898000787</v>
      </c>
      <c r="J22" s="79">
        <f t="shared" si="3"/>
        <v>97942.307783417578</v>
      </c>
      <c r="K22" s="79">
        <f t="shared" si="3"/>
        <v>97538.523695274256</v>
      </c>
      <c r="L22" s="79">
        <f t="shared" si="3"/>
        <v>97999.469189613679</v>
      </c>
      <c r="M22" s="79">
        <f t="shared" si="3"/>
        <v>99300.365186171315</v>
      </c>
      <c r="N22" s="388">
        <f t="shared" si="3"/>
        <v>101042.55628193804</v>
      </c>
      <c r="O22" s="79">
        <f t="shared" si="3"/>
        <v>102345.63397183006</v>
      </c>
      <c r="P22" s="79">
        <f t="shared" si="3"/>
        <v>103876.5607140858</v>
      </c>
      <c r="Q22" s="79">
        <f t="shared" si="3"/>
        <v>106632.45175066577</v>
      </c>
      <c r="R22" s="79">
        <f t="shared" si="3"/>
        <v>108472.06858921687</v>
      </c>
      <c r="S22" s="79">
        <f t="shared" si="3"/>
        <v>110109.60845664183</v>
      </c>
      <c r="T22" s="79">
        <f t="shared" si="3"/>
        <v>111284.10942610839</v>
      </c>
      <c r="U22" s="79">
        <f t="shared" si="3"/>
        <v>112389.53563365903</v>
      </c>
      <c r="V22" s="79">
        <f t="shared" si="3"/>
        <v>113647.14195425407</v>
      </c>
      <c r="W22" s="79">
        <f t="shared" si="3"/>
        <v>114885.36625976169</v>
      </c>
      <c r="X22" s="184">
        <f t="shared" si="3"/>
        <v>116033.59817521635</v>
      </c>
      <c r="Y22" s="174">
        <f t="shared" si="3"/>
        <v>116553.0074331175</v>
      </c>
      <c r="Z22" s="174">
        <f t="shared" si="3"/>
        <v>117346.52960080974</v>
      </c>
      <c r="AA22" s="174">
        <f t="shared" si="3"/>
        <v>117944.27050910184</v>
      </c>
      <c r="AB22" s="174">
        <f t="shared" si="3"/>
        <v>118761.19967977061</v>
      </c>
      <c r="AC22" s="174">
        <f t="shared" si="3"/>
        <v>119982.68139016222</v>
      </c>
      <c r="AD22" s="174">
        <f t="shared" si="3"/>
        <v>121120.58731794421</v>
      </c>
      <c r="AE22" s="174">
        <f t="shared" si="3"/>
        <v>122861.40149158124</v>
      </c>
      <c r="AF22" s="174">
        <f t="shared" si="3"/>
        <v>124803.05920431108</v>
      </c>
      <c r="AG22" s="174">
        <f t="shared" si="3"/>
        <v>126365.44509637322</v>
      </c>
      <c r="AH22" s="174">
        <f t="shared" si="3"/>
        <v>127601.96938296515</v>
      </c>
    </row>
    <row r="23" spans="1:34">
      <c r="A23" s="10" t="s">
        <v>328</v>
      </c>
      <c r="B23" s="37"/>
      <c r="C23" s="330">
        <f>EIA_electricity_aeo2014!E50*1000+EIA_electricity_aeo2014!E55*1000</f>
        <v>2314</v>
      </c>
      <c r="D23" s="330">
        <f>EIA_electricity_aeo2014!F50*1000+EIA_electricity_aeo2014!F55*1000</f>
        <v>3840</v>
      </c>
      <c r="E23" s="330">
        <f>EIA_electricity_aeo2014!G50*1000+EIA_electricity_aeo2014!G55*1000</f>
        <v>2711.9533932460067</v>
      </c>
      <c r="F23" s="330">
        <f>EIA_electricity_aeo2014!H50*1000+EIA_electricity_aeo2014!H55*1000</f>
        <v>1876.4882301495713</v>
      </c>
      <c r="G23" s="330">
        <f>EIA_electricity_aeo2014!I50*1000+EIA_electricity_aeo2014!I55*1000</f>
        <v>768.26682970247236</v>
      </c>
      <c r="H23" s="330">
        <f>EIA_electricity_aeo2014!J50*1000+EIA_electricity_aeo2014!J55*1000</f>
        <v>785.96364035238423</v>
      </c>
      <c r="I23" s="330">
        <f>EIA_electricity_aeo2014!K50*1000+EIA_electricity_aeo2014!K55*1000</f>
        <v>749.15211955339669</v>
      </c>
      <c r="J23" s="330">
        <f>EIA_electricity_aeo2014!L50*1000+EIA_electricity_aeo2014!L55*1000</f>
        <v>697.26657271120564</v>
      </c>
      <c r="K23" s="330">
        <f>EIA_electricity_aeo2014!M50*1000+EIA_electricity_aeo2014!M55*1000</f>
        <v>252.98376132925796</v>
      </c>
      <c r="L23" s="330">
        <f>EIA_electricity_aeo2014!N50*1000+EIA_electricity_aeo2014!N55*1000</f>
        <v>264.73655050902175</v>
      </c>
      <c r="M23" s="330">
        <f>EIA_electricity_aeo2014!O50*1000+EIA_electricity_aeo2014!O55*1000</f>
        <v>271.15482619284677</v>
      </c>
      <c r="N23" s="330">
        <f>EIA_electricity_aeo2014!P50*1000+EIA_electricity_aeo2014!P55*1000</f>
        <v>270.92148323049713</v>
      </c>
      <c r="O23" s="330">
        <f>EIA_electricity_aeo2014!Q50*1000+EIA_electricity_aeo2014!Q55*1000</f>
        <v>277.89844534126797</v>
      </c>
      <c r="P23" s="330">
        <f>EIA_electricity_aeo2014!R50*1000+EIA_electricity_aeo2014!R55*1000</f>
        <v>283.11515847946669</v>
      </c>
      <c r="Q23" s="330">
        <f>EIA_electricity_aeo2014!S50*1000+EIA_electricity_aeo2014!S55*1000</f>
        <v>286.40030686373416</v>
      </c>
      <c r="R23" s="330">
        <f>EIA_electricity_aeo2014!T50*1000+EIA_electricity_aeo2014!T55*1000</f>
        <v>295.45835062164508</v>
      </c>
      <c r="S23" s="330">
        <f>EIA_electricity_aeo2014!U50*1000+EIA_electricity_aeo2014!U55*1000</f>
        <v>307.02418912949975</v>
      </c>
      <c r="T23" s="330">
        <f>EIA_electricity_aeo2014!V50*1000+EIA_electricity_aeo2014!V55*1000</f>
        <v>300.75480588957686</v>
      </c>
      <c r="U23" s="330">
        <f>EIA_electricity_aeo2014!W50*1000+EIA_electricity_aeo2014!W55*1000</f>
        <v>299.70037490830447</v>
      </c>
      <c r="V23" s="330">
        <f>EIA_electricity_aeo2014!X50*1000+EIA_electricity_aeo2014!X55*1000</f>
        <v>301.59175413445848</v>
      </c>
      <c r="W23" s="330">
        <f>EIA_electricity_aeo2014!Y50*1000+EIA_electricity_aeo2014!Y55*1000</f>
        <v>301.90089357416383</v>
      </c>
      <c r="X23" s="330">
        <f>EIA_electricity_aeo2014!Z50*1000+EIA_electricity_aeo2014!Z55*1000</f>
        <v>303.12462158810331</v>
      </c>
      <c r="Y23" s="330">
        <f>EIA_electricity_aeo2014!AA50*1000+EIA_electricity_aeo2014!AA55*1000</f>
        <v>303.36766309684737</v>
      </c>
      <c r="Z23" s="330">
        <f>EIA_electricity_aeo2014!AB50*1000+EIA_electricity_aeo2014!AB55*1000</f>
        <v>303.4418321855195</v>
      </c>
      <c r="AA23" s="330">
        <f>EIA_electricity_aeo2014!AC50*1000+EIA_electricity_aeo2014!AC55*1000</f>
        <v>302.91554957179284</v>
      </c>
      <c r="AB23" s="330">
        <f>EIA_electricity_aeo2014!AD50*1000+EIA_electricity_aeo2014!AD55*1000</f>
        <v>302.61853381467654</v>
      </c>
      <c r="AC23" s="330">
        <f>EIA_electricity_aeo2014!AE50*1000+EIA_electricity_aeo2014!AE55*1000</f>
        <v>302.19910187565546</v>
      </c>
      <c r="AD23" s="330">
        <f>EIA_electricity_aeo2014!AF50*1000+EIA_electricity_aeo2014!AF55*1000</f>
        <v>301.81273520879455</v>
      </c>
      <c r="AE23" s="330">
        <f>EIA_electricity_aeo2014!AG50*1000+EIA_electricity_aeo2014!AG55*1000</f>
        <v>301.68927699925598</v>
      </c>
      <c r="AF23" s="330">
        <f>EIA_electricity_aeo2014!AH50*1000+EIA_electricity_aeo2014!AH55*1000</f>
        <v>301.24542032000033</v>
      </c>
      <c r="AG23" s="330">
        <f>EIA_electricity_aeo2014!AI50*1000+EIA_electricity_aeo2014!AI55*1000</f>
        <v>301.36144892702185</v>
      </c>
      <c r="AH23" s="330">
        <f>EIA_electricity_aeo2014!AJ50*1000+EIA_electricity_aeo2014!AJ55*1000</f>
        <v>301.74172873298511</v>
      </c>
    </row>
    <row r="24" spans="1:34">
      <c r="A24" s="10" t="s">
        <v>345</v>
      </c>
      <c r="B24" s="37"/>
      <c r="C24" s="330">
        <f>SUM(C22:C23)</f>
        <v>89699</v>
      </c>
      <c r="D24" s="330">
        <f t="shared" ref="D24:AH24" si="4">SUM(D22:D23)</f>
        <v>101249</v>
      </c>
      <c r="E24" s="330">
        <f t="shared" si="4"/>
        <v>93268.860024526701</v>
      </c>
      <c r="F24" s="330">
        <f t="shared" si="4"/>
        <v>97491.304911933476</v>
      </c>
      <c r="G24" s="330">
        <f t="shared" si="4"/>
        <v>92145.976863238669</v>
      </c>
      <c r="H24" s="83">
        <f t="shared" si="4"/>
        <v>90667.334160436454</v>
      </c>
      <c r="I24" s="83">
        <f t="shared" si="4"/>
        <v>93953.472017554188</v>
      </c>
      <c r="J24" s="83">
        <f t="shared" si="4"/>
        <v>98639.574356128782</v>
      </c>
      <c r="K24" s="83">
        <f t="shared" si="4"/>
        <v>97791.507456603518</v>
      </c>
      <c r="L24" s="83">
        <f t="shared" si="4"/>
        <v>98264.205740122707</v>
      </c>
      <c r="M24" s="83">
        <f t="shared" si="4"/>
        <v>99571.520012364155</v>
      </c>
      <c r="N24" s="388">
        <f t="shared" si="4"/>
        <v>101313.47776516854</v>
      </c>
      <c r="O24" s="83">
        <f t="shared" si="4"/>
        <v>102623.53241717133</v>
      </c>
      <c r="P24" s="83">
        <f t="shared" si="4"/>
        <v>104159.67587256528</v>
      </c>
      <c r="Q24" s="83">
        <f t="shared" si="4"/>
        <v>106918.85205752951</v>
      </c>
      <c r="R24" s="83">
        <f t="shared" si="4"/>
        <v>108767.52693983851</v>
      </c>
      <c r="S24" s="83">
        <f t="shared" si="4"/>
        <v>110416.63264577133</v>
      </c>
      <c r="T24" s="83">
        <f t="shared" si="4"/>
        <v>111584.86423199797</v>
      </c>
      <c r="U24" s="83">
        <f t="shared" si="4"/>
        <v>112689.23600856734</v>
      </c>
      <c r="V24" s="83">
        <f t="shared" si="4"/>
        <v>113948.73370838852</v>
      </c>
      <c r="W24" s="83">
        <f t="shared" si="4"/>
        <v>115187.26715333585</v>
      </c>
      <c r="X24" s="184">
        <f t="shared" si="4"/>
        <v>116336.72279680445</v>
      </c>
      <c r="Y24" s="174">
        <f t="shared" si="4"/>
        <v>116856.37509621434</v>
      </c>
      <c r="Z24" s="174">
        <f t="shared" si="4"/>
        <v>117649.97143299525</v>
      </c>
      <c r="AA24" s="174">
        <f t="shared" si="4"/>
        <v>118247.18605867363</v>
      </c>
      <c r="AB24" s="174">
        <f t="shared" si="4"/>
        <v>119063.81821358528</v>
      </c>
      <c r="AC24" s="174">
        <f t="shared" si="4"/>
        <v>120284.88049203788</v>
      </c>
      <c r="AD24" s="174">
        <f t="shared" si="4"/>
        <v>121422.400053153</v>
      </c>
      <c r="AE24" s="174">
        <f t="shared" si="4"/>
        <v>123163.0907685805</v>
      </c>
      <c r="AF24" s="174">
        <f t="shared" si="4"/>
        <v>125104.30462463108</v>
      </c>
      <c r="AG24" s="174">
        <f t="shared" si="4"/>
        <v>126666.80654530025</v>
      </c>
      <c r="AH24" s="174">
        <f t="shared" si="4"/>
        <v>127903.71111169814</v>
      </c>
    </row>
    <row r="25" spans="1:34">
      <c r="A25" s="10" t="s">
        <v>346</v>
      </c>
      <c r="B25" s="37"/>
      <c r="C25" s="332">
        <f t="shared" ref="C25:AH25" si="5">C24/C4-1</f>
        <v>-7.4638504556279184E-4</v>
      </c>
      <c r="D25" s="332">
        <f t="shared" si="5"/>
        <v>-7.4019975524064474E-4</v>
      </c>
      <c r="E25" s="332">
        <f t="shared" si="5"/>
        <v>3.2165179766341367E-6</v>
      </c>
      <c r="F25" s="332">
        <f t="shared" si="5"/>
        <v>3.0772069714579686E-6</v>
      </c>
      <c r="G25" s="332">
        <f t="shared" si="5"/>
        <v>3.25571432346905E-6</v>
      </c>
      <c r="H25" s="82">
        <f t="shared" si="5"/>
        <v>3.3088101181188989E-6</v>
      </c>
      <c r="I25" s="82">
        <f t="shared" si="5"/>
        <v>3.1930800585833197E-6</v>
      </c>
      <c r="J25" s="82">
        <f t="shared" si="5"/>
        <v>3.0413849041455165E-6</v>
      </c>
      <c r="K25" s="82">
        <f t="shared" si="5"/>
        <v>3.067760464325886E-6</v>
      </c>
      <c r="L25" s="82">
        <f t="shared" si="5"/>
        <v>3.0530030101783012E-6</v>
      </c>
      <c r="M25" s="82">
        <f t="shared" si="5"/>
        <v>3.0129187926775103E-6</v>
      </c>
      <c r="N25" s="199">
        <f t="shared" si="5"/>
        <v>2.9611152922992545E-6</v>
      </c>
      <c r="O25" s="82">
        <f t="shared" si="5"/>
        <v>2.9233146621177042E-6</v>
      </c>
      <c r="P25" s="82">
        <f t="shared" si="5"/>
        <v>2.8802015901163713E-6</v>
      </c>
      <c r="Q25" s="82">
        <f t="shared" si="5"/>
        <v>2.8058741372571916E-6</v>
      </c>
      <c r="R25" s="82">
        <f t="shared" si="5"/>
        <v>2.7581837693801958E-6</v>
      </c>
      <c r="S25" s="82">
        <f t="shared" si="5"/>
        <v>2.7169893510592402E-6</v>
      </c>
      <c r="T25" s="82">
        <f t="shared" si="5"/>
        <v>2.6885439046164805E-6</v>
      </c>
      <c r="U25" s="82">
        <f t="shared" si="5"/>
        <v>2.6621956921157874E-6</v>
      </c>
      <c r="V25" s="82">
        <f t="shared" si="5"/>
        <v>2.6327698436912073E-6</v>
      </c>
      <c r="W25" s="82">
        <f t="shared" si="5"/>
        <v>2.6044613152809148E-6</v>
      </c>
      <c r="X25" s="185">
        <f t="shared" si="5"/>
        <v>2.5787280781841559E-6</v>
      </c>
      <c r="Y25" s="172">
        <f t="shared" si="5"/>
        <v>2.5672606216442517E-6</v>
      </c>
      <c r="Z25" s="172">
        <f t="shared" si="5"/>
        <v>2.5499433728981558E-6</v>
      </c>
      <c r="AA25" s="172">
        <f t="shared" si="5"/>
        <v>2.5370646956623943E-6</v>
      </c>
      <c r="AB25" s="172">
        <f t="shared" si="5"/>
        <v>2.5196634916291316E-6</v>
      </c>
      <c r="AC25" s="172">
        <f t="shared" si="5"/>
        <v>2.4940852665356061E-6</v>
      </c>
      <c r="AD25" s="172">
        <f t="shared" si="5"/>
        <v>2.4707199091089649E-6</v>
      </c>
      <c r="AE25" s="172">
        <f t="shared" si="5"/>
        <v>2.4358006027735968E-6</v>
      </c>
      <c r="AF25" s="172">
        <f t="shared" si="5"/>
        <v>2.3980047714200481E-6</v>
      </c>
      <c r="AG25" s="172">
        <f t="shared" si="5"/>
        <v>2.3684240466614881E-6</v>
      </c>
      <c r="AH25" s="172">
        <f t="shared" si="5"/>
        <v>7.81838754404518E-7</v>
      </c>
    </row>
    <row r="26" spans="1:34">
      <c r="A26" s="10"/>
      <c r="B26" s="37"/>
      <c r="C26" s="332"/>
      <c r="D26" s="332"/>
      <c r="E26" s="332"/>
      <c r="F26" s="332"/>
      <c r="G26" s="332"/>
      <c r="H26" s="82"/>
      <c r="I26" s="82"/>
      <c r="J26" s="82"/>
      <c r="K26" s="82"/>
      <c r="L26" s="82"/>
      <c r="M26" s="82"/>
      <c r="N26" s="183" t="s">
        <v>0</v>
      </c>
      <c r="O26" s="91" t="s">
        <v>0</v>
      </c>
      <c r="P26" s="82"/>
      <c r="Q26" s="82"/>
      <c r="R26" s="82"/>
      <c r="S26" s="82"/>
      <c r="T26" s="82"/>
      <c r="U26" s="82"/>
      <c r="V26" s="82"/>
      <c r="W26" s="82"/>
      <c r="X26" s="185" t="s">
        <v>0</v>
      </c>
    </row>
    <row r="27" spans="1:34">
      <c r="A27" s="10"/>
      <c r="B27" s="37"/>
      <c r="C27" s="332"/>
      <c r="D27" s="332"/>
      <c r="E27" s="332"/>
      <c r="F27" s="332"/>
      <c r="G27" s="332"/>
      <c r="H27" s="164"/>
      <c r="I27" s="164"/>
      <c r="J27" s="164"/>
      <c r="K27" s="164"/>
      <c r="L27" s="164"/>
      <c r="M27" s="164"/>
      <c r="N27" s="183"/>
      <c r="O27" s="164"/>
      <c r="P27" s="164"/>
      <c r="Q27" s="164"/>
      <c r="R27" s="164"/>
      <c r="S27" s="164"/>
      <c r="T27" s="164"/>
      <c r="U27" s="164"/>
      <c r="V27" s="164"/>
      <c r="W27" s="164"/>
      <c r="X27" s="185"/>
    </row>
    <row r="28" spans="1:34">
      <c r="A28" s="9" t="s">
        <v>125</v>
      </c>
      <c r="B28" s="37"/>
      <c r="C28" s="332">
        <f t="shared" ref="C28:K28" si="6">C10/C$18</f>
        <v>0.99999564651438166</v>
      </c>
      <c r="D28" s="332">
        <f t="shared" si="6"/>
        <v>0.99999582116246888</v>
      </c>
      <c r="E28" s="332">
        <f t="shared" si="6"/>
        <v>0.99988359158631179</v>
      </c>
      <c r="F28" s="332">
        <f t="shared" si="6"/>
        <v>0.99987935581884479</v>
      </c>
      <c r="G28" s="332">
        <f t="shared" si="6"/>
        <v>0.99989094123071465</v>
      </c>
      <c r="H28" s="164">
        <f t="shared" si="6"/>
        <v>0.99989396341615955</v>
      </c>
      <c r="I28" s="164">
        <f t="shared" si="6"/>
        <v>0.99989735743999331</v>
      </c>
      <c r="J28" s="164">
        <f t="shared" si="6"/>
        <v>0.99990269265013298</v>
      </c>
      <c r="K28" s="164">
        <f t="shared" si="6"/>
        <v>0.9999101571373914</v>
      </c>
      <c r="L28" s="164">
        <f t="shared" ref="L28:L34" si="7">L10/L$18</f>
        <v>0.9999139017725891</v>
      </c>
      <c r="M28" s="164">
        <f t="shared" ref="M28:AH28" si="8">M10/M$18</f>
        <v>0.99991722572199104</v>
      </c>
      <c r="N28" s="185">
        <f t="shared" si="8"/>
        <v>0.99992110570636406</v>
      </c>
      <c r="O28" s="164">
        <f t="shared" si="8"/>
        <v>0.99992642825916567</v>
      </c>
      <c r="P28" s="164">
        <f t="shared" si="8"/>
        <v>0.99992964430149711</v>
      </c>
      <c r="Q28" s="164">
        <f t="shared" si="8"/>
        <v>0.99993748901828439</v>
      </c>
      <c r="R28" s="164">
        <f t="shared" si="8"/>
        <v>0.99994009323170463</v>
      </c>
      <c r="S28" s="164">
        <f t="shared" si="8"/>
        <v>0.99994694411575946</v>
      </c>
      <c r="T28" s="164">
        <f t="shared" si="8"/>
        <v>0.99994867492886386</v>
      </c>
      <c r="U28" s="164">
        <f t="shared" si="8"/>
        <v>0.9999497259718646</v>
      </c>
      <c r="V28" s="164">
        <f t="shared" si="8"/>
        <v>0.99995068602435322</v>
      </c>
      <c r="W28" s="164">
        <f t="shared" si="8"/>
        <v>0.99995596520717589</v>
      </c>
      <c r="X28" s="185">
        <f t="shared" si="8"/>
        <v>0.99995663361665066</v>
      </c>
      <c r="Y28" s="172">
        <f t="shared" si="8"/>
        <v>0.99995717675915041</v>
      </c>
      <c r="Z28" s="172">
        <f t="shared" si="8"/>
        <v>0.9999575951927262</v>
      </c>
      <c r="AA28" s="172">
        <f t="shared" si="8"/>
        <v>0.99995814337144273</v>
      </c>
      <c r="AB28" s="172">
        <f t="shared" si="8"/>
        <v>0.99995875494613462</v>
      </c>
      <c r="AC28" s="172">
        <f t="shared" si="8"/>
        <v>0.99995926543192504</v>
      </c>
      <c r="AD28" s="172">
        <f t="shared" si="8"/>
        <v>0.99995995712436447</v>
      </c>
      <c r="AE28" s="172">
        <f t="shared" si="8"/>
        <v>0.99996067127733756</v>
      </c>
      <c r="AF28" s="172">
        <f t="shared" si="8"/>
        <v>0.99996146740205216</v>
      </c>
      <c r="AG28" s="172">
        <f t="shared" si="8"/>
        <v>0.99996226119261811</v>
      </c>
      <c r="AH28" s="172">
        <f t="shared" si="8"/>
        <v>0.99998579186072678</v>
      </c>
    </row>
    <row r="29" spans="1:34">
      <c r="A29" s="9" t="s">
        <v>50</v>
      </c>
      <c r="B29" s="37"/>
      <c r="C29" s="332">
        <f t="shared" ref="C29:K29" si="9">C11/C$18</f>
        <v>0</v>
      </c>
      <c r="D29" s="332">
        <f t="shared" si="9"/>
        <v>0</v>
      </c>
      <c r="E29" s="332">
        <f t="shared" si="9"/>
        <v>1.4628581988084034E-6</v>
      </c>
      <c r="F29" s="332">
        <f t="shared" si="9"/>
        <v>1.4190824716551945E-6</v>
      </c>
      <c r="G29" s="332">
        <f t="shared" si="9"/>
        <v>1.4007725656102992E-6</v>
      </c>
      <c r="H29" s="164">
        <f t="shared" si="9"/>
        <v>1.3614846687040899E-6</v>
      </c>
      <c r="I29" s="164">
        <f t="shared" si="9"/>
        <v>1.3128658818279461E-6</v>
      </c>
      <c r="J29" s="164">
        <f t="shared" si="9"/>
        <v>1.2385116681430614E-6</v>
      </c>
      <c r="K29" s="164">
        <f t="shared" si="9"/>
        <v>1.2555768493825502E-6</v>
      </c>
      <c r="L29" s="164">
        <f t="shared" si="7"/>
        <v>1.3066016160654312E-6</v>
      </c>
      <c r="M29" s="164">
        <f t="shared" ref="M29:AH29" si="10">M11/M$18</f>
        <v>1.2599014023031057E-6</v>
      </c>
      <c r="N29" s="185">
        <f t="shared" si="10"/>
        <v>1.2005242148411261E-6</v>
      </c>
      <c r="O29" s="164">
        <f t="shared" si="10"/>
        <v>1.1192813995583116E-6</v>
      </c>
      <c r="P29" s="164">
        <f t="shared" si="10"/>
        <v>1.0717174160143232E-6</v>
      </c>
      <c r="Q29" s="164">
        <f t="shared" si="10"/>
        <v>9.5397312183555407E-7</v>
      </c>
      <c r="R29" s="164">
        <f t="shared" si="10"/>
        <v>9.1349315202952498E-7</v>
      </c>
      <c r="S29" s="164">
        <f t="shared" si="10"/>
        <v>8.0964054803058304E-7</v>
      </c>
      <c r="T29" s="164">
        <f t="shared" si="10"/>
        <v>7.8310453498808384E-7</v>
      </c>
      <c r="U29" s="164">
        <f t="shared" si="10"/>
        <v>8.2561889452046788E-7</v>
      </c>
      <c r="V29" s="164">
        <f t="shared" si="10"/>
        <v>8.4581838091663935E-7</v>
      </c>
      <c r="W29" s="164">
        <f t="shared" si="10"/>
        <v>7.5818323438786291E-7</v>
      </c>
      <c r="X29" s="185">
        <f t="shared" si="10"/>
        <v>7.8052369933632118E-7</v>
      </c>
      <c r="Y29" s="172">
        <f t="shared" si="10"/>
        <v>7.9897990350958713E-7</v>
      </c>
      <c r="Z29" s="172">
        <f t="shared" si="10"/>
        <v>7.9078754545280141E-7</v>
      </c>
      <c r="AA29" s="172">
        <f t="shared" si="10"/>
        <v>7.802003882559131E-7</v>
      </c>
      <c r="AB29" s="172">
        <f t="shared" si="10"/>
        <v>7.6841533806492346E-7</v>
      </c>
      <c r="AC29" s="172">
        <f t="shared" si="10"/>
        <v>7.5860491555830712E-7</v>
      </c>
      <c r="AD29" s="172">
        <f t="shared" si="10"/>
        <v>7.4546114290344033E-7</v>
      </c>
      <c r="AE29" s="172">
        <f t="shared" si="10"/>
        <v>7.3179077475386379E-7</v>
      </c>
      <c r="AF29" s="172">
        <f t="shared" si="10"/>
        <v>7.1669648129376617E-7</v>
      </c>
      <c r="AG29" s="172">
        <f t="shared" si="10"/>
        <v>7.0162423737762965E-7</v>
      </c>
      <c r="AH29" s="172">
        <f t="shared" si="10"/>
        <v>6.8859091541994701E-7</v>
      </c>
    </row>
    <row r="30" spans="1:34">
      <c r="A30" s="9" t="s">
        <v>51</v>
      </c>
      <c r="B30" s="37"/>
      <c r="C30" s="332">
        <f t="shared" ref="C30:K30" si="11">C12/C$18</f>
        <v>0</v>
      </c>
      <c r="D30" s="332">
        <f t="shared" si="11"/>
        <v>0</v>
      </c>
      <c r="E30" s="332">
        <f t="shared" si="11"/>
        <v>4.8837005394938773E-7</v>
      </c>
      <c r="F30" s="332">
        <f t="shared" si="11"/>
        <v>5.2366581306372804E-7</v>
      </c>
      <c r="G30" s="332">
        <f t="shared" si="11"/>
        <v>3.8453786747670857E-7</v>
      </c>
      <c r="H30" s="164">
        <f t="shared" si="11"/>
        <v>4.0216790021983243E-7</v>
      </c>
      <c r="I30" s="164">
        <f t="shared" si="11"/>
        <v>3.5508536183196025E-7</v>
      </c>
      <c r="J30" s="164">
        <f t="shared" si="11"/>
        <v>3.9259578715408961E-7</v>
      </c>
      <c r="K30" s="164">
        <f t="shared" si="11"/>
        <v>3.6449456538535229E-7</v>
      </c>
      <c r="L30" s="164">
        <f t="shared" si="7"/>
        <v>3.4893698246913667E-7</v>
      </c>
      <c r="M30" s="164">
        <f t="shared" ref="M30:AH30" si="12">M12/M$18</f>
        <v>3.3325695957579673E-7</v>
      </c>
      <c r="N30" s="185">
        <f t="shared" si="12"/>
        <v>3.1754401003677013E-7</v>
      </c>
      <c r="O30" s="164">
        <f t="shared" si="12"/>
        <v>2.9607026267838898E-7</v>
      </c>
      <c r="P30" s="164">
        <f t="shared" si="12"/>
        <v>2.8493904897860077E-7</v>
      </c>
      <c r="Q30" s="164">
        <f t="shared" si="12"/>
        <v>2.5146660264895373E-7</v>
      </c>
      <c r="R30" s="164">
        <f t="shared" si="12"/>
        <v>2.4095758615906864E-7</v>
      </c>
      <c r="S30" s="164">
        <f t="shared" si="12"/>
        <v>2.1477436313764953E-7</v>
      </c>
      <c r="T30" s="164">
        <f t="shared" si="12"/>
        <v>2.0415957009679813E-7</v>
      </c>
      <c r="U30" s="164">
        <f t="shared" si="12"/>
        <v>2.0182644109197114E-7</v>
      </c>
      <c r="V30" s="164">
        <f t="shared" si="12"/>
        <v>1.9776507868987691E-7</v>
      </c>
      <c r="W30" s="164">
        <f t="shared" si="12"/>
        <v>1.7651563557026873E-7</v>
      </c>
      <c r="X30" s="185">
        <f t="shared" si="12"/>
        <v>1.7362698683416495E-7</v>
      </c>
      <c r="Y30" s="172">
        <f t="shared" si="12"/>
        <v>1.7126695330924324E-7</v>
      </c>
      <c r="Z30" s="172">
        <f t="shared" si="12"/>
        <v>1.7065824916152635E-7</v>
      </c>
      <c r="AA30" s="172">
        <f t="shared" si="12"/>
        <v>1.6995286350410157E-7</v>
      </c>
      <c r="AB30" s="172">
        <f t="shared" si="12"/>
        <v>1.6966587255019188E-7</v>
      </c>
      <c r="AC30" s="172">
        <f t="shared" si="12"/>
        <v>1.675186703501121E-7</v>
      </c>
      <c r="AD30" s="172">
        <f t="shared" si="12"/>
        <v>1.6463364179724134E-7</v>
      </c>
      <c r="AE30" s="172">
        <f t="shared" si="12"/>
        <v>1.6473313741845624E-7</v>
      </c>
      <c r="AF30" s="172">
        <f t="shared" si="12"/>
        <v>1.6135724018529262E-7</v>
      </c>
      <c r="AG30" s="172">
        <f t="shared" si="12"/>
        <v>1.5798268755804354E-7</v>
      </c>
      <c r="AH30" s="172">
        <f t="shared" si="12"/>
        <v>1.5506328378597501E-7</v>
      </c>
    </row>
    <row r="31" spans="1:34">
      <c r="A31" s="9" t="s">
        <v>347</v>
      </c>
      <c r="B31" s="37"/>
      <c r="C31" s="332">
        <f t="shared" ref="C31:K31" si="13">C13/C$18</f>
        <v>0</v>
      </c>
      <c r="D31" s="332">
        <f t="shared" si="13"/>
        <v>0</v>
      </c>
      <c r="E31" s="332">
        <f t="shared" si="13"/>
        <v>7.2926264240926448E-5</v>
      </c>
      <c r="F31" s="332">
        <f t="shared" si="13"/>
        <v>7.5519283127646754E-5</v>
      </c>
      <c r="G31" s="332">
        <f t="shared" si="13"/>
        <v>6.8179808082848234E-5</v>
      </c>
      <c r="H31" s="164">
        <f t="shared" si="13"/>
        <v>6.6267290102338969E-5</v>
      </c>
      <c r="I31" s="164">
        <f t="shared" si="13"/>
        <v>6.3920664152811141E-5</v>
      </c>
      <c r="J31" s="164">
        <f t="shared" si="13"/>
        <v>6.0413479329641651E-5</v>
      </c>
      <c r="K31" s="164">
        <f t="shared" si="13"/>
        <v>5.5707091776754491E-5</v>
      </c>
      <c r="L31" s="164">
        <f t="shared" si="7"/>
        <v>5.3320362348893787E-5</v>
      </c>
      <c r="M31" s="164">
        <f t="shared" ref="M31:AH31" si="14">M13/M$18</f>
        <v>5.1260680237831789E-5</v>
      </c>
      <c r="N31" s="185">
        <f t="shared" si="14"/>
        <v>4.885807351032688E-5</v>
      </c>
      <c r="O31" s="164">
        <f t="shared" si="14"/>
        <v>4.5561993491781023E-5</v>
      </c>
      <c r="P31" s="164">
        <f t="shared" si="14"/>
        <v>4.356796243769799E-5</v>
      </c>
      <c r="Q31" s="164">
        <f t="shared" si="14"/>
        <v>3.871015751645651E-5</v>
      </c>
      <c r="R31" s="164">
        <f t="shared" si="14"/>
        <v>3.7098021628269145E-5</v>
      </c>
      <c r="S31" s="164">
        <f t="shared" si="14"/>
        <v>3.2854308342311408E-5</v>
      </c>
      <c r="T31" s="164">
        <f t="shared" si="14"/>
        <v>3.1784787468646496E-5</v>
      </c>
      <c r="U31" s="164">
        <f t="shared" si="14"/>
        <v>3.1095597358910837E-5</v>
      </c>
      <c r="V31" s="164">
        <f t="shared" si="14"/>
        <v>3.0479227726797005E-5</v>
      </c>
      <c r="W31" s="164">
        <f t="shared" si="14"/>
        <v>2.7213945189997991E-5</v>
      </c>
      <c r="X31" s="185">
        <f t="shared" si="14"/>
        <v>2.6778832407555665E-5</v>
      </c>
      <c r="Y31" s="172">
        <f t="shared" si="14"/>
        <v>2.642490643180168E-5</v>
      </c>
      <c r="Z31" s="172">
        <f t="shared" si="14"/>
        <v>2.616536804323116E-5</v>
      </c>
      <c r="AA31" s="172">
        <f t="shared" si="14"/>
        <v>2.5825346935026156E-5</v>
      </c>
      <c r="AB31" s="172">
        <f t="shared" si="14"/>
        <v>2.5445059043839978E-5</v>
      </c>
      <c r="AC31" s="172">
        <f t="shared" si="14"/>
        <v>2.5129503076350237E-5</v>
      </c>
      <c r="AD31" s="172">
        <f t="shared" si="14"/>
        <v>2.4702945036261548E-5</v>
      </c>
      <c r="AE31" s="172">
        <f t="shared" si="14"/>
        <v>2.4258299274010813E-5</v>
      </c>
      <c r="AF31" s="172">
        <f t="shared" si="14"/>
        <v>2.3765702950923141E-5</v>
      </c>
      <c r="AG31" s="172">
        <f t="shared" si="14"/>
        <v>2.3273442468970526E-5</v>
      </c>
      <c r="AH31" s="172">
        <f t="shared" si="14"/>
        <v>0</v>
      </c>
    </row>
    <row r="32" spans="1:34">
      <c r="A32" s="9" t="s">
        <v>348</v>
      </c>
      <c r="B32" s="37"/>
      <c r="C32" s="332">
        <f t="shared" ref="C32:K32" si="15">C14/C$18</f>
        <v>0</v>
      </c>
      <c r="D32" s="332">
        <f t="shared" si="15"/>
        <v>0</v>
      </c>
      <c r="E32" s="332">
        <f t="shared" si="15"/>
        <v>3.6463132120463224E-5</v>
      </c>
      <c r="F32" s="332">
        <f t="shared" si="15"/>
        <v>3.7759641563823377E-5</v>
      </c>
      <c r="G32" s="332">
        <f t="shared" si="15"/>
        <v>3.4089904041424117E-5</v>
      </c>
      <c r="H32" s="164">
        <f t="shared" si="15"/>
        <v>3.3133645051169484E-5</v>
      </c>
      <c r="I32" s="164">
        <f t="shared" si="15"/>
        <v>3.1960332076405571E-5</v>
      </c>
      <c r="J32" s="164">
        <f t="shared" si="15"/>
        <v>3.0206739664820826E-5</v>
      </c>
      <c r="K32" s="164">
        <f t="shared" si="15"/>
        <v>2.7853545888377245E-5</v>
      </c>
      <c r="L32" s="164">
        <f t="shared" si="7"/>
        <v>2.6660181174446894E-5</v>
      </c>
      <c r="M32" s="164">
        <f t="shared" ref="M32:AH32" si="16">M14/M$18</f>
        <v>2.5630340118915894E-5</v>
      </c>
      <c r="N32" s="185">
        <f t="shared" si="16"/>
        <v>2.442903675516344E-5</v>
      </c>
      <c r="O32" s="164">
        <f t="shared" si="16"/>
        <v>2.2780996745890512E-5</v>
      </c>
      <c r="P32" s="164">
        <f t="shared" si="16"/>
        <v>2.1783981218848995E-5</v>
      </c>
      <c r="Q32" s="164">
        <f t="shared" si="16"/>
        <v>1.9355078758228255E-5</v>
      </c>
      <c r="R32" s="164">
        <f t="shared" si="16"/>
        <v>1.8549010814134573E-5</v>
      </c>
      <c r="S32" s="164">
        <f t="shared" si="16"/>
        <v>1.6427154171155704E-5</v>
      </c>
      <c r="T32" s="164">
        <f t="shared" si="16"/>
        <v>1.5892393734323248E-5</v>
      </c>
      <c r="U32" s="164">
        <f t="shared" si="16"/>
        <v>1.5547798679455419E-5</v>
      </c>
      <c r="V32" s="164">
        <f t="shared" si="16"/>
        <v>1.5239613863398502E-5</v>
      </c>
      <c r="W32" s="164">
        <f t="shared" si="16"/>
        <v>1.3606972594998996E-5</v>
      </c>
      <c r="X32" s="185">
        <f t="shared" si="16"/>
        <v>1.3389416203777833E-5</v>
      </c>
      <c r="Y32" s="172">
        <f t="shared" si="16"/>
        <v>1.321245321590084E-5</v>
      </c>
      <c r="Z32" s="172">
        <f t="shared" si="16"/>
        <v>1.308268402161558E-5</v>
      </c>
      <c r="AA32" s="172">
        <f t="shared" si="16"/>
        <v>1.2912673467513078E-5</v>
      </c>
      <c r="AB32" s="172">
        <f t="shared" si="16"/>
        <v>1.2722529521919989E-5</v>
      </c>
      <c r="AC32" s="172">
        <f t="shared" si="16"/>
        <v>1.2564751538175119E-5</v>
      </c>
      <c r="AD32" s="172">
        <f t="shared" si="16"/>
        <v>1.2351472518130774E-5</v>
      </c>
      <c r="AE32" s="172">
        <f t="shared" si="16"/>
        <v>1.2129149637005407E-5</v>
      </c>
      <c r="AF32" s="172">
        <f t="shared" si="16"/>
        <v>1.1882851475461571E-5</v>
      </c>
      <c r="AG32" s="172">
        <f t="shared" si="16"/>
        <v>1.1636721234485263E-5</v>
      </c>
      <c r="AH32" s="172">
        <f t="shared" si="16"/>
        <v>1.1423997237697882E-5</v>
      </c>
    </row>
    <row r="33" spans="1:36">
      <c r="A33" s="9" t="s">
        <v>344</v>
      </c>
      <c r="B33" s="37"/>
      <c r="C33" s="332">
        <f t="shared" ref="C33:K33" si="17">C15/C$18</f>
        <v>4.3534856182602594E-6</v>
      </c>
      <c r="D33" s="332">
        <f t="shared" si="17"/>
        <v>4.178837530975633E-6</v>
      </c>
      <c r="E33" s="332">
        <f t="shared" si="17"/>
        <v>3.6463132120463219E-6</v>
      </c>
      <c r="F33" s="332">
        <f t="shared" si="17"/>
        <v>3.7759641563823379E-6</v>
      </c>
      <c r="G33" s="332">
        <f t="shared" si="17"/>
        <v>3.4089904041424119E-6</v>
      </c>
      <c r="H33" s="164">
        <f t="shared" si="17"/>
        <v>3.3133645051169488E-6</v>
      </c>
      <c r="I33" s="164">
        <f t="shared" si="17"/>
        <v>3.1960332076405566E-6</v>
      </c>
      <c r="J33" s="164">
        <f t="shared" si="17"/>
        <v>3.0206739664820824E-6</v>
      </c>
      <c r="K33" s="164">
        <f t="shared" si="17"/>
        <v>2.7853545888377245E-6</v>
      </c>
      <c r="L33" s="164">
        <f t="shared" si="7"/>
        <v>2.6660181174446893E-6</v>
      </c>
      <c r="M33" s="164">
        <f t="shared" ref="M33:AH33" si="18">M15/M$18</f>
        <v>2.5630340118915895E-6</v>
      </c>
      <c r="N33" s="185">
        <f t="shared" si="18"/>
        <v>2.4429036755163439E-6</v>
      </c>
      <c r="O33" s="164">
        <f t="shared" si="18"/>
        <v>2.278099674589051E-6</v>
      </c>
      <c r="P33" s="164">
        <f t="shared" si="18"/>
        <v>2.1783981218848996E-6</v>
      </c>
      <c r="Q33" s="164">
        <f t="shared" si="18"/>
        <v>1.9355078758228254E-6</v>
      </c>
      <c r="R33" s="164">
        <f t="shared" si="18"/>
        <v>1.8549010814134573E-6</v>
      </c>
      <c r="S33" s="164">
        <f t="shared" si="18"/>
        <v>1.6427154171155703E-6</v>
      </c>
      <c r="T33" s="164">
        <f t="shared" si="18"/>
        <v>1.5892393734323247E-6</v>
      </c>
      <c r="U33" s="164">
        <f t="shared" si="18"/>
        <v>1.5547798679455419E-6</v>
      </c>
      <c r="V33" s="164">
        <f t="shared" si="18"/>
        <v>1.5239613863398502E-6</v>
      </c>
      <c r="W33" s="164">
        <f t="shared" si="18"/>
        <v>1.3606972594998994E-6</v>
      </c>
      <c r="X33" s="185">
        <f t="shared" si="18"/>
        <v>1.3389416203777833E-6</v>
      </c>
      <c r="Y33" s="172">
        <f t="shared" si="18"/>
        <v>1.3212453215900839E-6</v>
      </c>
      <c r="Z33" s="172">
        <f t="shared" si="18"/>
        <v>1.308268402161558E-6</v>
      </c>
      <c r="AA33" s="172">
        <f t="shared" si="18"/>
        <v>1.2912673467513078E-6</v>
      </c>
      <c r="AB33" s="172">
        <f t="shared" si="18"/>
        <v>1.272252952191999E-6</v>
      </c>
      <c r="AC33" s="172">
        <f t="shared" si="18"/>
        <v>1.2564751538175119E-6</v>
      </c>
      <c r="AD33" s="172">
        <f t="shared" si="18"/>
        <v>1.2351472518130775E-6</v>
      </c>
      <c r="AE33" s="172">
        <f t="shared" si="18"/>
        <v>1.2129149637005407E-6</v>
      </c>
      <c r="AF33" s="172">
        <f t="shared" si="18"/>
        <v>1.188285147546157E-6</v>
      </c>
      <c r="AG33" s="172">
        <f t="shared" si="18"/>
        <v>1.1636721234485264E-6</v>
      </c>
      <c r="AH33" s="172">
        <f t="shared" si="18"/>
        <v>1.142399723769788E-6</v>
      </c>
    </row>
    <row r="34" spans="1:36">
      <c r="A34" s="9" t="s">
        <v>53</v>
      </c>
      <c r="B34" s="37"/>
      <c r="C34" s="332">
        <f t="shared" ref="C34:K34" si="19">C16/C$18</f>
        <v>0</v>
      </c>
      <c r="D34" s="332">
        <f t="shared" si="19"/>
        <v>0</v>
      </c>
      <c r="E34" s="332">
        <f t="shared" si="19"/>
        <v>1.4214758619967008E-6</v>
      </c>
      <c r="F34" s="332">
        <f t="shared" si="19"/>
        <v>1.6465440225396816E-6</v>
      </c>
      <c r="G34" s="332">
        <f t="shared" si="19"/>
        <v>1.5947563237916489E-6</v>
      </c>
      <c r="H34" s="164">
        <f t="shared" si="19"/>
        <v>1.5586316128417361E-6</v>
      </c>
      <c r="I34" s="164">
        <f t="shared" si="19"/>
        <v>1.8975793261971522E-6</v>
      </c>
      <c r="J34" s="164">
        <f t="shared" si="19"/>
        <v>2.0353494509290124E-6</v>
      </c>
      <c r="K34" s="164">
        <f t="shared" si="19"/>
        <v>1.87679893989837E-6</v>
      </c>
      <c r="L34" s="164">
        <f t="shared" si="7"/>
        <v>1.796127171571562E-6</v>
      </c>
      <c r="M34" s="164">
        <f t="shared" ref="M34:AH34" si="20">M16/M$18</f>
        <v>1.7270652784561639E-6</v>
      </c>
      <c r="N34" s="185">
        <f t="shared" si="20"/>
        <v>1.6462114700482086E-6</v>
      </c>
      <c r="O34" s="164">
        <f t="shared" si="20"/>
        <v>1.5352992597910071E-6</v>
      </c>
      <c r="P34" s="164">
        <f t="shared" si="20"/>
        <v>1.4687002593458954E-6</v>
      </c>
      <c r="Q34" s="164">
        <f t="shared" si="20"/>
        <v>1.3047978406300684E-6</v>
      </c>
      <c r="R34" s="164">
        <f t="shared" si="20"/>
        <v>1.2503840333360215E-6</v>
      </c>
      <c r="S34" s="164">
        <f t="shared" si="20"/>
        <v>1.1072913988327428E-6</v>
      </c>
      <c r="T34" s="164">
        <f t="shared" si="20"/>
        <v>1.0713864546495136E-6</v>
      </c>
      <c r="U34" s="164">
        <f t="shared" si="20"/>
        <v>1.0484068933398795E-6</v>
      </c>
      <c r="V34" s="164">
        <f t="shared" si="20"/>
        <v>1.0275892105438298E-6</v>
      </c>
      <c r="W34" s="164">
        <f t="shared" si="20"/>
        <v>9.1847890959479725E-7</v>
      </c>
      <c r="X34" s="185">
        <f t="shared" si="20"/>
        <v>9.0504243147521978E-7</v>
      </c>
      <c r="Y34" s="172">
        <f t="shared" si="20"/>
        <v>8.9438902326204272E-7</v>
      </c>
      <c r="Z34" s="172">
        <f t="shared" si="20"/>
        <v>8.8704101209334605E-7</v>
      </c>
      <c r="AA34" s="172">
        <f t="shared" si="20"/>
        <v>8.7718755614644481E-7</v>
      </c>
      <c r="AB34" s="172">
        <f t="shared" si="20"/>
        <v>8.6713113672192703E-7</v>
      </c>
      <c r="AC34" s="172">
        <f t="shared" si="20"/>
        <v>8.5771472077031558E-7</v>
      </c>
      <c r="AD34" s="172">
        <f t="shared" si="20"/>
        <v>8.4321604459952759E-7</v>
      </c>
      <c r="AE34" s="172">
        <f t="shared" si="20"/>
        <v>8.3183487556834821E-7</v>
      </c>
      <c r="AF34" s="172">
        <f t="shared" si="20"/>
        <v>8.1770465205902778E-7</v>
      </c>
      <c r="AG34" s="172">
        <f t="shared" si="20"/>
        <v>8.0536462969848207E-7</v>
      </c>
      <c r="AH34" s="172">
        <f t="shared" si="20"/>
        <v>7.9808811252772037E-7</v>
      </c>
    </row>
    <row r="35" spans="1:36">
      <c r="A35" s="10"/>
      <c r="B35" s="37"/>
      <c r="C35" s="332"/>
      <c r="D35" s="332"/>
      <c r="E35" s="332"/>
      <c r="F35" s="332"/>
      <c r="G35" s="332"/>
      <c r="H35" s="164"/>
      <c r="I35" s="164"/>
      <c r="J35" s="164"/>
      <c r="K35" s="164"/>
      <c r="L35" s="164"/>
      <c r="M35" s="164"/>
      <c r="N35" s="183"/>
      <c r="O35" s="164"/>
      <c r="P35" s="164"/>
      <c r="Q35" s="164"/>
      <c r="R35" s="164"/>
      <c r="S35" s="164"/>
      <c r="T35" s="164"/>
      <c r="U35" s="164"/>
      <c r="V35" s="164"/>
      <c r="W35" s="164"/>
      <c r="X35" s="185"/>
    </row>
    <row r="36" spans="1:36">
      <c r="A36" s="10"/>
      <c r="B36" s="37"/>
      <c r="C36" s="332"/>
      <c r="D36" s="332"/>
      <c r="E36" s="332"/>
      <c r="F36" s="332"/>
      <c r="G36" s="332"/>
      <c r="H36" s="164"/>
      <c r="I36" s="164"/>
      <c r="J36" s="164"/>
      <c r="K36" s="164"/>
      <c r="L36" s="164"/>
      <c r="M36" s="164"/>
      <c r="N36" s="183"/>
      <c r="O36" s="164"/>
      <c r="P36" s="164"/>
      <c r="Q36" s="164"/>
      <c r="R36" s="164"/>
      <c r="S36" s="164"/>
      <c r="T36" s="164"/>
      <c r="U36" s="164"/>
      <c r="V36" s="164"/>
      <c r="W36" s="164"/>
      <c r="X36" s="185"/>
    </row>
    <row r="37" spans="1:36">
      <c r="A37" s="10"/>
      <c r="B37" s="37"/>
      <c r="C37" s="332"/>
      <c r="D37" s="332"/>
      <c r="E37" s="332"/>
      <c r="F37" s="332"/>
      <c r="G37" s="332"/>
      <c r="H37" s="164"/>
      <c r="I37" s="164"/>
      <c r="J37" s="164"/>
      <c r="K37" s="164"/>
      <c r="L37" s="164"/>
      <c r="M37" s="164"/>
      <c r="N37" s="183"/>
      <c r="O37" s="164"/>
      <c r="P37" s="164"/>
      <c r="Q37" s="164"/>
      <c r="R37" s="164"/>
      <c r="S37" s="164"/>
      <c r="T37" s="164"/>
      <c r="U37" s="164"/>
      <c r="V37" s="164"/>
      <c r="W37" s="164"/>
      <c r="X37" s="185"/>
    </row>
    <row r="38" spans="1:36">
      <c r="A38" s="10"/>
      <c r="B38" s="37"/>
      <c r="C38" s="332"/>
      <c r="D38" s="332"/>
      <c r="E38" s="332"/>
      <c r="F38" s="332"/>
      <c r="G38" s="332"/>
      <c r="H38" s="164"/>
      <c r="I38" s="164"/>
      <c r="J38" s="164"/>
      <c r="K38" s="164"/>
      <c r="L38" s="164"/>
      <c r="M38" s="164"/>
      <c r="N38" s="183"/>
      <c r="O38" s="164"/>
      <c r="P38" s="164"/>
      <c r="Q38" s="164"/>
      <c r="R38" s="164"/>
      <c r="S38" s="164"/>
      <c r="T38" s="164"/>
      <c r="U38" s="164"/>
      <c r="V38" s="164"/>
      <c r="W38" s="164"/>
      <c r="X38" s="185"/>
    </row>
    <row r="39" spans="1:36">
      <c r="A39" s="1" t="s">
        <v>139</v>
      </c>
      <c r="B39" s="13"/>
      <c r="D39" s="333"/>
      <c r="E39" s="333"/>
      <c r="F39" s="333"/>
      <c r="G39" s="333"/>
      <c r="H39" s="16"/>
      <c r="I39" s="16"/>
      <c r="J39" s="16"/>
      <c r="K39" s="16"/>
      <c r="L39" s="16"/>
      <c r="M39" s="16"/>
      <c r="N39" s="389" t="s">
        <v>0</v>
      </c>
    </row>
    <row r="40" spans="1:36" ht="15">
      <c r="A40" s="8" t="s">
        <v>61</v>
      </c>
      <c r="B40" s="34">
        <v>0</v>
      </c>
      <c r="C40" s="331">
        <f>C5*Inputs!$C$44</f>
        <v>0</v>
      </c>
      <c r="D40" s="331">
        <f>D5*Inputs!$C$44</f>
        <v>0</v>
      </c>
      <c r="E40" s="331">
        <f>E5*Inputs!$C$44</f>
        <v>0</v>
      </c>
      <c r="F40" s="331">
        <f>F5*Inputs!$C$44</f>
        <v>0</v>
      </c>
      <c r="G40" s="331">
        <f>G5*Inputs!$C$44</f>
        <v>0</v>
      </c>
      <c r="H40" s="14">
        <f>H5*Inputs!$C$44</f>
        <v>0</v>
      </c>
      <c r="I40" s="14">
        <f>I5*Inputs!$C$44</f>
        <v>0</v>
      </c>
      <c r="J40" s="14">
        <f>J5*Inputs!$C$44</f>
        <v>0</v>
      </c>
      <c r="K40" s="14">
        <f>K5*Inputs!$C$44</f>
        <v>0</v>
      </c>
      <c r="L40" s="14">
        <f>L5*Inputs!$C$44</f>
        <v>0</v>
      </c>
      <c r="M40" s="14">
        <f>M5*Inputs!$C$44</f>
        <v>0</v>
      </c>
      <c r="N40" s="190">
        <f>N5*Inputs!$C$44</f>
        <v>0</v>
      </c>
      <c r="O40" s="14">
        <f>O5*Inputs!$C$44</f>
        <v>0</v>
      </c>
      <c r="P40" s="14">
        <f>P5*Inputs!$C$44</f>
        <v>0</v>
      </c>
      <c r="Q40" s="14">
        <f>Q5*Inputs!$C$44</f>
        <v>0</v>
      </c>
      <c r="R40" s="14">
        <f>R5*Inputs!$C$44</f>
        <v>0</v>
      </c>
      <c r="S40" s="14">
        <f>S5*Inputs!$C$44</f>
        <v>0</v>
      </c>
      <c r="T40" s="14">
        <f>T5*Inputs!$C$44</f>
        <v>0</v>
      </c>
      <c r="U40" s="14">
        <f>U5*Inputs!$C$44</f>
        <v>0</v>
      </c>
      <c r="V40" s="14">
        <f>V5*Inputs!$C$44</f>
        <v>0</v>
      </c>
      <c r="W40" s="14">
        <f>W5*Inputs!$C$44</f>
        <v>0</v>
      </c>
      <c r="X40" s="187">
        <f>X5*Inputs!$C$44</f>
        <v>0</v>
      </c>
      <c r="Y40" s="14">
        <f>Y5*Inputs!$C$44</f>
        <v>0</v>
      </c>
      <c r="Z40" s="14">
        <f>Z5*Inputs!$C$44</f>
        <v>0</v>
      </c>
      <c r="AA40" s="14">
        <f>AA5*Inputs!$C$44</f>
        <v>0</v>
      </c>
      <c r="AB40" s="14">
        <f>AB5*Inputs!$C$44</f>
        <v>0</v>
      </c>
      <c r="AC40" s="14">
        <f>AC5*Inputs!$C$44</f>
        <v>0</v>
      </c>
      <c r="AD40" s="14">
        <f>AD5*Inputs!$C$44</f>
        <v>0</v>
      </c>
      <c r="AE40" s="14">
        <f>AE5*Inputs!$C$44</f>
        <v>0</v>
      </c>
      <c r="AF40" s="14">
        <f>AF5*Inputs!$C$44</f>
        <v>0</v>
      </c>
      <c r="AG40" s="14">
        <f>AG5*Inputs!$C$44</f>
        <v>0</v>
      </c>
      <c r="AH40" s="14">
        <f>AH5*Inputs!$C$44</f>
        <v>0</v>
      </c>
    </row>
    <row r="41" spans="1:36" ht="15">
      <c r="A41" s="8" t="s">
        <v>60</v>
      </c>
      <c r="B41" s="34">
        <v>0</v>
      </c>
      <c r="C41" s="331">
        <f>C6*Inputs!$C$47</f>
        <v>0</v>
      </c>
      <c r="D41" s="331">
        <f>D6*Inputs!$C$47</f>
        <v>0</v>
      </c>
      <c r="E41" s="331" t="s">
        <v>377</v>
      </c>
      <c r="F41" s="331">
        <f>F6*Inputs!$C$47</f>
        <v>0</v>
      </c>
      <c r="G41" s="331">
        <f>G6*Inputs!$C$47</f>
        <v>0</v>
      </c>
      <c r="H41" s="14">
        <f>H6*Inputs!$C$47</f>
        <v>0</v>
      </c>
      <c r="I41" s="14">
        <f>I6*Inputs!$C$47</f>
        <v>0</v>
      </c>
      <c r="J41" s="14">
        <f>J6*Inputs!$C$47</f>
        <v>0</v>
      </c>
      <c r="K41" s="14">
        <f>K6*Inputs!$C$47</f>
        <v>0</v>
      </c>
      <c r="L41" s="14">
        <f>L6*Inputs!$C$47</f>
        <v>0</v>
      </c>
      <c r="M41" s="14">
        <f>M6*Inputs!$C$47</f>
        <v>0</v>
      </c>
      <c r="N41" s="190">
        <f>N6*Inputs!$C$47</f>
        <v>0</v>
      </c>
      <c r="O41" s="14">
        <f>O6*Inputs!$C$47</f>
        <v>0</v>
      </c>
      <c r="P41" s="14">
        <f>P6*Inputs!$C$47</f>
        <v>0</v>
      </c>
      <c r="Q41" s="14">
        <f>Q6*Inputs!$C$47</f>
        <v>0</v>
      </c>
      <c r="R41" s="14">
        <f>R6*Inputs!$C$47</f>
        <v>0</v>
      </c>
      <c r="S41" s="14">
        <f>S6*Inputs!$C$47</f>
        <v>0</v>
      </c>
      <c r="T41" s="14">
        <f>T6*Inputs!$C$47</f>
        <v>0</v>
      </c>
      <c r="U41" s="14">
        <f>U6*Inputs!$C$47</f>
        <v>0</v>
      </c>
      <c r="V41" s="14">
        <f>V6*Inputs!$C$47</f>
        <v>0</v>
      </c>
      <c r="W41" s="14">
        <f>W6*Inputs!$C$47</f>
        <v>0</v>
      </c>
      <c r="X41" s="187">
        <f>X6*Inputs!$C$47</f>
        <v>0</v>
      </c>
      <c r="Y41" s="14">
        <f>Y6*Inputs!$C$47</f>
        <v>0</v>
      </c>
      <c r="Z41" s="14">
        <f>Z6*Inputs!$C$47</f>
        <v>0</v>
      </c>
      <c r="AA41" s="14">
        <f>AA6*Inputs!$C$47</f>
        <v>0</v>
      </c>
      <c r="AB41" s="14">
        <f>AB6*Inputs!$C$47</f>
        <v>0</v>
      </c>
      <c r="AC41" s="14">
        <f>AC6*Inputs!$C$47</f>
        <v>0</v>
      </c>
      <c r="AD41" s="14">
        <f>AD6*Inputs!$C$47</f>
        <v>0</v>
      </c>
      <c r="AE41" s="14">
        <f>AE6*Inputs!$C$47</f>
        <v>0</v>
      </c>
      <c r="AF41" s="14">
        <f>AF6*Inputs!$C$47</f>
        <v>0</v>
      </c>
      <c r="AG41" s="14">
        <f>AG6*Inputs!$C$47</f>
        <v>0</v>
      </c>
      <c r="AH41" s="14">
        <f>AH6*Inputs!$C$47</f>
        <v>0</v>
      </c>
      <c r="AI41">
        <f>EXP(0.01)</f>
        <v>1.0100501670841679</v>
      </c>
      <c r="AJ41" s="29">
        <v>0.01</v>
      </c>
    </row>
    <row r="42" spans="1:36" ht="15">
      <c r="A42" s="8" t="s">
        <v>49</v>
      </c>
      <c r="B42" s="34">
        <v>0</v>
      </c>
      <c r="C42" s="331">
        <f>C7*Inputs!$C$48</f>
        <v>185.39849999999998</v>
      </c>
      <c r="D42" s="331">
        <f>D7*Inputs!$C$48</f>
        <v>166.3485</v>
      </c>
      <c r="E42" s="331">
        <f>E7*Inputs!$C$48</f>
        <v>187.1386043902462</v>
      </c>
      <c r="F42" s="331">
        <f>F7*Inputs!$C$48</f>
        <v>152.25721308940788</v>
      </c>
      <c r="G42" s="331">
        <f>G7*Inputs!$C$48</f>
        <v>193.27277327671101</v>
      </c>
      <c r="H42" s="14">
        <f>H7*Inputs!$C$48</f>
        <v>197.92024423901151</v>
      </c>
      <c r="I42" s="14">
        <f>I7*Inputs!$C$48</f>
        <v>202.02224763596288</v>
      </c>
      <c r="J42" s="14">
        <f>J7*Inputs!$C$48</f>
        <v>205.5665473393548</v>
      </c>
      <c r="K42" s="14">
        <f>K7*Inputs!$C$48</f>
        <v>207.97141811607162</v>
      </c>
      <c r="L42" s="14">
        <f>L7*Inputs!$C$48</f>
        <v>207.97131378346415</v>
      </c>
      <c r="M42" s="14">
        <f>M7*Inputs!$C$48</f>
        <v>207.97136803642005</v>
      </c>
      <c r="N42" s="190">
        <f>N7*Inputs!$C$48</f>
        <v>207.97131378346415</v>
      </c>
      <c r="O42" s="14">
        <f>O7*Inputs!$C$48</f>
        <v>207.97136386311573</v>
      </c>
      <c r="P42" s="14">
        <f>P7*Inputs!$C$48</f>
        <v>207.97121779746519</v>
      </c>
      <c r="Q42" s="14">
        <f>Q7*Inputs!$C$48</f>
        <v>209.11940648986791</v>
      </c>
      <c r="R42" s="14">
        <f>R7*Inputs!$C$48</f>
        <v>209.1193230237819</v>
      </c>
      <c r="S42" s="14">
        <f>S7*Inputs!$C$48</f>
        <v>209.1194106631722</v>
      </c>
      <c r="T42" s="14">
        <f>T7*Inputs!$C$48</f>
        <v>209.55575466766052</v>
      </c>
      <c r="U42" s="14">
        <f>U7*Inputs!$C$48</f>
        <v>209.8177421917602</v>
      </c>
      <c r="V42" s="14">
        <f>V7*Inputs!$C$48</f>
        <v>211.30093036700745</v>
      </c>
      <c r="W42" s="14">
        <f>W7*Inputs!$C$48</f>
        <v>212.74974720803215</v>
      </c>
      <c r="X42" s="187">
        <f>X7*Inputs!$C$48</f>
        <v>214.36638930821459</v>
      </c>
      <c r="Y42" s="14">
        <f>Y7*Inputs!$C$48</f>
        <v>214.36641852134474</v>
      </c>
      <c r="Z42" s="14">
        <f>Z7*Inputs!$C$48</f>
        <v>215.30412243802564</v>
      </c>
      <c r="AA42" s="14">
        <f>AA7*Inputs!$C$48</f>
        <v>215.30416834437293</v>
      </c>
      <c r="AB42" s="14">
        <f>AB7*Inputs!$C$48</f>
        <v>215.30416834437293</v>
      </c>
      <c r="AC42" s="14">
        <f>AC7*Inputs!$C$48</f>
        <v>216.19411296663392</v>
      </c>
      <c r="AD42" s="14">
        <f>AD7*Inputs!$C$48</f>
        <v>216.81052253179465</v>
      </c>
      <c r="AE42" s="14">
        <f>AE7*Inputs!$C$48</f>
        <v>216.81060599788066</v>
      </c>
      <c r="AF42" s="14">
        <f>AF7*Inputs!$C$48</f>
        <v>217.36986633394432</v>
      </c>
      <c r="AG42" s="14">
        <f>AG7*Inputs!$C$48</f>
        <v>217.36986216064003</v>
      </c>
      <c r="AH42" s="14">
        <f>AH7*Inputs!$C$48</f>
        <v>217.36988302716159</v>
      </c>
    </row>
    <row r="43" spans="1:36" ht="15">
      <c r="A43" s="8" t="s">
        <v>59</v>
      </c>
      <c r="B43" s="34">
        <v>0</v>
      </c>
      <c r="C43" s="331">
        <f>C8*Inputs!$C$53</f>
        <v>2349.48</v>
      </c>
      <c r="D43" s="331">
        <f>D8*Inputs!$C$53</f>
        <v>2609.46</v>
      </c>
      <c r="E43" s="331">
        <f>E8*Inputs!$C$53</f>
        <v>2407.4947003364564</v>
      </c>
      <c r="F43" s="331">
        <f>F8*Inputs!$C$53</f>
        <v>2385.26589214264</v>
      </c>
      <c r="G43" s="331">
        <f>G8*Inputs!$C$53</f>
        <v>2347.1744056419175</v>
      </c>
      <c r="H43" s="14">
        <f>H8*Inputs!$C$53</f>
        <v>2354.1403377450956</v>
      </c>
      <c r="I43" s="14">
        <f>I8*Inputs!$C$53</f>
        <v>2443.51148511987</v>
      </c>
      <c r="J43" s="14">
        <f>J8*Inputs!$C$53</f>
        <v>2547.03437389392</v>
      </c>
      <c r="K43" s="14">
        <f>K8*Inputs!$C$53</f>
        <v>2647.6607215129156</v>
      </c>
      <c r="L43" s="14">
        <f>L8*Inputs!$C$53</f>
        <v>2725.7932060049811</v>
      </c>
      <c r="M43" s="14">
        <f>M8*Inputs!$C$53</f>
        <v>2739.4435922039365</v>
      </c>
      <c r="N43" s="190">
        <f>N8*Inputs!$C$53</f>
        <v>2739.4436607762723</v>
      </c>
      <c r="O43" s="14">
        <f>O8*Inputs!$C$53</f>
        <v>2739.4436607762723</v>
      </c>
      <c r="P43" s="14">
        <f>P8*Inputs!$C$53</f>
        <v>2739.4436379188273</v>
      </c>
      <c r="Q43" s="14">
        <f>Q8*Inputs!$C$53</f>
        <v>2739.4436607762723</v>
      </c>
      <c r="R43" s="14">
        <f>R8*Inputs!$C$53</f>
        <v>2739.4435922039365</v>
      </c>
      <c r="S43" s="14">
        <f>S8*Inputs!$C$53</f>
        <v>2739.4491351343677</v>
      </c>
      <c r="T43" s="14">
        <f>T8*Inputs!$C$53</f>
        <v>2739.4436379188273</v>
      </c>
      <c r="U43" s="14">
        <f>U8*Inputs!$C$53</f>
        <v>2739.4436150613824</v>
      </c>
      <c r="V43" s="14">
        <f>V8*Inputs!$C$53</f>
        <v>2739.4436150613824</v>
      </c>
      <c r="W43" s="14">
        <f>W8*Inputs!$C$53</f>
        <v>2739.4436607762723</v>
      </c>
      <c r="X43" s="187">
        <f>X8*Inputs!$C$53</f>
        <v>2739.4436150613824</v>
      </c>
      <c r="Y43" s="14">
        <f>Y8*Inputs!$C$53</f>
        <v>2739.4436150613824</v>
      </c>
      <c r="Z43" s="14">
        <f>Z8*Inputs!$C$53</f>
        <v>2739.4436379188273</v>
      </c>
      <c r="AA43" s="14">
        <f>AA8*Inputs!$C$53</f>
        <v>2739.4435807752143</v>
      </c>
      <c r="AB43" s="14">
        <f>AB8*Inputs!$C$53</f>
        <v>2739.4436150613824</v>
      </c>
      <c r="AC43" s="14">
        <f>AC8*Inputs!$C$53</f>
        <v>2739.4436607762723</v>
      </c>
      <c r="AD43" s="14">
        <f>AD8*Inputs!$C$53</f>
        <v>2739.4436607762723</v>
      </c>
      <c r="AE43" s="14">
        <f>AE8*Inputs!$C$53</f>
        <v>2739.4436607762723</v>
      </c>
      <c r="AF43" s="14">
        <f>AF8*Inputs!$C$53</f>
        <v>2739.4436607762723</v>
      </c>
      <c r="AG43" s="14">
        <f>AG8*Inputs!$C$53</f>
        <v>2739.4436150613824</v>
      </c>
      <c r="AH43" s="14">
        <f>AH8*Inputs!$C$53</f>
        <v>2739.4436150613824</v>
      </c>
    </row>
    <row r="44" spans="1:36" ht="15">
      <c r="A44" s="8" t="s">
        <v>121</v>
      </c>
      <c r="B44" s="34">
        <v>1</v>
      </c>
      <c r="C44" s="331">
        <f>C10*Inputs!$C$46</f>
        <v>482.37</v>
      </c>
      <c r="D44" s="331">
        <f>D10*Inputs!$C$46</f>
        <v>502.53</v>
      </c>
      <c r="E44" s="331">
        <f>E10*Inputs!$C$46</f>
        <v>575.85715220357213</v>
      </c>
      <c r="F44" s="331">
        <f>F10*Inputs!$C$46</f>
        <v>556.08225085253241</v>
      </c>
      <c r="G44" s="331">
        <f>G10*Inputs!$C$46</f>
        <v>615.95097892706838</v>
      </c>
      <c r="H44" s="14">
        <f>H10*Inputs!$C$46</f>
        <v>633.72964849812718</v>
      </c>
      <c r="I44" s="14">
        <f>I10*Inputs!$C$46</f>
        <v>656.99706924326154</v>
      </c>
      <c r="J44" s="14">
        <f>J10*Inputs!$C$46</f>
        <v>695.14144123628466</v>
      </c>
      <c r="K44" s="14">
        <f>K10*Inputs!$C$46</f>
        <v>753.87576806324444</v>
      </c>
      <c r="L44" s="14">
        <f>L10*Inputs!$C$46</f>
        <v>787.62375243535871</v>
      </c>
      <c r="M44" s="14">
        <f>M10*Inputs!$C$46</f>
        <v>819.27362815854781</v>
      </c>
      <c r="N44" s="190">
        <f>N10*Inputs!$C$46</f>
        <v>859.56492801114371</v>
      </c>
      <c r="O44" s="14">
        <f>O10*Inputs!$C$46</f>
        <v>921.75312729590792</v>
      </c>
      <c r="P44" s="14">
        <f>P10*Inputs!$C$46</f>
        <v>963.9432902265853</v>
      </c>
      <c r="Q44" s="14">
        <f>Q10*Inputs!$C$46</f>
        <v>1084.918719871237</v>
      </c>
      <c r="R44" s="14">
        <f>R10*Inputs!$C$46</f>
        <v>1132.0680206765796</v>
      </c>
      <c r="S44" s="14">
        <f>S10*Inputs!$C$46</f>
        <v>1278.3033267748049</v>
      </c>
      <c r="T44" s="14">
        <f>T10*Inputs!$C$46</f>
        <v>1321.319023713475</v>
      </c>
      <c r="U44" s="14">
        <f>U10*Inputs!$C$46</f>
        <v>1350.605618090282</v>
      </c>
      <c r="V44" s="14">
        <f>V10*Inputs!$C$46</f>
        <v>1377.9197159939426</v>
      </c>
      <c r="W44" s="14">
        <f>W10*Inputs!$C$46</f>
        <v>1543.258437741584</v>
      </c>
      <c r="X44" s="187">
        <f>X10*Inputs!$C$46</f>
        <v>1568.3349435373259</v>
      </c>
      <c r="Y44" s="14">
        <f>Y10*Inputs!$C$46</f>
        <v>1589.3415377751571</v>
      </c>
      <c r="Z44" s="14">
        <f>Z10*Inputs!$C$46</f>
        <v>1605.1071373696657</v>
      </c>
      <c r="AA44" s="14">
        <f>AA10*Inputs!$C$46</f>
        <v>1626.2411547563615</v>
      </c>
      <c r="AB44" s="14">
        <f>AB10*Inputs!$C$46</f>
        <v>1650.5470722381783</v>
      </c>
      <c r="AC44" s="14">
        <f>AC10*Inputs!$C$46</f>
        <v>1671.2741601192301</v>
      </c>
      <c r="AD44" s="14">
        <f>AD10*Inputs!$C$46</f>
        <v>1700.1340584118134</v>
      </c>
      <c r="AE44" s="14">
        <f>AE10*Inputs!$C$46</f>
        <v>1731.2981309717456</v>
      </c>
      <c r="AF44" s="14">
        <f>AF10*Inputs!$C$46</f>
        <v>1767.1844892454499</v>
      </c>
      <c r="AG44" s="14">
        <f>AG10*Inputs!$C$46</f>
        <v>1804.5639370318606</v>
      </c>
      <c r="AH44" s="14">
        <f>AH10*Inputs!$C$46</f>
        <v>1838.2096206902654</v>
      </c>
    </row>
    <row r="45" spans="1:36" ht="15">
      <c r="A45" s="8" t="s">
        <v>50</v>
      </c>
      <c r="B45" s="34">
        <v>1</v>
      </c>
      <c r="C45" s="331">
        <f>C11*Inputs!$C$49</f>
        <v>0</v>
      </c>
      <c r="D45" s="331">
        <f>D11*Inputs!$C$49</f>
        <v>0</v>
      </c>
      <c r="E45" s="331">
        <f>E11*Inputs!$C$49</f>
        <v>1.00297075E-3</v>
      </c>
      <c r="F45" s="331">
        <f>F11*Inputs!$C$49</f>
        <v>9.3954974999999996E-4</v>
      </c>
      <c r="G45" s="331">
        <f>G11*Inputs!$C$49</f>
        <v>1.0272635E-3</v>
      </c>
      <c r="H45" s="14">
        <f>H11*Inputs!$C$49</f>
        <v>1.0272674999999998E-3</v>
      </c>
      <c r="I45" s="14">
        <f>I11*Inputs!$C$49</f>
        <v>1.0269494999999998E-3</v>
      </c>
      <c r="J45" s="14">
        <f>J11*Inputs!$C$49</f>
        <v>1.0250292499999999E-3</v>
      </c>
      <c r="K45" s="14">
        <f>K11*Inputs!$C$49</f>
        <v>1.1269452499999997E-3</v>
      </c>
      <c r="L45" s="14">
        <f>L11*Inputs!$C$49</f>
        <v>1.2252369999999999E-3</v>
      </c>
      <c r="M45" s="14">
        <f>M11*Inputs!$C$49</f>
        <v>1.2289159999999998E-3</v>
      </c>
      <c r="N45" s="190">
        <f>N11*Inputs!$C$49</f>
        <v>1.22858325E-3</v>
      </c>
      <c r="O45" s="14">
        <f>O11*Inputs!$C$49</f>
        <v>1.228306E-3</v>
      </c>
      <c r="P45" s="14">
        <f>P11*Inputs!$C$49</f>
        <v>1.2299374999999999E-3</v>
      </c>
      <c r="Q45" s="14">
        <f>Q11*Inputs!$C$49</f>
        <v>1.2321999999999999E-3</v>
      </c>
      <c r="R45" s="14">
        <f>R11*Inputs!$C$49</f>
        <v>1.2311885E-3</v>
      </c>
      <c r="S45" s="14">
        <f>S11*Inputs!$C$49</f>
        <v>1.2321679999999998E-3</v>
      </c>
      <c r="T45" s="14">
        <f>T11*Inputs!$C$49</f>
        <v>1.2318857500000001E-3</v>
      </c>
      <c r="U45" s="14">
        <f>U11*Inputs!$C$49</f>
        <v>1.3275494999999999E-3</v>
      </c>
      <c r="V45" s="14">
        <f>V11*Inputs!$C$49</f>
        <v>1.3875325000000001E-3</v>
      </c>
      <c r="W45" s="14">
        <f>W11*Inputs!$C$49</f>
        <v>1.3930049999999999E-3</v>
      </c>
      <c r="X45" s="187">
        <f>X11*Inputs!$C$49</f>
        <v>1.4573519999999999E-3</v>
      </c>
      <c r="Y45" s="14">
        <f>Y11*Inputs!$C$49</f>
        <v>1.5117932499999999E-3</v>
      </c>
      <c r="Z45" s="14">
        <f>Z11*Inputs!$C$49</f>
        <v>1.5111339999999999E-3</v>
      </c>
      <c r="AA45" s="14">
        <f>AA11*Inputs!$C$49</f>
        <v>1.5105322499999998E-3</v>
      </c>
      <c r="AB45" s="14">
        <f>AB11*Inputs!$C$49</f>
        <v>1.5099499999999999E-3</v>
      </c>
      <c r="AC45" s="14">
        <f>AC11*Inputs!$C$49</f>
        <v>1.5093909999999999E-3</v>
      </c>
      <c r="AD45" s="14">
        <f>AD11*Inputs!$C$49</f>
        <v>1.50885075E-3</v>
      </c>
      <c r="AE45" s="14">
        <f>AE11*Inputs!$C$49</f>
        <v>1.50833075E-3</v>
      </c>
      <c r="AF45" s="14">
        <f>AF11*Inputs!$C$49</f>
        <v>1.50783775E-3</v>
      </c>
      <c r="AG45" s="14">
        <f>AG11*Inputs!$C$49</f>
        <v>1.5073494999999998E-3</v>
      </c>
      <c r="AH45" s="14">
        <f>AH11*Inputs!$C$49</f>
        <v>1.5068957499999999E-3</v>
      </c>
    </row>
    <row r="46" spans="1:36" ht="15">
      <c r="A46" s="8" t="s">
        <v>51</v>
      </c>
      <c r="B46" s="34">
        <v>1</v>
      </c>
      <c r="C46" s="331">
        <f>C12*Inputs!$C$52</f>
        <v>0</v>
      </c>
      <c r="D46" s="331">
        <f>D12*Inputs!$C$52</f>
        <v>0</v>
      </c>
      <c r="E46" s="331">
        <f>E12*Inputs!$C$52</f>
        <v>2.0090294999999998E-4</v>
      </c>
      <c r="F46" s="331">
        <f>F12*Inputs!$C$52</f>
        <v>2.0802599999999996E-4</v>
      </c>
      <c r="G46" s="331">
        <f>G12*Inputs!$C$52</f>
        <v>1.6920164999999999E-4</v>
      </c>
      <c r="H46" s="14">
        <f>H12*Inputs!$C$52</f>
        <v>1.8206624999999999E-4</v>
      </c>
      <c r="I46" s="14">
        <f>I12*Inputs!$C$52</f>
        <v>1.6665284999999995E-4</v>
      </c>
      <c r="J46" s="14">
        <f>J12*Inputs!$C$52</f>
        <v>1.9495439999999998E-4</v>
      </c>
      <c r="K46" s="14">
        <f>K12*Inputs!$C$52</f>
        <v>1.9629164999999997E-4</v>
      </c>
      <c r="L46" s="14">
        <f>L12*Inputs!$C$52</f>
        <v>1.9632479999999997E-4</v>
      </c>
      <c r="M46" s="14">
        <f>M12*Inputs!$C$52</f>
        <v>1.9503659999999998E-4</v>
      </c>
      <c r="N46" s="190">
        <f>N12*Inputs!$C$52</f>
        <v>1.9497945000000001E-4</v>
      </c>
      <c r="O46" s="14">
        <f>O12*Inputs!$C$52</f>
        <v>1.9494554999999997E-4</v>
      </c>
      <c r="P46" s="14">
        <f>P12*Inputs!$C$52</f>
        <v>1.9620314999999999E-4</v>
      </c>
      <c r="Q46" s="14">
        <f>Q12*Inputs!$C$52</f>
        <v>1.9488419999999995E-4</v>
      </c>
      <c r="R46" s="14">
        <f>R12*Inputs!$C$52</f>
        <v>1.948548E-4</v>
      </c>
      <c r="S46" s="14">
        <f>S12*Inputs!$C$52</f>
        <v>1.9611524999999997E-4</v>
      </c>
      <c r="T46" s="14">
        <f>T12*Inputs!$C$52</f>
        <v>1.9269555E-4</v>
      </c>
      <c r="U46" s="14">
        <f>U12*Inputs!$C$52</f>
        <v>1.9471544999999997E-4</v>
      </c>
      <c r="V46" s="14">
        <f>V12*Inputs!$C$52</f>
        <v>1.946556E-4</v>
      </c>
      <c r="W46" s="14">
        <f>W12*Inputs!$C$52</f>
        <v>1.9458659999999997E-4</v>
      </c>
      <c r="X46" s="187">
        <f>X12*Inputs!$C$52</f>
        <v>1.9451219999999997E-4</v>
      </c>
      <c r="Y46" s="14">
        <f>Y12*Inputs!$C$52</f>
        <v>1.9443809999999999E-4</v>
      </c>
      <c r="Z46" s="14">
        <f>Z12*Inputs!$C$52</f>
        <v>1.9566884999999996E-4</v>
      </c>
      <c r="AA46" s="14">
        <f>AA12*Inputs!$C$52</f>
        <v>1.9742565000000002E-4</v>
      </c>
      <c r="AB46" s="14">
        <f>AB12*Inputs!$C$52</f>
        <v>2.0003789999999998E-4</v>
      </c>
      <c r="AC46" s="14">
        <f>AC12*Inputs!$C$52</f>
        <v>1.9998645E-4</v>
      </c>
      <c r="AD46" s="14">
        <f>AD12*Inputs!$C$52</f>
        <v>1.9993604999999999E-4</v>
      </c>
      <c r="AE46" s="14">
        <f>AE12*Inputs!$C$52</f>
        <v>2.0372384999999997E-4</v>
      </c>
      <c r="AF46" s="14">
        <f>AF12*Inputs!$C$52</f>
        <v>2.0368499999999997E-4</v>
      </c>
      <c r="AG46" s="14">
        <f>AG12*Inputs!$C$52</f>
        <v>2.0364330000000001E-4</v>
      </c>
      <c r="AH46" s="14">
        <f>AH12*Inputs!$C$52</f>
        <v>2.0360204999999993E-4</v>
      </c>
    </row>
    <row r="47" spans="1:36" ht="15">
      <c r="A47" s="8" t="s">
        <v>347</v>
      </c>
      <c r="B47" s="34">
        <v>1</v>
      </c>
      <c r="C47" s="331">
        <f>C13*Inputs!$C$54</f>
        <v>0</v>
      </c>
      <c r="D47" s="331">
        <f>D13*Inputs!$C$54</f>
        <v>0</v>
      </c>
      <c r="E47" s="331">
        <f>E13*Inputs!$C$54</f>
        <v>0.15800000000000003</v>
      </c>
      <c r="F47" s="331">
        <f>F13*Inputs!$C$54</f>
        <v>0.15800000000000003</v>
      </c>
      <c r="G47" s="331">
        <f>G13*Inputs!$C$54</f>
        <v>0.15800000000000003</v>
      </c>
      <c r="H47" s="14">
        <f>H13*Inputs!$C$54</f>
        <v>0.15800000000000003</v>
      </c>
      <c r="I47" s="14">
        <f>I13*Inputs!$C$54</f>
        <v>0.15800000000000003</v>
      </c>
      <c r="J47" s="14">
        <f>J13*Inputs!$C$54</f>
        <v>0.15800000000000003</v>
      </c>
      <c r="K47" s="14">
        <f>K13*Inputs!$C$54</f>
        <v>0.15800000000000003</v>
      </c>
      <c r="L47" s="14">
        <f>L13*Inputs!$C$54</f>
        <v>0.15800000000000003</v>
      </c>
      <c r="M47" s="14">
        <f>M13*Inputs!$C$54</f>
        <v>0.15800000000000003</v>
      </c>
      <c r="N47" s="190">
        <f>N13*Inputs!$C$54</f>
        <v>0.15800000000000003</v>
      </c>
      <c r="O47" s="14">
        <f>O13*Inputs!$C$54</f>
        <v>0.15800000000000003</v>
      </c>
      <c r="P47" s="14">
        <f>P13*Inputs!$C$54</f>
        <v>0.15800000000000003</v>
      </c>
      <c r="Q47" s="14">
        <f>Q13*Inputs!$C$54</f>
        <v>0.15800000000000003</v>
      </c>
      <c r="R47" s="14">
        <f>R13*Inputs!$C$54</f>
        <v>0.15800000000000003</v>
      </c>
      <c r="S47" s="14">
        <f>S13*Inputs!$C$54</f>
        <v>0.15800000000000003</v>
      </c>
      <c r="T47" s="14">
        <f>T13*Inputs!$C$54</f>
        <v>0.15800000000000003</v>
      </c>
      <c r="U47" s="14">
        <f>U13*Inputs!$C$54</f>
        <v>0.15800000000000003</v>
      </c>
      <c r="V47" s="14">
        <f>V13*Inputs!$C$54</f>
        <v>0.15800000000000003</v>
      </c>
      <c r="W47" s="14">
        <f>W13*Inputs!$C$54</f>
        <v>0.15800000000000003</v>
      </c>
      <c r="X47" s="187">
        <f>X13*Inputs!$C$54</f>
        <v>0.15800000000000003</v>
      </c>
      <c r="Y47" s="14">
        <f>Y13*Inputs!$C$54</f>
        <v>0.15800000000000003</v>
      </c>
      <c r="Z47" s="14">
        <f>Z13*Inputs!$C$54</f>
        <v>0.15800000000000003</v>
      </c>
      <c r="AA47" s="14">
        <f>AA13*Inputs!$C$54</f>
        <v>0.15800000000000003</v>
      </c>
      <c r="AB47" s="14">
        <f>AB13*Inputs!$C$54</f>
        <v>0.15800000000000003</v>
      </c>
      <c r="AC47" s="14">
        <f>AC13*Inputs!$C$54</f>
        <v>0.15800000000000003</v>
      </c>
      <c r="AD47" s="14">
        <f>AD13*Inputs!$C$54</f>
        <v>0.15800000000000003</v>
      </c>
      <c r="AE47" s="14">
        <f>AE13*Inputs!$C$54</f>
        <v>0.15800000000000003</v>
      </c>
      <c r="AF47" s="14">
        <f>AF13*Inputs!$C$54</f>
        <v>0.15800000000000003</v>
      </c>
      <c r="AG47" s="14">
        <f>AG13*Inputs!$C$54</f>
        <v>0.15800000000000003</v>
      </c>
      <c r="AH47" s="14">
        <f>AH13*Inputs!$C$54</f>
        <v>0</v>
      </c>
    </row>
    <row r="48" spans="1:36" ht="15">
      <c r="A48" s="8" t="s">
        <v>348</v>
      </c>
      <c r="B48" s="34">
        <v>1</v>
      </c>
      <c r="C48" s="331">
        <f>C14*Inputs!$C$55</f>
        <v>0</v>
      </c>
      <c r="D48" s="331">
        <f>D14*Inputs!$C$55</f>
        <v>0</v>
      </c>
      <c r="E48" s="331">
        <f>E14*Inputs!$C$55</f>
        <v>2.3000000000000003E-2</v>
      </c>
      <c r="F48" s="331">
        <f>F14*Inputs!$C$55</f>
        <v>2.3000000000000003E-2</v>
      </c>
      <c r="G48" s="331">
        <f>G14*Inputs!$C$55</f>
        <v>2.3000000000000003E-2</v>
      </c>
      <c r="H48" s="14">
        <f>H14*Inputs!$C$55</f>
        <v>2.3000000000000003E-2</v>
      </c>
      <c r="I48" s="14">
        <f>I14*Inputs!$C$55</f>
        <v>2.3000000000000003E-2</v>
      </c>
      <c r="J48" s="14">
        <f>J14*Inputs!$C$55</f>
        <v>2.3000000000000003E-2</v>
      </c>
      <c r="K48" s="14">
        <f>K14*Inputs!$C$55</f>
        <v>2.3000000000000003E-2</v>
      </c>
      <c r="L48" s="14">
        <f>L14*Inputs!$C$55</f>
        <v>2.3000000000000003E-2</v>
      </c>
      <c r="M48" s="14">
        <f>M14*Inputs!$C$55</f>
        <v>2.3000000000000003E-2</v>
      </c>
      <c r="N48" s="190">
        <f>N14*Inputs!$C$55</f>
        <v>2.3000000000000003E-2</v>
      </c>
      <c r="O48" s="14">
        <f>O14*Inputs!$C$55</f>
        <v>2.3000000000000003E-2</v>
      </c>
      <c r="P48" s="14">
        <f>P14*Inputs!$C$55</f>
        <v>2.3000000000000003E-2</v>
      </c>
      <c r="Q48" s="14">
        <f>Q14*Inputs!$C$55</f>
        <v>2.3000000000000003E-2</v>
      </c>
      <c r="R48" s="14">
        <f>R14*Inputs!$C$55</f>
        <v>2.3000000000000003E-2</v>
      </c>
      <c r="S48" s="14">
        <f>S14*Inputs!$C$55</f>
        <v>2.3000000000000003E-2</v>
      </c>
      <c r="T48" s="14">
        <f>T14*Inputs!$C$55</f>
        <v>2.3000000000000003E-2</v>
      </c>
      <c r="U48" s="14">
        <f>U14*Inputs!$C$55</f>
        <v>2.3000000000000003E-2</v>
      </c>
      <c r="V48" s="14">
        <f>V14*Inputs!$C$55</f>
        <v>2.3000000000000003E-2</v>
      </c>
      <c r="W48" s="14">
        <f>W14*Inputs!$C$55</f>
        <v>2.3000000000000003E-2</v>
      </c>
      <c r="X48" s="187">
        <f>X14*Inputs!$C$55</f>
        <v>2.3000000000000003E-2</v>
      </c>
      <c r="Y48" s="14">
        <f>Y14*Inputs!$C$55</f>
        <v>2.3000000000000003E-2</v>
      </c>
      <c r="Z48" s="14">
        <f>Z14*Inputs!$C$55</f>
        <v>2.3000000000000003E-2</v>
      </c>
      <c r="AA48" s="14">
        <f>AA14*Inputs!$C$55</f>
        <v>2.3000000000000003E-2</v>
      </c>
      <c r="AB48" s="14">
        <f>AB14*Inputs!$C$55</f>
        <v>2.3000000000000003E-2</v>
      </c>
      <c r="AC48" s="14">
        <f>AC14*Inputs!$C$55</f>
        <v>2.3000000000000003E-2</v>
      </c>
      <c r="AD48" s="14">
        <f>AD14*Inputs!$C$55</f>
        <v>2.3000000000000003E-2</v>
      </c>
      <c r="AE48" s="14">
        <f>AE14*Inputs!$C$55</f>
        <v>2.3000000000000003E-2</v>
      </c>
      <c r="AF48" s="14">
        <f>AF14*Inputs!$C$55</f>
        <v>2.3000000000000003E-2</v>
      </c>
      <c r="AG48" s="14">
        <f>AG14*Inputs!$C$55</f>
        <v>2.3000000000000003E-2</v>
      </c>
      <c r="AH48" s="14">
        <f>AH14*Inputs!$C$55</f>
        <v>2.3000000000000003E-2</v>
      </c>
    </row>
    <row r="49" spans="1:34" ht="15">
      <c r="A49" s="8" t="s">
        <v>344</v>
      </c>
      <c r="B49" s="34">
        <v>1</v>
      </c>
      <c r="C49" s="331">
        <f>C15*Inputs!$C$51</f>
        <v>2.7000000000000001E-3</v>
      </c>
      <c r="D49" s="331">
        <f>D15*Inputs!$C$51</f>
        <v>2.7000000000000001E-3</v>
      </c>
      <c r="E49" s="331">
        <f>E15*Inputs!$C$51</f>
        <v>2.7000000000000001E-3</v>
      </c>
      <c r="F49" s="331">
        <f>F15*Inputs!$C$51</f>
        <v>2.7000000000000001E-3</v>
      </c>
      <c r="G49" s="331">
        <f>G15*Inputs!$C$51</f>
        <v>2.7000000000000001E-3</v>
      </c>
      <c r="H49" s="14">
        <f>H15*Inputs!$C$51</f>
        <v>2.7000000000000001E-3</v>
      </c>
      <c r="I49" s="14">
        <f>I15*Inputs!$C$51</f>
        <v>2.7000000000000001E-3</v>
      </c>
      <c r="J49" s="14">
        <f>J15*Inputs!$C$51</f>
        <v>2.7000000000000001E-3</v>
      </c>
      <c r="K49" s="14">
        <f>K15*Inputs!$C$51</f>
        <v>2.7000000000000001E-3</v>
      </c>
      <c r="L49" s="14">
        <f>L15*Inputs!$C$51</f>
        <v>2.7000000000000001E-3</v>
      </c>
      <c r="M49" s="14">
        <f>M15*Inputs!$C$51</f>
        <v>2.7000000000000001E-3</v>
      </c>
      <c r="N49" s="190">
        <f>N15*Inputs!$C$51</f>
        <v>2.7000000000000001E-3</v>
      </c>
      <c r="O49" s="14">
        <f>O15*Inputs!$C$51</f>
        <v>2.7000000000000001E-3</v>
      </c>
      <c r="P49" s="14">
        <f>P15*Inputs!$C$51</f>
        <v>2.7000000000000001E-3</v>
      </c>
      <c r="Q49" s="14">
        <f>Q15*Inputs!$C$51</f>
        <v>2.7000000000000001E-3</v>
      </c>
      <c r="R49" s="14">
        <f>R15*Inputs!$C$51</f>
        <v>2.7000000000000001E-3</v>
      </c>
      <c r="S49" s="14">
        <f>S15*Inputs!$C$51</f>
        <v>2.7000000000000001E-3</v>
      </c>
      <c r="T49" s="14">
        <f>T15*Inputs!$C$51</f>
        <v>2.7000000000000001E-3</v>
      </c>
      <c r="U49" s="14">
        <f>U15*Inputs!$C$51</f>
        <v>2.7000000000000001E-3</v>
      </c>
      <c r="V49" s="14">
        <f>V15*Inputs!$C$51</f>
        <v>2.7000000000000001E-3</v>
      </c>
      <c r="W49" s="14">
        <f>W15*Inputs!$C$51</f>
        <v>2.7000000000000001E-3</v>
      </c>
      <c r="X49" s="187">
        <f>X15*Inputs!$C$51</f>
        <v>2.7000000000000001E-3</v>
      </c>
      <c r="Y49" s="14">
        <f>Y15*Inputs!$C$51</f>
        <v>2.7000000000000001E-3</v>
      </c>
      <c r="Z49" s="14">
        <f>Z15*Inputs!$C$51</f>
        <v>2.7000000000000001E-3</v>
      </c>
      <c r="AA49" s="14">
        <f>AA15*Inputs!$C$51</f>
        <v>2.7000000000000001E-3</v>
      </c>
      <c r="AB49" s="14">
        <f>AB15*Inputs!$C$51</f>
        <v>2.7000000000000001E-3</v>
      </c>
      <c r="AC49" s="14">
        <f>AC15*Inputs!$C$51</f>
        <v>2.7000000000000001E-3</v>
      </c>
      <c r="AD49" s="14">
        <f>AD15*Inputs!$C$51</f>
        <v>2.7000000000000001E-3</v>
      </c>
      <c r="AE49" s="14">
        <f>AE15*Inputs!$C$51</f>
        <v>2.7000000000000001E-3</v>
      </c>
      <c r="AF49" s="14">
        <f>AF15*Inputs!$C$51</f>
        <v>2.7000000000000001E-3</v>
      </c>
      <c r="AG49" s="14">
        <f>AG15*Inputs!$C$51</f>
        <v>2.7000000000000001E-3</v>
      </c>
      <c r="AH49" s="14">
        <f>AH15*Inputs!$C$51</f>
        <v>2.7000000000000001E-3</v>
      </c>
    </row>
    <row r="50" spans="1:34" ht="15">
      <c r="A50" s="8" t="s">
        <v>53</v>
      </c>
      <c r="B50" s="34">
        <v>1</v>
      </c>
      <c r="C50" s="331">
        <f>C16*Inputs!$C$57</f>
        <v>0</v>
      </c>
      <c r="D50" s="331">
        <f>D16*Inputs!$C$57</f>
        <v>0</v>
      </c>
      <c r="E50" s="331">
        <f>E16*Inputs!$C$57</f>
        <v>6.6272665700000018E-4</v>
      </c>
      <c r="F50" s="331">
        <f>F16*Inputs!$C$57</f>
        <v>7.4130069100000002E-4</v>
      </c>
      <c r="G50" s="331">
        <f>G16*Inputs!$C$57</f>
        <v>7.9527526599999982E-4</v>
      </c>
      <c r="H50" s="14">
        <f>H16*Inputs!$C$57</f>
        <v>7.9969280100000001E-4</v>
      </c>
      <c r="I50" s="14">
        <f>I16*Inputs!$C$57</f>
        <v>1.0093402180000001E-3</v>
      </c>
      <c r="J50" s="14">
        <f>J16*Inputs!$C$57</f>
        <v>1.1454708799999999E-3</v>
      </c>
      <c r="K50" s="14">
        <f>K16*Inputs!$C$57</f>
        <v>1.1454764899999999E-3</v>
      </c>
      <c r="L50" s="14">
        <f>L16*Inputs!$C$57</f>
        <v>1.1453096179999999E-3</v>
      </c>
      <c r="M50" s="14">
        <f>M16*Inputs!$C$57</f>
        <v>1.1455216589999998E-3</v>
      </c>
      <c r="N50" s="190">
        <f>N16*Inputs!$C$57</f>
        <v>1.14558733E-3</v>
      </c>
      <c r="O50" s="14">
        <f>O16*Inputs!$C$57</f>
        <v>1.145695586E-3</v>
      </c>
      <c r="P50" s="14">
        <f>P16*Inputs!$C$57</f>
        <v>1.1461589209999998E-3</v>
      </c>
      <c r="Q50" s="14">
        <f>Q16*Inputs!$C$57</f>
        <v>1.1460332230000001E-3</v>
      </c>
      <c r="R50" s="14">
        <f>R16*Inputs!$C$57</f>
        <v>1.145965614E-3</v>
      </c>
      <c r="S50" s="14">
        <f>S16*Inputs!$C$57</f>
        <v>1.1459047370000002E-3</v>
      </c>
      <c r="T50" s="14">
        <f>T16*Inputs!$C$57</f>
        <v>1.1460557820000001E-3</v>
      </c>
      <c r="U50" s="14">
        <f>U16*Inputs!$C$57</f>
        <v>1.1463305869999999E-3</v>
      </c>
      <c r="V50" s="14">
        <f>V16*Inputs!$C$57</f>
        <v>1.146289974E-3</v>
      </c>
      <c r="W50" s="14">
        <f>W16*Inputs!$C$57</f>
        <v>1.147510319E-3</v>
      </c>
      <c r="X50" s="187">
        <f>X16*Inputs!$C$57</f>
        <v>1.1490957559999999E-3</v>
      </c>
      <c r="Y50" s="14">
        <f>Y16*Inputs!$C$57</f>
        <v>1.1507789770000001E-3</v>
      </c>
      <c r="Z50" s="14">
        <f>Z16*Inputs!$C$57</f>
        <v>1.152645526E-3</v>
      </c>
      <c r="AA50" s="14">
        <f>AA16*Inputs!$C$57</f>
        <v>1.1548490320000002E-3</v>
      </c>
      <c r="AB50" s="14">
        <f>AB16*Inputs!$C$57</f>
        <v>1.158671261E-3</v>
      </c>
      <c r="AC50" s="14">
        <f>AC16*Inputs!$C$57</f>
        <v>1.160480588E-3</v>
      </c>
      <c r="AD50" s="14">
        <f>AD16*Inputs!$C$57</f>
        <v>1.1605638710000001E-3</v>
      </c>
      <c r="AE50" s="14">
        <f>AE16*Inputs!$C$57</f>
        <v>1.165884939E-3</v>
      </c>
      <c r="AF50" s="14">
        <f>AF16*Inputs!$C$57</f>
        <v>1.169835297E-3</v>
      </c>
      <c r="AG50" s="14">
        <f>AG16*Inputs!$C$57</f>
        <v>1.176551232E-3</v>
      </c>
      <c r="AH50" s="14">
        <f>AH16*Inputs!$C$57</f>
        <v>1.1876314070000001E-3</v>
      </c>
    </row>
    <row r="51" spans="1:34" s="20" customFormat="1" ht="15">
      <c r="A51" s="8" t="s">
        <v>128</v>
      </c>
      <c r="B51" s="38"/>
      <c r="C51" s="334">
        <f t="shared" ref="C51:AH51" si="21">SUMPRODUCT($B42:$B50,C42:C50)</f>
        <v>482.37270000000001</v>
      </c>
      <c r="D51" s="334">
        <f t="shared" si="21"/>
        <v>502.53269999999998</v>
      </c>
      <c r="E51" s="334">
        <f t="shared" si="21"/>
        <v>576.04271880392923</v>
      </c>
      <c r="F51" s="334">
        <f t="shared" si="21"/>
        <v>556.2678397289734</v>
      </c>
      <c r="G51" s="334">
        <f t="shared" si="21"/>
        <v>616.1366706674844</v>
      </c>
      <c r="H51" s="19">
        <f t="shared" si="21"/>
        <v>633.91535752467826</v>
      </c>
      <c r="I51" s="19">
        <f t="shared" si="21"/>
        <v>657.18297218582961</v>
      </c>
      <c r="J51" s="19">
        <f t="shared" si="21"/>
        <v>695.32750669081463</v>
      </c>
      <c r="K51" s="19">
        <f t="shared" si="21"/>
        <v>754.06193677663452</v>
      </c>
      <c r="L51" s="19">
        <f t="shared" si="21"/>
        <v>787.81001930677667</v>
      </c>
      <c r="M51" s="19">
        <f t="shared" si="21"/>
        <v>819.45989763280681</v>
      </c>
      <c r="N51" s="190">
        <f t="shared" si="21"/>
        <v>859.75119716117388</v>
      </c>
      <c r="O51" s="19">
        <f t="shared" si="21"/>
        <v>921.93939624304403</v>
      </c>
      <c r="P51" s="19">
        <f t="shared" si="21"/>
        <v>964.12956252615641</v>
      </c>
      <c r="Q51" s="19">
        <f t="shared" si="21"/>
        <v>1085.1049929886599</v>
      </c>
      <c r="R51" s="19">
        <f t="shared" si="21"/>
        <v>1132.2542926854933</v>
      </c>
      <c r="S51" s="19">
        <f t="shared" si="21"/>
        <v>1278.4896009627917</v>
      </c>
      <c r="T51" s="19">
        <f t="shared" si="21"/>
        <v>1321.5052943505568</v>
      </c>
      <c r="U51" s="19">
        <f t="shared" si="21"/>
        <v>1350.791986685819</v>
      </c>
      <c r="V51" s="19">
        <f t="shared" si="21"/>
        <v>1378.1061444720165</v>
      </c>
      <c r="W51" s="19">
        <f t="shared" si="21"/>
        <v>1543.4448728435027</v>
      </c>
      <c r="X51" s="182">
        <f t="shared" si="21"/>
        <v>1568.5214444972819</v>
      </c>
      <c r="Y51" s="19">
        <f t="shared" si="21"/>
        <v>1589.528094785484</v>
      </c>
      <c r="Z51" s="19">
        <f t="shared" si="21"/>
        <v>1605.2936968180416</v>
      </c>
      <c r="AA51" s="19">
        <f t="shared" si="21"/>
        <v>1626.4277175632933</v>
      </c>
      <c r="AB51" s="19">
        <f t="shared" si="21"/>
        <v>1650.733640897339</v>
      </c>
      <c r="AC51" s="19">
        <f t="shared" si="21"/>
        <v>1671.4607299772679</v>
      </c>
      <c r="AD51" s="19">
        <f t="shared" si="21"/>
        <v>1700.3206277624843</v>
      </c>
      <c r="AE51" s="19">
        <f t="shared" si="21"/>
        <v>1731.4847089112845</v>
      </c>
      <c r="AF51" s="19">
        <f t="shared" si="21"/>
        <v>1767.3710706034969</v>
      </c>
      <c r="AG51" s="19">
        <f t="shared" si="21"/>
        <v>1804.7505245758923</v>
      </c>
      <c r="AH51" s="19">
        <f t="shared" si="21"/>
        <v>1838.2382188194724</v>
      </c>
    </row>
    <row r="52" spans="1:34" s="20" customFormat="1" ht="15">
      <c r="A52" s="27" t="s">
        <v>329</v>
      </c>
      <c r="B52" s="39"/>
      <c r="C52" s="334">
        <f>SUM(C40:C50)</f>
        <v>3017.2511999999997</v>
      </c>
      <c r="D52" s="334">
        <f t="shared" ref="D52:I52" si="22">SUM(D42:D50)</f>
        <v>3278.3411999999998</v>
      </c>
      <c r="E52" s="334">
        <f t="shared" si="22"/>
        <v>3170.6760235306319</v>
      </c>
      <c r="F52" s="334">
        <f t="shared" si="22"/>
        <v>3093.7909449610215</v>
      </c>
      <c r="G52" s="334">
        <f t="shared" si="22"/>
        <v>3156.5838495861126</v>
      </c>
      <c r="H52" s="19">
        <f t="shared" si="22"/>
        <v>3185.9759395087854</v>
      </c>
      <c r="I52" s="19">
        <f t="shared" si="22"/>
        <v>3302.7167049416626</v>
      </c>
      <c r="J52" s="19">
        <f t="shared" ref="J52:AH52" si="23">SUM(J42:J50)</f>
        <v>3447.9284279240892</v>
      </c>
      <c r="K52" s="19">
        <f t="shared" si="23"/>
        <v>3609.6940764056212</v>
      </c>
      <c r="L52" s="19">
        <f t="shared" si="23"/>
        <v>3721.5745390952225</v>
      </c>
      <c r="M52" s="19">
        <f t="shared" si="23"/>
        <v>3766.8748578731634</v>
      </c>
      <c r="N52" s="190">
        <f t="shared" si="23"/>
        <v>3807.1661717209104</v>
      </c>
      <c r="O52" s="19">
        <f t="shared" si="23"/>
        <v>3869.3544208824319</v>
      </c>
      <c r="P52" s="19">
        <f t="shared" si="23"/>
        <v>3911.544418242449</v>
      </c>
      <c r="Q52" s="19">
        <f t="shared" si="23"/>
        <v>4033.6680602547999</v>
      </c>
      <c r="R52" s="19">
        <f t="shared" si="23"/>
        <v>4080.8172079132119</v>
      </c>
      <c r="S52" s="19">
        <f t="shared" si="23"/>
        <v>4227.0581467603324</v>
      </c>
      <c r="T52" s="19">
        <f t="shared" si="23"/>
        <v>4270.5046869370444</v>
      </c>
      <c r="U52" s="19">
        <f t="shared" si="23"/>
        <v>4300.0533439389619</v>
      </c>
      <c r="V52" s="19">
        <f t="shared" si="23"/>
        <v>4328.8506899004078</v>
      </c>
      <c r="W52" s="19">
        <f t="shared" si="23"/>
        <v>4495.6382808278076</v>
      </c>
      <c r="X52" s="182">
        <f t="shared" si="23"/>
        <v>4522.3314488668793</v>
      </c>
      <c r="Y52" s="19">
        <f t="shared" si="23"/>
        <v>4543.338128368212</v>
      </c>
      <c r="Z52" s="19">
        <f t="shared" si="23"/>
        <v>4560.0414571748961</v>
      </c>
      <c r="AA52" s="19">
        <f t="shared" si="23"/>
        <v>4581.1754666828811</v>
      </c>
      <c r="AB52" s="19">
        <f t="shared" si="23"/>
        <v>4605.4814243030942</v>
      </c>
      <c r="AC52" s="19">
        <f t="shared" si="23"/>
        <v>4627.0985037201744</v>
      </c>
      <c r="AD52" s="19">
        <f t="shared" si="23"/>
        <v>4656.5748110705517</v>
      </c>
      <c r="AE52" s="19">
        <f t="shared" si="23"/>
        <v>4687.7389756854373</v>
      </c>
      <c r="AF52" s="19">
        <f t="shared" si="23"/>
        <v>4724.1845977137145</v>
      </c>
      <c r="AG52" s="19">
        <f t="shared" si="23"/>
        <v>4761.5640017979149</v>
      </c>
      <c r="AH52" s="19">
        <f t="shared" si="23"/>
        <v>4795.0517169080167</v>
      </c>
    </row>
    <row r="53" spans="1:34" s="20" customFormat="1" ht="15">
      <c r="A53" s="27" t="s">
        <v>330</v>
      </c>
      <c r="B53" s="39"/>
      <c r="C53" s="334">
        <f>C20*Inputs!$C$60</f>
        <v>2537.37</v>
      </c>
      <c r="D53" s="334">
        <f>D20*Inputs!$C$60</f>
        <v>2631.64</v>
      </c>
      <c r="E53" s="334">
        <f>E20*Inputs!$C$60</f>
        <v>2540.705883799626</v>
      </c>
      <c r="F53" s="334">
        <f>F20*Inputs!$C$60</f>
        <v>2188.8030171322657</v>
      </c>
      <c r="G53" s="334">
        <f>G20*Inputs!$C$60</f>
        <v>2340.4598826125607</v>
      </c>
      <c r="H53" s="19">
        <f>H20*Inputs!$C$60</f>
        <v>2410.9288413034469</v>
      </c>
      <c r="I53" s="19">
        <f>I20*Inputs!$C$60</f>
        <v>2284.7864526375397</v>
      </c>
      <c r="J53" s="19">
        <f>J20*Inputs!$C$60</f>
        <v>2195.238681773767</v>
      </c>
      <c r="K53" s="19">
        <f>K20*Inputs!$C$60</f>
        <v>2310.9929938297842</v>
      </c>
      <c r="L53" s="19">
        <f>L20*Inputs!$C$60</f>
        <v>2352.669052144051</v>
      </c>
      <c r="M53" s="19">
        <f>M20*Inputs!$C$60</f>
        <v>2374.1660529445435</v>
      </c>
      <c r="N53" s="190">
        <f>N20*Inputs!$C$60</f>
        <v>2368.0949411660877</v>
      </c>
      <c r="O53" s="19">
        <f>O20*Inputs!$C$60</f>
        <v>2387.9340956503415</v>
      </c>
      <c r="P53" s="19">
        <f>P20*Inputs!$C$60</f>
        <v>2406.4515644729427</v>
      </c>
      <c r="Q53" s="19">
        <f>Q20*Inputs!$C$60</f>
        <v>2407.4844212851553</v>
      </c>
      <c r="R53" s="19">
        <f>R20*Inputs!$C$60</f>
        <v>2438.6359072754944</v>
      </c>
      <c r="S53" s="19">
        <f>S20*Inputs!$C$60</f>
        <v>2462.6007057288462</v>
      </c>
      <c r="T53" s="19">
        <f>T20*Inputs!$C$60</f>
        <v>2460.8558481212153</v>
      </c>
      <c r="U53" s="19">
        <f>U20*Inputs!$C$60</f>
        <v>2461.3724075748942</v>
      </c>
      <c r="V53" s="19">
        <f>V20*Inputs!$C$60</f>
        <v>2461.0231894261324</v>
      </c>
      <c r="W53" s="19">
        <f>W20*Inputs!$C$60</f>
        <v>2451.9398095565502</v>
      </c>
      <c r="X53" s="182">
        <f>X20*Inputs!$C$60</f>
        <v>2453.9501351726121</v>
      </c>
      <c r="Y53" s="19">
        <f>Y20*Inputs!$C$60</f>
        <v>2452.8605884695976</v>
      </c>
      <c r="Z53" s="19">
        <f>Z20*Inputs!$C$60</f>
        <v>2452.0424434372235</v>
      </c>
      <c r="AA53" s="19">
        <f>AA20*Inputs!$C$60</f>
        <v>2449.5831445416775</v>
      </c>
      <c r="AB53" s="19">
        <f>AB20*Inputs!$C$60</f>
        <v>2447.5665716085605</v>
      </c>
      <c r="AC53" s="19">
        <f>AC20*Inputs!$C$60</f>
        <v>2445.373909407992</v>
      </c>
      <c r="AD53" s="19">
        <f>AD20*Inputs!$C$60</f>
        <v>2443.1981029328758</v>
      </c>
      <c r="AE53" s="19">
        <f>AE20*Inputs!$C$60</f>
        <v>2441.1593163620855</v>
      </c>
      <c r="AF53" s="19">
        <f>AF20*Inputs!$C$60</f>
        <v>2439.1018393998311</v>
      </c>
      <c r="AG53" s="19">
        <f>AG20*Inputs!$C$60</f>
        <v>2439.082478732259</v>
      </c>
      <c r="AH53" s="19">
        <f>AH20*Inputs!$C$60</f>
        <v>2439.0506449137843</v>
      </c>
    </row>
    <row r="54" spans="1:34" s="20" customFormat="1" ht="15">
      <c r="A54" s="27" t="s">
        <v>222</v>
      </c>
      <c r="B54" s="39"/>
      <c r="C54" s="334">
        <f>C21*Inputs!$C$61</f>
        <v>4840.33</v>
      </c>
      <c r="D54" s="334">
        <f>D21*Inputs!$C$61</f>
        <v>5647.84</v>
      </c>
      <c r="E54" s="334">
        <f>E21*Inputs!$C$61</f>
        <v>5090.0413121154643</v>
      </c>
      <c r="F54" s="334">
        <f>F21*Inputs!$C$61</f>
        <v>6051.7177169441275</v>
      </c>
      <c r="G54" s="334">
        <f>G21*Inputs!$C$61</f>
        <v>5402.4702128022136</v>
      </c>
      <c r="H54" s="19">
        <f>H21*Inputs!$C$61</f>
        <v>5149.2098811562691</v>
      </c>
      <c r="I54" s="19">
        <f>I21*Inputs!$C$61</f>
        <v>5555.4605575536334</v>
      </c>
      <c r="J54" s="19">
        <f>J21*Inputs!$C$61</f>
        <v>6062.2679367654664</v>
      </c>
      <c r="K54" s="19">
        <f>K21*Inputs!$C$61</f>
        <v>5790.5045986734376</v>
      </c>
      <c r="L54" s="19">
        <f>L21*Inputs!$C$61</f>
        <v>5720.4652532151267</v>
      </c>
      <c r="M54" s="19">
        <f>M21*Inputs!$C$61</f>
        <v>5814.7629616659597</v>
      </c>
      <c r="N54" s="190">
        <f>N21*Inputs!$C$61</f>
        <v>5991.3701134423645</v>
      </c>
      <c r="O54" s="19">
        <f>O21*Inputs!$C$61</f>
        <v>6082.2946971440333</v>
      </c>
      <c r="P54" s="19">
        <f>P21*Inputs!$C$61</f>
        <v>6210.0796839497261</v>
      </c>
      <c r="Q54" s="19">
        <f>Q21*Inputs!$C$61</f>
        <v>6447.9847360190397</v>
      </c>
      <c r="R54" s="19">
        <f>R21*Inputs!$C$61</f>
        <v>6594.4939650636179</v>
      </c>
      <c r="S54" s="19">
        <f>S21*Inputs!$C$61</f>
        <v>6674.05468523113</v>
      </c>
      <c r="T54" s="19">
        <f>T21*Inputs!$C$61</f>
        <v>6782.1469539220288</v>
      </c>
      <c r="U54" s="19">
        <f>U21*Inputs!$C$61</f>
        <v>6887.6945302683589</v>
      </c>
      <c r="V54" s="19">
        <f>V21*Inputs!$C$61</f>
        <v>7010.9853614155054</v>
      </c>
      <c r="W54" s="19">
        <f>W21*Inputs!$C$61</f>
        <v>7068.6049130358242</v>
      </c>
      <c r="X54" s="182">
        <f>X21*Inputs!$C$61</f>
        <v>7178.5792546548182</v>
      </c>
      <c r="Y54" s="19">
        <f>Y21*Inputs!$C$61</f>
        <v>7225.8003191904645</v>
      </c>
      <c r="Z54" s="19">
        <f>Z21*Inputs!$C$61</f>
        <v>7304.9600621342461</v>
      </c>
      <c r="AA54" s="19">
        <f>AA21*Inputs!$C$61</f>
        <v>7362.1006701429669</v>
      </c>
      <c r="AB54" s="19">
        <f>AB21*Inputs!$C$61</f>
        <v>7441.2477497159462</v>
      </c>
      <c r="AC54" s="19">
        <f>AC21*Inputs!$C$61</f>
        <v>7566.293691164441</v>
      </c>
      <c r="AD54" s="19">
        <f>AD21*Inputs!$C$61</f>
        <v>7678.0700266534095</v>
      </c>
      <c r="AE54" s="19">
        <f>AE21*Inputs!$C$61</f>
        <v>7855.2742671162632</v>
      </c>
      <c r="AF54" s="19">
        <f>AF21*Inputs!$C$61</f>
        <v>8051.7063496830424</v>
      </c>
      <c r="AG54" s="19">
        <f>AG21*Inputs!$C$61</f>
        <v>8204.0084826112579</v>
      </c>
      <c r="AH54" s="19">
        <f>AH21*Inputs!$C$61</f>
        <v>8322.4560361777494</v>
      </c>
    </row>
    <row r="55" spans="1:34" s="20" customFormat="1" ht="15">
      <c r="A55" s="27" t="s">
        <v>58</v>
      </c>
      <c r="B55" s="39"/>
      <c r="C55" s="334">
        <f>SUM(C52:C54)</f>
        <v>10394.9512</v>
      </c>
      <c r="D55" s="334">
        <f t="shared" ref="D55:AH55" si="24">SUM(D52:D54)</f>
        <v>11557.8212</v>
      </c>
      <c r="E55" s="334">
        <f t="shared" si="24"/>
        <v>10801.423219445722</v>
      </c>
      <c r="F55" s="334">
        <f t="shared" si="24"/>
        <v>11334.311679037415</v>
      </c>
      <c r="G55" s="334">
        <f t="shared" si="24"/>
        <v>10899.513945000886</v>
      </c>
      <c r="H55" s="19">
        <f t="shared" si="24"/>
        <v>10746.114661968502</v>
      </c>
      <c r="I55" s="19">
        <f t="shared" si="24"/>
        <v>11142.963715132835</v>
      </c>
      <c r="J55" s="19">
        <f t="shared" si="24"/>
        <v>11705.435046463323</v>
      </c>
      <c r="K55" s="19">
        <f t="shared" si="24"/>
        <v>11711.191668908843</v>
      </c>
      <c r="L55" s="19">
        <f t="shared" si="24"/>
        <v>11794.708844454401</v>
      </c>
      <c r="M55" s="19">
        <f t="shared" si="24"/>
        <v>11955.803872483666</v>
      </c>
      <c r="N55" s="190">
        <f t="shared" si="24"/>
        <v>12166.631226329362</v>
      </c>
      <c r="O55" s="19">
        <f t="shared" si="24"/>
        <v>12339.583213676808</v>
      </c>
      <c r="P55" s="19">
        <f t="shared" si="24"/>
        <v>12528.075666665118</v>
      </c>
      <c r="Q55" s="19">
        <f t="shared" si="24"/>
        <v>12889.137217558995</v>
      </c>
      <c r="R55" s="19">
        <f t="shared" si="24"/>
        <v>13113.947080252325</v>
      </c>
      <c r="S55" s="19">
        <f t="shared" si="24"/>
        <v>13363.713537720309</v>
      </c>
      <c r="T55" s="19">
        <f t="shared" si="24"/>
        <v>13513.507488980289</v>
      </c>
      <c r="U55" s="19">
        <f t="shared" si="24"/>
        <v>13649.120281782216</v>
      </c>
      <c r="V55" s="19">
        <f t="shared" si="24"/>
        <v>13800.859240742046</v>
      </c>
      <c r="W55" s="19">
        <f t="shared" si="24"/>
        <v>14016.183003420181</v>
      </c>
      <c r="X55" s="182">
        <f t="shared" si="24"/>
        <v>14154.860838694309</v>
      </c>
      <c r="Y55" s="19">
        <f t="shared" si="24"/>
        <v>14221.999036028274</v>
      </c>
      <c r="Z55" s="19">
        <f t="shared" si="24"/>
        <v>14317.043962746366</v>
      </c>
      <c r="AA55" s="19">
        <f t="shared" si="24"/>
        <v>14392.859281367526</v>
      </c>
      <c r="AB55" s="19">
        <f t="shared" si="24"/>
        <v>14494.295745627602</v>
      </c>
      <c r="AC55" s="19">
        <f t="shared" si="24"/>
        <v>14638.766104292608</v>
      </c>
      <c r="AD55" s="19">
        <f t="shared" si="24"/>
        <v>14777.842940656838</v>
      </c>
      <c r="AE55" s="19">
        <f t="shared" si="24"/>
        <v>14984.172559163786</v>
      </c>
      <c r="AF55" s="19">
        <f t="shared" si="24"/>
        <v>15214.992786796589</v>
      </c>
      <c r="AG55" s="19">
        <f t="shared" si="24"/>
        <v>15404.654963141431</v>
      </c>
      <c r="AH55" s="19">
        <f t="shared" si="24"/>
        <v>15556.55839799955</v>
      </c>
    </row>
    <row r="57" spans="1:34">
      <c r="A57" s="1" t="s">
        <v>140</v>
      </c>
      <c r="B57" s="13"/>
      <c r="D57" s="333"/>
      <c r="E57" s="333"/>
      <c r="F57" s="333"/>
      <c r="G57" s="333"/>
      <c r="H57" s="16"/>
      <c r="I57" s="16"/>
      <c r="J57" s="16"/>
      <c r="K57" s="16"/>
      <c r="L57" s="16"/>
      <c r="M57" s="16"/>
      <c r="N57" s="389" t="s">
        <v>0</v>
      </c>
    </row>
    <row r="58" spans="1:34" ht="15">
      <c r="A58" s="8" t="s">
        <v>61</v>
      </c>
      <c r="B58" s="34">
        <v>0</v>
      </c>
      <c r="C58" s="331">
        <f>C40*Inputs!$H44</f>
        <v>0</v>
      </c>
      <c r="D58" s="331">
        <f>D40*Inputs!$H44</f>
        <v>0</v>
      </c>
      <c r="E58" s="331">
        <f>E40*Inputs!$H44</f>
        <v>0</v>
      </c>
      <c r="F58" s="331">
        <f>F40*Inputs!$H44</f>
        <v>0</v>
      </c>
      <c r="G58" s="331">
        <f>G40*Inputs!$H44</f>
        <v>0</v>
      </c>
      <c r="H58" s="14">
        <f>H40*Inputs!$H44</f>
        <v>0</v>
      </c>
      <c r="I58" s="14">
        <f>I40*Inputs!$H44</f>
        <v>0</v>
      </c>
      <c r="J58" s="14">
        <f>J40*Inputs!$H44</f>
        <v>0</v>
      </c>
      <c r="K58" s="14">
        <f>K40*Inputs!$H44</f>
        <v>0</v>
      </c>
      <c r="L58" s="14">
        <f>L40*Inputs!$H44</f>
        <v>0</v>
      </c>
      <c r="M58" s="14">
        <f>M40*Inputs!$H44</f>
        <v>0</v>
      </c>
      <c r="N58" s="190">
        <f>N40*Inputs!$H44</f>
        <v>0</v>
      </c>
      <c r="O58" s="14">
        <f>O40*Inputs!$H44</f>
        <v>0</v>
      </c>
      <c r="P58" s="14">
        <f>P40*Inputs!$H44</f>
        <v>0</v>
      </c>
      <c r="Q58" s="14">
        <f>Q40*Inputs!$H44</f>
        <v>0</v>
      </c>
      <c r="R58" s="14">
        <f>R40*Inputs!$H44</f>
        <v>0</v>
      </c>
      <c r="S58" s="14">
        <f>S40*Inputs!$H44</f>
        <v>0</v>
      </c>
      <c r="T58" s="14">
        <f>T40*Inputs!$H44</f>
        <v>0</v>
      </c>
      <c r="U58" s="14">
        <f>U40*Inputs!$H44</f>
        <v>0</v>
      </c>
      <c r="V58" s="14">
        <f>V40*Inputs!$H44</f>
        <v>0</v>
      </c>
      <c r="W58" s="14">
        <f>W40*Inputs!$H44</f>
        <v>0</v>
      </c>
      <c r="X58" s="187">
        <f>X40*Inputs!$H44</f>
        <v>0</v>
      </c>
      <c r="Y58" s="14">
        <f>Y40*Inputs!$H44</f>
        <v>0</v>
      </c>
      <c r="Z58" s="14">
        <f>Z40*Inputs!$H44</f>
        <v>0</v>
      </c>
      <c r="AA58" s="14">
        <f>AA40*Inputs!$H44</f>
        <v>0</v>
      </c>
      <c r="AB58" s="14">
        <f>AB40*Inputs!$H44</f>
        <v>0</v>
      </c>
      <c r="AC58" s="14">
        <f>AC40*Inputs!$H44</f>
        <v>0</v>
      </c>
      <c r="AD58" s="14">
        <f>AD40*Inputs!$H44</f>
        <v>0</v>
      </c>
      <c r="AE58" s="14">
        <f>AE40*Inputs!$H44</f>
        <v>0</v>
      </c>
      <c r="AF58" s="14">
        <f>AF40*Inputs!$H44</f>
        <v>0</v>
      </c>
      <c r="AG58" s="14">
        <f>AG40*Inputs!$H44</f>
        <v>0</v>
      </c>
      <c r="AH58" s="14">
        <f>AH40*Inputs!$H44</f>
        <v>0</v>
      </c>
    </row>
    <row r="59" spans="1:34" ht="15">
      <c r="A59" s="8" t="s">
        <v>60</v>
      </c>
      <c r="B59" s="34">
        <v>0</v>
      </c>
      <c r="C59" s="331">
        <f>C41*Inputs!$H47</f>
        <v>0</v>
      </c>
      <c r="D59" s="331">
        <f>D41*Inputs!$H47</f>
        <v>0</v>
      </c>
      <c r="E59" s="331" t="s">
        <v>377</v>
      </c>
      <c r="F59" s="331">
        <f>F41*Inputs!$H47</f>
        <v>0</v>
      </c>
      <c r="G59" s="331">
        <f>G41*Inputs!$H47</f>
        <v>0</v>
      </c>
      <c r="H59" s="14">
        <f>H41*Inputs!$H47</f>
        <v>0</v>
      </c>
      <c r="I59" s="14">
        <f>I41*Inputs!$H47</f>
        <v>0</v>
      </c>
      <c r="J59" s="14">
        <f>J41*Inputs!$H47</f>
        <v>0</v>
      </c>
      <c r="K59" s="14">
        <f>K41*Inputs!$H47</f>
        <v>0</v>
      </c>
      <c r="L59" s="14">
        <f>L41*Inputs!$H47</f>
        <v>0</v>
      </c>
      <c r="M59" s="14">
        <f>M41*Inputs!$H47</f>
        <v>0</v>
      </c>
      <c r="N59" s="190">
        <f>N41*Inputs!$H47</f>
        <v>0</v>
      </c>
      <c r="O59" s="14">
        <f>O41*Inputs!$H47</f>
        <v>0</v>
      </c>
      <c r="P59" s="14">
        <f>P41*Inputs!$H47</f>
        <v>0</v>
      </c>
      <c r="Q59" s="14">
        <f>Q41*Inputs!$H47</f>
        <v>0</v>
      </c>
      <c r="R59" s="14">
        <f>R41*Inputs!$H47</f>
        <v>0</v>
      </c>
      <c r="S59" s="14">
        <f>S41*Inputs!$H47</f>
        <v>0</v>
      </c>
      <c r="T59" s="14">
        <f>T41*Inputs!$H47</f>
        <v>0</v>
      </c>
      <c r="U59" s="14">
        <f>U41*Inputs!$H47</f>
        <v>0</v>
      </c>
      <c r="V59" s="14">
        <f>V41*Inputs!$H47</f>
        <v>0</v>
      </c>
      <c r="W59" s="14">
        <f>W41*Inputs!$H47</f>
        <v>0</v>
      </c>
      <c r="X59" s="187">
        <f>X41*Inputs!$H47</f>
        <v>0</v>
      </c>
      <c r="Y59" s="14">
        <f>Y41*Inputs!$H47</f>
        <v>0</v>
      </c>
      <c r="Z59" s="14">
        <f>Z41*Inputs!$H47</f>
        <v>0</v>
      </c>
      <c r="AA59" s="14">
        <f>AA41*Inputs!$H47</f>
        <v>0</v>
      </c>
      <c r="AB59" s="14">
        <f>AB41*Inputs!$H47</f>
        <v>0</v>
      </c>
      <c r="AC59" s="14">
        <f>AC41*Inputs!$H47</f>
        <v>0</v>
      </c>
      <c r="AD59" s="14">
        <f>AD41*Inputs!$H47</f>
        <v>0</v>
      </c>
      <c r="AE59" s="14">
        <f>AE41*Inputs!$H47</f>
        <v>0</v>
      </c>
      <c r="AF59" s="14">
        <f>AF41*Inputs!$H47</f>
        <v>0</v>
      </c>
      <c r="AG59" s="14">
        <f>AG41*Inputs!$H47</f>
        <v>0</v>
      </c>
      <c r="AH59" s="14">
        <f>AH41*Inputs!$H47</f>
        <v>0</v>
      </c>
    </row>
    <row r="60" spans="1:34" ht="15">
      <c r="A60" s="8" t="s">
        <v>49</v>
      </c>
      <c r="B60" s="34">
        <v>0</v>
      </c>
      <c r="C60" s="331">
        <f>C42*Inputs!$H48</f>
        <v>166.85864999999998</v>
      </c>
      <c r="D60" s="331">
        <f>D42*Inputs!$H48</f>
        <v>149.71365</v>
      </c>
      <c r="E60" s="331">
        <f>E42*Inputs!$H48</f>
        <v>168.42474395122159</v>
      </c>
      <c r="F60" s="331">
        <f>F42*Inputs!$H48</f>
        <v>137.03149178046709</v>
      </c>
      <c r="G60" s="331">
        <f>G42*Inputs!$H48</f>
        <v>173.94549594903992</v>
      </c>
      <c r="H60" s="14">
        <f>H42*Inputs!$H48</f>
        <v>178.12821981511036</v>
      </c>
      <c r="I60" s="14">
        <f>I42*Inputs!$H48</f>
        <v>181.82002287236659</v>
      </c>
      <c r="J60" s="14">
        <f>J42*Inputs!$H48</f>
        <v>185.00989260541931</v>
      </c>
      <c r="K60" s="14">
        <f>K42*Inputs!$H48</f>
        <v>187.17427630446446</v>
      </c>
      <c r="L60" s="14">
        <f>L42*Inputs!$H48</f>
        <v>187.17418240511773</v>
      </c>
      <c r="M60" s="14">
        <f>M42*Inputs!$H48</f>
        <v>187.17423123277806</v>
      </c>
      <c r="N60" s="190">
        <f>N42*Inputs!$H48</f>
        <v>187.17418240511773</v>
      </c>
      <c r="O60" s="14">
        <f>O42*Inputs!$H48</f>
        <v>187.17422747680416</v>
      </c>
      <c r="P60" s="14">
        <f>P42*Inputs!$H48</f>
        <v>187.17409601771868</v>
      </c>
      <c r="Q60" s="14">
        <f>Q42*Inputs!$H48</f>
        <v>188.20746584088113</v>
      </c>
      <c r="R60" s="14">
        <f>R42*Inputs!$H48</f>
        <v>188.20739072140373</v>
      </c>
      <c r="S60" s="14">
        <f>S42*Inputs!$H48</f>
        <v>188.20746959685499</v>
      </c>
      <c r="T60" s="14">
        <f>T42*Inputs!$H48</f>
        <v>188.60017920089447</v>
      </c>
      <c r="U60" s="14">
        <f>U42*Inputs!$H48</f>
        <v>188.8359679725842</v>
      </c>
      <c r="V60" s="14">
        <f>V42*Inputs!$H48</f>
        <v>190.17083733030671</v>
      </c>
      <c r="W60" s="14">
        <f>W42*Inputs!$H48</f>
        <v>191.47477248722893</v>
      </c>
      <c r="X60" s="187">
        <f>X42*Inputs!$H48</f>
        <v>192.92975037739313</v>
      </c>
      <c r="Y60" s="14">
        <f>Y42*Inputs!$H48</f>
        <v>192.92977666921027</v>
      </c>
      <c r="Z60" s="14">
        <f>Z42*Inputs!$H48</f>
        <v>193.77371019422307</v>
      </c>
      <c r="AA60" s="14">
        <f>AA42*Inputs!$H48</f>
        <v>193.77375150993564</v>
      </c>
      <c r="AB60" s="14">
        <f>AB42*Inputs!$H48</f>
        <v>193.77375150993564</v>
      </c>
      <c r="AC60" s="14">
        <f>AC42*Inputs!$H48</f>
        <v>194.57470166997052</v>
      </c>
      <c r="AD60" s="14">
        <f>AD42*Inputs!$H48</f>
        <v>195.12947027861517</v>
      </c>
      <c r="AE60" s="14">
        <f>AE42*Inputs!$H48</f>
        <v>195.1295453980926</v>
      </c>
      <c r="AF60" s="14">
        <f>AF42*Inputs!$H48</f>
        <v>195.63287970054989</v>
      </c>
      <c r="AG60" s="14">
        <f>AG42*Inputs!$H48</f>
        <v>195.63287594457603</v>
      </c>
      <c r="AH60" s="14">
        <f>AH42*Inputs!$H48</f>
        <v>195.63289472444544</v>
      </c>
    </row>
    <row r="61" spans="1:34" ht="15">
      <c r="A61" s="8" t="s">
        <v>59</v>
      </c>
      <c r="B61" s="34">
        <v>0</v>
      </c>
      <c r="C61" s="331">
        <f>C43*Inputs!$H53</f>
        <v>2114.5320000000002</v>
      </c>
      <c r="D61" s="331">
        <f>D43*Inputs!$H53</f>
        <v>2348.5140000000001</v>
      </c>
      <c r="E61" s="331">
        <f>E43*Inputs!$H53</f>
        <v>2166.7452303028108</v>
      </c>
      <c r="F61" s="331">
        <f>F43*Inputs!$H53</f>
        <v>2146.7393029283762</v>
      </c>
      <c r="G61" s="331">
        <f>G43*Inputs!$H53</f>
        <v>2112.4569650777257</v>
      </c>
      <c r="H61" s="14">
        <f>H43*Inputs!$H53</f>
        <v>2118.7263039705863</v>
      </c>
      <c r="I61" s="14">
        <f>I43*Inputs!$H53</f>
        <v>2199.160336607883</v>
      </c>
      <c r="J61" s="14">
        <f>J43*Inputs!$H53</f>
        <v>2292.3309365045279</v>
      </c>
      <c r="K61" s="14">
        <f>K43*Inputs!$H53</f>
        <v>2382.894649361624</v>
      </c>
      <c r="L61" s="14">
        <f>L43*Inputs!$H53</f>
        <v>2453.2138854044829</v>
      </c>
      <c r="M61" s="14">
        <f>M43*Inputs!$H53</f>
        <v>2465.4992329835432</v>
      </c>
      <c r="N61" s="190">
        <f>N43*Inputs!$H53</f>
        <v>2465.4992946986449</v>
      </c>
      <c r="O61" s="14">
        <f>O43*Inputs!$H53</f>
        <v>2465.4992946986449</v>
      </c>
      <c r="P61" s="14">
        <f>P43*Inputs!$H53</f>
        <v>2465.4992741269448</v>
      </c>
      <c r="Q61" s="14">
        <f>Q43*Inputs!$H53</f>
        <v>2465.4992946986449</v>
      </c>
      <c r="R61" s="14">
        <f>R43*Inputs!$H53</f>
        <v>2465.4992329835432</v>
      </c>
      <c r="S61" s="14">
        <f>S43*Inputs!$H53</f>
        <v>2465.5042216209308</v>
      </c>
      <c r="T61" s="14">
        <f>T43*Inputs!$H53</f>
        <v>2465.4992741269448</v>
      </c>
      <c r="U61" s="14">
        <f>U43*Inputs!$H53</f>
        <v>2465.4992535552442</v>
      </c>
      <c r="V61" s="14">
        <f>V43*Inputs!$H53</f>
        <v>2465.4992535552442</v>
      </c>
      <c r="W61" s="14">
        <f>W43*Inputs!$H53</f>
        <v>2465.4992946986449</v>
      </c>
      <c r="X61" s="187">
        <f>X43*Inputs!$H53</f>
        <v>2465.4992535552442</v>
      </c>
      <c r="Y61" s="14">
        <f>Y43*Inputs!$H53</f>
        <v>2465.4992535552442</v>
      </c>
      <c r="Z61" s="14">
        <f>Z43*Inputs!$H53</f>
        <v>2465.4992741269448</v>
      </c>
      <c r="AA61" s="14">
        <f>AA43*Inputs!$H53</f>
        <v>2465.4992226976929</v>
      </c>
      <c r="AB61" s="14">
        <f>AB43*Inputs!$H53</f>
        <v>2465.4992535552442</v>
      </c>
      <c r="AC61" s="14">
        <f>AC43*Inputs!$H53</f>
        <v>2465.4992946986449</v>
      </c>
      <c r="AD61" s="14">
        <f>AD43*Inputs!$H53</f>
        <v>2465.4992946986449</v>
      </c>
      <c r="AE61" s="14">
        <f>AE43*Inputs!$H53</f>
        <v>2465.4992946986449</v>
      </c>
      <c r="AF61" s="14">
        <f>AF43*Inputs!$H53</f>
        <v>2465.4992946986449</v>
      </c>
      <c r="AG61" s="14">
        <f>AG43*Inputs!$H53</f>
        <v>2465.4992535552442</v>
      </c>
      <c r="AH61" s="14">
        <f>AH43*Inputs!$H53</f>
        <v>2465.4992535552442</v>
      </c>
    </row>
    <row r="62" spans="1:34" ht="15">
      <c r="A62" s="8" t="s">
        <v>121</v>
      </c>
      <c r="B62" s="34">
        <v>1</v>
      </c>
      <c r="C62" s="331">
        <f>C44*Inputs!$H46</f>
        <v>434.13300000000004</v>
      </c>
      <c r="D62" s="331">
        <f>D44*Inputs!$H46</f>
        <v>452.27699999999999</v>
      </c>
      <c r="E62" s="331">
        <f>E44*Inputs!$H46</f>
        <v>518.27143698321493</v>
      </c>
      <c r="F62" s="331">
        <f>F44*Inputs!$H46</f>
        <v>500.47402576727916</v>
      </c>
      <c r="G62" s="331">
        <f>G44*Inputs!$H46</f>
        <v>554.35588103436157</v>
      </c>
      <c r="H62" s="14">
        <f>H44*Inputs!$H46</f>
        <v>570.35668364831452</v>
      </c>
      <c r="I62" s="14">
        <f>I44*Inputs!$H46</f>
        <v>591.29736231893537</v>
      </c>
      <c r="J62" s="14">
        <f>J44*Inputs!$H46</f>
        <v>625.62729711265627</v>
      </c>
      <c r="K62" s="14">
        <f>K44*Inputs!$H46</f>
        <v>678.48819125692</v>
      </c>
      <c r="L62" s="14">
        <f>L44*Inputs!$H46</f>
        <v>708.86137719182284</v>
      </c>
      <c r="M62" s="14">
        <f>M44*Inputs!$H46</f>
        <v>737.34626534269307</v>
      </c>
      <c r="N62" s="190">
        <f>N44*Inputs!$H46</f>
        <v>773.60843521002937</v>
      </c>
      <c r="O62" s="14">
        <f>O44*Inputs!$H46</f>
        <v>829.5778145663171</v>
      </c>
      <c r="P62" s="14">
        <f>P44*Inputs!$H46</f>
        <v>867.54896120392675</v>
      </c>
      <c r="Q62" s="14">
        <f>Q44*Inputs!$H46</f>
        <v>976.42684788411339</v>
      </c>
      <c r="R62" s="14">
        <f>R44*Inputs!$H46</f>
        <v>1018.8612186089217</v>
      </c>
      <c r="S62" s="14">
        <f>S44*Inputs!$H46</f>
        <v>1150.4729940973243</v>
      </c>
      <c r="T62" s="14">
        <f>T44*Inputs!$H46</f>
        <v>1189.1871213421275</v>
      </c>
      <c r="U62" s="14">
        <f>U44*Inputs!$H46</f>
        <v>1215.5450562812539</v>
      </c>
      <c r="V62" s="14">
        <f>V44*Inputs!$H46</f>
        <v>1240.1277443945485</v>
      </c>
      <c r="W62" s="14">
        <f>W44*Inputs!$H46</f>
        <v>1388.9325939674256</v>
      </c>
      <c r="X62" s="187">
        <f>X44*Inputs!$H46</f>
        <v>1411.5014491835934</v>
      </c>
      <c r="Y62" s="14">
        <f>Y44*Inputs!$H46</f>
        <v>1430.4073839976415</v>
      </c>
      <c r="Z62" s="14">
        <f>Z44*Inputs!$H46</f>
        <v>1444.596423632699</v>
      </c>
      <c r="AA62" s="14">
        <f>AA44*Inputs!$H46</f>
        <v>1463.6170392807255</v>
      </c>
      <c r="AB62" s="14">
        <f>AB44*Inputs!$H46</f>
        <v>1485.4923650143605</v>
      </c>
      <c r="AC62" s="14">
        <f>AC44*Inputs!$H46</f>
        <v>1504.1467441073071</v>
      </c>
      <c r="AD62" s="14">
        <f>AD44*Inputs!$H46</f>
        <v>1530.120652570632</v>
      </c>
      <c r="AE62" s="14">
        <f>AE44*Inputs!$H46</f>
        <v>1558.1683178745711</v>
      </c>
      <c r="AF62" s="14">
        <f>AF44*Inputs!$H46</f>
        <v>1590.466040320905</v>
      </c>
      <c r="AG62" s="14">
        <f>AG44*Inputs!$H46</f>
        <v>1624.1075433286746</v>
      </c>
      <c r="AH62" s="14">
        <f>AH44*Inputs!$H46</f>
        <v>1654.3886586212388</v>
      </c>
    </row>
    <row r="63" spans="1:34" ht="15">
      <c r="A63" s="8" t="s">
        <v>50</v>
      </c>
      <c r="B63" s="34">
        <v>1</v>
      </c>
      <c r="C63" s="331">
        <f>C45*Inputs!$H49</f>
        <v>0</v>
      </c>
      <c r="D63" s="331">
        <f>D45*Inputs!$H49</f>
        <v>0</v>
      </c>
      <c r="E63" s="331">
        <f>E45*Inputs!$H49</f>
        <v>9.0267367500000001E-4</v>
      </c>
      <c r="F63" s="331">
        <f>F45*Inputs!$H49</f>
        <v>8.4559477500000002E-4</v>
      </c>
      <c r="G63" s="331">
        <f>G45*Inputs!$H49</f>
        <v>9.2453715000000007E-4</v>
      </c>
      <c r="H63" s="14">
        <f>H45*Inputs!$H49</f>
        <v>9.2454074999999988E-4</v>
      </c>
      <c r="I63" s="14">
        <f>I45*Inputs!$H49</f>
        <v>9.2425454999999987E-4</v>
      </c>
      <c r="J63" s="14">
        <f>J45*Inputs!$H49</f>
        <v>9.225263249999999E-4</v>
      </c>
      <c r="K63" s="14">
        <f>K45*Inputs!$H49</f>
        <v>1.0142507249999999E-3</v>
      </c>
      <c r="L63" s="14">
        <f>L45*Inputs!$H49</f>
        <v>1.1027132999999998E-3</v>
      </c>
      <c r="M63" s="14">
        <f>M45*Inputs!$H49</f>
        <v>1.1060243999999999E-3</v>
      </c>
      <c r="N63" s="190">
        <f>N45*Inputs!$H49</f>
        <v>1.105724925E-3</v>
      </c>
      <c r="O63" s="14">
        <f>O45*Inputs!$H49</f>
        <v>1.1054754E-3</v>
      </c>
      <c r="P63" s="14">
        <f>P45*Inputs!$H49</f>
        <v>1.10694375E-3</v>
      </c>
      <c r="Q63" s="14">
        <f>Q45*Inputs!$H49</f>
        <v>1.1089799999999999E-3</v>
      </c>
      <c r="R63" s="14">
        <f>R45*Inputs!$H49</f>
        <v>1.1080696499999999E-3</v>
      </c>
      <c r="S63" s="14">
        <f>S45*Inputs!$H49</f>
        <v>1.1089511999999998E-3</v>
      </c>
      <c r="T63" s="14">
        <f>T45*Inputs!$H49</f>
        <v>1.108697175E-3</v>
      </c>
      <c r="U63" s="14">
        <f>U45*Inputs!$H49</f>
        <v>1.1947945499999999E-3</v>
      </c>
      <c r="V63" s="14">
        <f>V45*Inputs!$H49</f>
        <v>1.2487792500000001E-3</v>
      </c>
      <c r="W63" s="14">
        <f>W45*Inputs!$H49</f>
        <v>1.2537045E-3</v>
      </c>
      <c r="X63" s="187">
        <f>X45*Inputs!$H49</f>
        <v>1.3116167999999999E-3</v>
      </c>
      <c r="Y63" s="14">
        <f>Y45*Inputs!$H49</f>
        <v>1.3606139249999999E-3</v>
      </c>
      <c r="Z63" s="14">
        <f>Z45*Inputs!$H49</f>
        <v>1.3600206E-3</v>
      </c>
      <c r="AA63" s="14">
        <f>AA45*Inputs!$H49</f>
        <v>1.3594790249999999E-3</v>
      </c>
      <c r="AB63" s="14">
        <f>AB45*Inputs!$H49</f>
        <v>1.358955E-3</v>
      </c>
      <c r="AC63" s="14">
        <f>AC45*Inputs!$H49</f>
        <v>1.3584519E-3</v>
      </c>
      <c r="AD63" s="14">
        <f>AD45*Inputs!$H49</f>
        <v>1.3579656749999999E-3</v>
      </c>
      <c r="AE63" s="14">
        <f>AE45*Inputs!$H49</f>
        <v>1.3574976750000002E-3</v>
      </c>
      <c r="AF63" s="14">
        <f>AF45*Inputs!$H49</f>
        <v>1.357053975E-3</v>
      </c>
      <c r="AG63" s="14">
        <f>AG45*Inputs!$H49</f>
        <v>1.3566145499999999E-3</v>
      </c>
      <c r="AH63" s="14">
        <f>AH45*Inputs!$H49</f>
        <v>1.3562061749999999E-3</v>
      </c>
    </row>
    <row r="64" spans="1:34" ht="15">
      <c r="A64" s="8" t="s">
        <v>51</v>
      </c>
      <c r="B64" s="34">
        <v>1</v>
      </c>
      <c r="C64" s="331">
        <f>C46*Inputs!$H52</f>
        <v>0</v>
      </c>
      <c r="D64" s="331">
        <f>D46*Inputs!$H52</f>
        <v>0</v>
      </c>
      <c r="E64" s="331">
        <f>E46*Inputs!$H52</f>
        <v>1.8081265499999999E-4</v>
      </c>
      <c r="F64" s="331">
        <f>F46*Inputs!$H52</f>
        <v>1.8722339999999998E-4</v>
      </c>
      <c r="G64" s="331">
        <f>G46*Inputs!$H52</f>
        <v>1.52281485E-4</v>
      </c>
      <c r="H64" s="14">
        <f>H46*Inputs!$H52</f>
        <v>1.63859625E-4</v>
      </c>
      <c r="I64" s="14">
        <f>I46*Inputs!$H52</f>
        <v>1.4998756499999996E-4</v>
      </c>
      <c r="J64" s="14">
        <f>J46*Inputs!$H52</f>
        <v>1.7545895999999999E-4</v>
      </c>
      <c r="K64" s="14">
        <f>K46*Inputs!$H52</f>
        <v>1.7666248499999997E-4</v>
      </c>
      <c r="L64" s="14">
        <f>L46*Inputs!$H52</f>
        <v>1.7669231999999999E-4</v>
      </c>
      <c r="M64" s="14">
        <f>M46*Inputs!$H52</f>
        <v>1.7553293999999998E-4</v>
      </c>
      <c r="N64" s="190">
        <f>N46*Inputs!$H52</f>
        <v>1.7548150500000002E-4</v>
      </c>
      <c r="O64" s="14">
        <f>O46*Inputs!$H52</f>
        <v>1.7545099499999996E-4</v>
      </c>
      <c r="P64" s="14">
        <f>P46*Inputs!$H52</f>
        <v>1.76582835E-4</v>
      </c>
      <c r="Q64" s="14">
        <f>Q46*Inputs!$H52</f>
        <v>1.7539577999999996E-4</v>
      </c>
      <c r="R64" s="14">
        <f>R46*Inputs!$H52</f>
        <v>1.7536932E-4</v>
      </c>
      <c r="S64" s="14">
        <f>S46*Inputs!$H52</f>
        <v>1.7650372499999998E-4</v>
      </c>
      <c r="T64" s="14">
        <f>T46*Inputs!$H52</f>
        <v>1.7342599500000001E-4</v>
      </c>
      <c r="U64" s="14">
        <f>U46*Inputs!$H52</f>
        <v>1.7524390499999999E-4</v>
      </c>
      <c r="V64" s="14">
        <f>V46*Inputs!$H52</f>
        <v>1.7519004000000001E-4</v>
      </c>
      <c r="W64" s="14">
        <f>W46*Inputs!$H52</f>
        <v>1.7512793999999998E-4</v>
      </c>
      <c r="X64" s="187">
        <f>X46*Inputs!$H52</f>
        <v>1.7506097999999998E-4</v>
      </c>
      <c r="Y64" s="14">
        <f>Y46*Inputs!$H52</f>
        <v>1.7499428999999999E-4</v>
      </c>
      <c r="Z64" s="14">
        <f>Z46*Inputs!$H52</f>
        <v>1.7610196499999998E-4</v>
      </c>
      <c r="AA64" s="14">
        <f>AA46*Inputs!$H52</f>
        <v>1.7768308500000003E-4</v>
      </c>
      <c r="AB64" s="14">
        <f>AB46*Inputs!$H52</f>
        <v>1.8003410999999997E-4</v>
      </c>
      <c r="AC64" s="14">
        <f>AC46*Inputs!$H52</f>
        <v>1.7998780500000001E-4</v>
      </c>
      <c r="AD64" s="14">
        <f>AD46*Inputs!$H52</f>
        <v>1.79942445E-4</v>
      </c>
      <c r="AE64" s="14">
        <f>AE46*Inputs!$H52</f>
        <v>1.8335146499999999E-4</v>
      </c>
      <c r="AF64" s="14">
        <f>AF46*Inputs!$H52</f>
        <v>1.8331649999999997E-4</v>
      </c>
      <c r="AG64" s="14">
        <f>AG46*Inputs!$H52</f>
        <v>1.8327897000000002E-4</v>
      </c>
      <c r="AH64" s="14">
        <f>AH46*Inputs!$H52</f>
        <v>1.8324184499999993E-4</v>
      </c>
    </row>
    <row r="65" spans="1:34" ht="15">
      <c r="A65" s="8" t="s">
        <v>347</v>
      </c>
      <c r="B65" s="34">
        <v>1</v>
      </c>
      <c r="C65" s="331">
        <f>C47*Inputs!$H54</f>
        <v>0</v>
      </c>
      <c r="D65" s="331">
        <f>D47*Inputs!$H54</f>
        <v>0</v>
      </c>
      <c r="E65" s="331">
        <f>E47*Inputs!$H54</f>
        <v>0.14220000000000002</v>
      </c>
      <c r="F65" s="331">
        <f>F47*Inputs!$H54</f>
        <v>0.14220000000000002</v>
      </c>
      <c r="G65" s="331">
        <f>G47*Inputs!$H54</f>
        <v>0.14220000000000002</v>
      </c>
      <c r="H65" s="14">
        <f>H47*Inputs!$H54</f>
        <v>0.14220000000000002</v>
      </c>
      <c r="I65" s="14">
        <f>I47*Inputs!$H54</f>
        <v>0.14220000000000002</v>
      </c>
      <c r="J65" s="14">
        <f>J47*Inputs!$H54</f>
        <v>0.14220000000000002</v>
      </c>
      <c r="K65" s="14">
        <f>K47*Inputs!$H54</f>
        <v>0.14220000000000002</v>
      </c>
      <c r="L65" s="14">
        <f>L47*Inputs!$H54</f>
        <v>0.14220000000000002</v>
      </c>
      <c r="M65" s="14">
        <f>M47*Inputs!$H54</f>
        <v>0.14220000000000002</v>
      </c>
      <c r="N65" s="190">
        <f>N47*Inputs!$H54</f>
        <v>0.14220000000000002</v>
      </c>
      <c r="O65" s="14">
        <f>O47*Inputs!$H54</f>
        <v>0.14220000000000002</v>
      </c>
      <c r="P65" s="14">
        <f>P47*Inputs!$H54</f>
        <v>0.14220000000000002</v>
      </c>
      <c r="Q65" s="14">
        <f>Q47*Inputs!$H54</f>
        <v>0.14220000000000002</v>
      </c>
      <c r="R65" s="14">
        <f>R47*Inputs!$H54</f>
        <v>0.14220000000000002</v>
      </c>
      <c r="S65" s="14">
        <f>S47*Inputs!$H54</f>
        <v>0.14220000000000002</v>
      </c>
      <c r="T65" s="14">
        <f>T47*Inputs!$H54</f>
        <v>0.14220000000000002</v>
      </c>
      <c r="U65" s="14">
        <f>U47*Inputs!$H54</f>
        <v>0.14220000000000002</v>
      </c>
      <c r="V65" s="14">
        <f>V47*Inputs!$H54</f>
        <v>0.14220000000000002</v>
      </c>
      <c r="W65" s="14">
        <f>W47*Inputs!$H54</f>
        <v>0.14220000000000002</v>
      </c>
      <c r="X65" s="187">
        <f>X47*Inputs!$H54</f>
        <v>0.14220000000000002</v>
      </c>
      <c r="Y65" s="14">
        <f>Y47*Inputs!$H54</f>
        <v>0.14220000000000002</v>
      </c>
      <c r="Z65" s="14">
        <f>Z47*Inputs!$H54</f>
        <v>0.14220000000000002</v>
      </c>
      <c r="AA65" s="14">
        <f>AA47*Inputs!$H54</f>
        <v>0.14220000000000002</v>
      </c>
      <c r="AB65" s="14">
        <f>AB47*Inputs!$H54</f>
        <v>0.14220000000000002</v>
      </c>
      <c r="AC65" s="14">
        <f>AC47*Inputs!$H54</f>
        <v>0.14220000000000002</v>
      </c>
      <c r="AD65" s="14">
        <f>AD47*Inputs!$H54</f>
        <v>0.14220000000000002</v>
      </c>
      <c r="AE65" s="14">
        <f>AE47*Inputs!$H54</f>
        <v>0.14220000000000002</v>
      </c>
      <c r="AF65" s="14">
        <f>AF47*Inputs!$H54</f>
        <v>0.14220000000000002</v>
      </c>
      <c r="AG65" s="14">
        <f>AG47*Inputs!$H54</f>
        <v>0.14220000000000002</v>
      </c>
      <c r="AH65" s="14">
        <f>AH47*Inputs!$H54</f>
        <v>0</v>
      </c>
    </row>
    <row r="66" spans="1:34" ht="15">
      <c r="A66" s="8" t="s">
        <v>348</v>
      </c>
      <c r="B66" s="34">
        <v>1</v>
      </c>
      <c r="C66" s="331">
        <f>C48*Inputs!$H55</f>
        <v>0</v>
      </c>
      <c r="D66" s="331">
        <f>D48*Inputs!$H55</f>
        <v>0</v>
      </c>
      <c r="E66" s="331">
        <f>E48*Inputs!$H55</f>
        <v>2.0700000000000003E-2</v>
      </c>
      <c r="F66" s="331">
        <f>F48*Inputs!$H55</f>
        <v>2.0700000000000003E-2</v>
      </c>
      <c r="G66" s="331">
        <f>G48*Inputs!$H55</f>
        <v>2.0700000000000003E-2</v>
      </c>
      <c r="H66" s="14">
        <f>H48*Inputs!$H55</f>
        <v>2.0700000000000003E-2</v>
      </c>
      <c r="I66" s="14">
        <f>I48*Inputs!$H55</f>
        <v>2.0700000000000003E-2</v>
      </c>
      <c r="J66" s="14">
        <f>J48*Inputs!$H55</f>
        <v>2.0700000000000003E-2</v>
      </c>
      <c r="K66" s="14">
        <f>K48*Inputs!$H55</f>
        <v>2.0700000000000003E-2</v>
      </c>
      <c r="L66" s="14">
        <f>L48*Inputs!$H55</f>
        <v>2.0700000000000003E-2</v>
      </c>
      <c r="M66" s="14">
        <f>M48*Inputs!$H55</f>
        <v>2.0700000000000003E-2</v>
      </c>
      <c r="N66" s="190">
        <f>N48*Inputs!$H55</f>
        <v>2.0700000000000003E-2</v>
      </c>
      <c r="O66" s="14">
        <f>O48*Inputs!$H55</f>
        <v>2.0700000000000003E-2</v>
      </c>
      <c r="P66" s="14">
        <f>P48*Inputs!$H55</f>
        <v>2.0700000000000003E-2</v>
      </c>
      <c r="Q66" s="14">
        <f>Q48*Inputs!$H55</f>
        <v>2.0700000000000003E-2</v>
      </c>
      <c r="R66" s="14">
        <f>R48*Inputs!$H55</f>
        <v>2.0700000000000003E-2</v>
      </c>
      <c r="S66" s="14">
        <f>S48*Inputs!$H55</f>
        <v>2.0700000000000003E-2</v>
      </c>
      <c r="T66" s="14">
        <f>T48*Inputs!$H55</f>
        <v>2.0700000000000003E-2</v>
      </c>
      <c r="U66" s="14">
        <f>U48*Inputs!$H55</f>
        <v>2.0700000000000003E-2</v>
      </c>
      <c r="V66" s="14">
        <f>V48*Inputs!$H55</f>
        <v>2.0700000000000003E-2</v>
      </c>
      <c r="W66" s="14">
        <f>W48*Inputs!$H55</f>
        <v>2.0700000000000003E-2</v>
      </c>
      <c r="X66" s="187">
        <f>X48*Inputs!$H55</f>
        <v>2.0700000000000003E-2</v>
      </c>
      <c r="Y66" s="14">
        <f>Y48*Inputs!$H55</f>
        <v>2.0700000000000003E-2</v>
      </c>
      <c r="Z66" s="14">
        <f>Z48*Inputs!$H55</f>
        <v>2.0700000000000003E-2</v>
      </c>
      <c r="AA66" s="14">
        <f>AA48*Inputs!$H55</f>
        <v>2.0700000000000003E-2</v>
      </c>
      <c r="AB66" s="14">
        <f>AB48*Inputs!$H55</f>
        <v>2.0700000000000003E-2</v>
      </c>
      <c r="AC66" s="14">
        <f>AC48*Inputs!$H55</f>
        <v>2.0700000000000003E-2</v>
      </c>
      <c r="AD66" s="14">
        <f>AD48*Inputs!$H55</f>
        <v>2.0700000000000003E-2</v>
      </c>
      <c r="AE66" s="14">
        <f>AE48*Inputs!$H55</f>
        <v>2.0700000000000003E-2</v>
      </c>
      <c r="AF66" s="14">
        <f>AF48*Inputs!$H55</f>
        <v>2.0700000000000003E-2</v>
      </c>
      <c r="AG66" s="14">
        <f>AG48*Inputs!$H55</f>
        <v>2.0700000000000003E-2</v>
      </c>
      <c r="AH66" s="14">
        <f>AH48*Inputs!$H55</f>
        <v>2.0700000000000003E-2</v>
      </c>
    </row>
    <row r="67" spans="1:34" ht="15">
      <c r="A67" s="8" t="s">
        <v>344</v>
      </c>
      <c r="B67" s="34">
        <v>1</v>
      </c>
      <c r="C67" s="331">
        <f>C49*Inputs!$H51</f>
        <v>2.4300000000000003E-3</v>
      </c>
      <c r="D67" s="331">
        <f>D49*Inputs!$H51</f>
        <v>2.4300000000000003E-3</v>
      </c>
      <c r="E67" s="331">
        <f>E49*Inputs!$H51</f>
        <v>2.4300000000000003E-3</v>
      </c>
      <c r="F67" s="331">
        <f>F49*Inputs!$H51</f>
        <v>2.4300000000000003E-3</v>
      </c>
      <c r="G67" s="331">
        <f>G49*Inputs!$H51</f>
        <v>2.4300000000000003E-3</v>
      </c>
      <c r="H67" s="14">
        <f>H49*Inputs!$H51</f>
        <v>2.4300000000000003E-3</v>
      </c>
      <c r="I67" s="14">
        <f>I49*Inputs!$H51</f>
        <v>2.4300000000000003E-3</v>
      </c>
      <c r="J67" s="14">
        <f>J49*Inputs!$H51</f>
        <v>2.4300000000000003E-3</v>
      </c>
      <c r="K67" s="14">
        <f>K49*Inputs!$H51</f>
        <v>2.4300000000000003E-3</v>
      </c>
      <c r="L67" s="14">
        <f>L49*Inputs!$H51</f>
        <v>2.4300000000000003E-3</v>
      </c>
      <c r="M67" s="14">
        <f>M49*Inputs!$H51</f>
        <v>2.4300000000000003E-3</v>
      </c>
      <c r="N67" s="190">
        <f>N49*Inputs!$H51</f>
        <v>2.4300000000000003E-3</v>
      </c>
      <c r="O67" s="14">
        <f>O49*Inputs!$H51</f>
        <v>2.4300000000000003E-3</v>
      </c>
      <c r="P67" s="14">
        <f>P49*Inputs!$H51</f>
        <v>2.4300000000000003E-3</v>
      </c>
      <c r="Q67" s="14">
        <f>Q49*Inputs!$H51</f>
        <v>2.4300000000000003E-3</v>
      </c>
      <c r="R67" s="14">
        <f>R49*Inputs!$H51</f>
        <v>2.4300000000000003E-3</v>
      </c>
      <c r="S67" s="14">
        <f>S49*Inputs!$H51</f>
        <v>2.4300000000000003E-3</v>
      </c>
      <c r="T67" s="14">
        <f>T49*Inputs!$H51</f>
        <v>2.4300000000000003E-3</v>
      </c>
      <c r="U67" s="14">
        <f>U49*Inputs!$H51</f>
        <v>2.4300000000000003E-3</v>
      </c>
      <c r="V67" s="14">
        <f>V49*Inputs!$H51</f>
        <v>2.4300000000000003E-3</v>
      </c>
      <c r="W67" s="14">
        <f>W49*Inputs!$H51</f>
        <v>2.4300000000000003E-3</v>
      </c>
      <c r="X67" s="187">
        <f>X49*Inputs!$H51</f>
        <v>2.4300000000000003E-3</v>
      </c>
      <c r="Y67" s="14">
        <f>Y49*Inputs!$H51</f>
        <v>2.4300000000000003E-3</v>
      </c>
      <c r="Z67" s="14">
        <f>Z49*Inputs!$H51</f>
        <v>2.4300000000000003E-3</v>
      </c>
      <c r="AA67" s="14">
        <f>AA49*Inputs!$H51</f>
        <v>2.4300000000000003E-3</v>
      </c>
      <c r="AB67" s="14">
        <f>AB49*Inputs!$H51</f>
        <v>2.4300000000000003E-3</v>
      </c>
      <c r="AC67" s="14">
        <f>AC49*Inputs!$H51</f>
        <v>2.4300000000000003E-3</v>
      </c>
      <c r="AD67" s="14">
        <f>AD49*Inputs!$H51</f>
        <v>2.4300000000000003E-3</v>
      </c>
      <c r="AE67" s="14">
        <f>AE49*Inputs!$H51</f>
        <v>2.4300000000000003E-3</v>
      </c>
      <c r="AF67" s="14">
        <f>AF49*Inputs!$H51</f>
        <v>2.4300000000000003E-3</v>
      </c>
      <c r="AG67" s="14">
        <f>AG49*Inputs!$H51</f>
        <v>2.4300000000000003E-3</v>
      </c>
      <c r="AH67" s="14">
        <f>AH49*Inputs!$H51</f>
        <v>2.4300000000000003E-3</v>
      </c>
    </row>
    <row r="68" spans="1:34" ht="15">
      <c r="A68" s="8" t="s">
        <v>53</v>
      </c>
      <c r="B68" s="34">
        <v>1</v>
      </c>
      <c r="C68" s="331">
        <f>C50*Inputs!$H57</f>
        <v>0</v>
      </c>
      <c r="D68" s="331">
        <f>D50*Inputs!$H57</f>
        <v>0</v>
      </c>
      <c r="E68" s="331">
        <f>E50*Inputs!$H57</f>
        <v>5.9645399130000014E-4</v>
      </c>
      <c r="F68" s="331">
        <f>F50*Inputs!$H57</f>
        <v>6.6717062190000005E-4</v>
      </c>
      <c r="G68" s="331">
        <f>G50*Inputs!$H57</f>
        <v>7.1574773939999986E-4</v>
      </c>
      <c r="H68" s="14">
        <f>H50*Inputs!$H57</f>
        <v>7.1972352090000002E-4</v>
      </c>
      <c r="I68" s="14">
        <f>I50*Inputs!$H57</f>
        <v>9.084061962000001E-4</v>
      </c>
      <c r="J68" s="14">
        <f>J50*Inputs!$H57</f>
        <v>1.0309237920000001E-3</v>
      </c>
      <c r="K68" s="14">
        <f>K50*Inputs!$H57</f>
        <v>1.0309288409999999E-3</v>
      </c>
      <c r="L68" s="14">
        <f>L50*Inputs!$H57</f>
        <v>1.0307786561999999E-3</v>
      </c>
      <c r="M68" s="14">
        <f>M50*Inputs!$H57</f>
        <v>1.0309694930999999E-3</v>
      </c>
      <c r="N68" s="190">
        <f>N50*Inputs!$H57</f>
        <v>1.031028597E-3</v>
      </c>
      <c r="O68" s="14">
        <f>O50*Inputs!$H57</f>
        <v>1.0311260274000001E-3</v>
      </c>
      <c r="P68" s="14">
        <f>P50*Inputs!$H57</f>
        <v>1.0315430288999998E-3</v>
      </c>
      <c r="Q68" s="14">
        <f>Q50*Inputs!$H57</f>
        <v>1.0314299007E-3</v>
      </c>
      <c r="R68" s="14">
        <f>R50*Inputs!$H57</f>
        <v>1.0313690526E-3</v>
      </c>
      <c r="S68" s="14">
        <f>S50*Inputs!$H57</f>
        <v>1.0313142633000003E-3</v>
      </c>
      <c r="T68" s="14">
        <f>T50*Inputs!$H57</f>
        <v>1.0314502038E-3</v>
      </c>
      <c r="U68" s="14">
        <f>U50*Inputs!$H57</f>
        <v>1.0316975282999999E-3</v>
      </c>
      <c r="V68" s="14">
        <f>V50*Inputs!$H57</f>
        <v>1.0316609766000001E-3</v>
      </c>
      <c r="W68" s="14">
        <f>W50*Inputs!$H57</f>
        <v>1.0327592871000001E-3</v>
      </c>
      <c r="X68" s="187">
        <f>X50*Inputs!$H57</f>
        <v>1.0341861803999999E-3</v>
      </c>
      <c r="Y68" s="14">
        <f>Y50*Inputs!$H57</f>
        <v>1.0357010793000001E-3</v>
      </c>
      <c r="Z68" s="14">
        <f>Z50*Inputs!$H57</f>
        <v>1.0373809734E-3</v>
      </c>
      <c r="AA68" s="14">
        <f>AA50*Inputs!$H57</f>
        <v>1.0393641288000003E-3</v>
      </c>
      <c r="AB68" s="14">
        <f>AB50*Inputs!$H57</f>
        <v>1.0428041349000001E-3</v>
      </c>
      <c r="AC68" s="14">
        <f>AC50*Inputs!$H57</f>
        <v>1.0444325292000001E-3</v>
      </c>
      <c r="AD68" s="14">
        <f>AD50*Inputs!$H57</f>
        <v>1.0445074839E-3</v>
      </c>
      <c r="AE68" s="14">
        <f>AE50*Inputs!$H57</f>
        <v>1.0492964451E-3</v>
      </c>
      <c r="AF68" s="14">
        <f>AF50*Inputs!$H57</f>
        <v>1.0528517673000001E-3</v>
      </c>
      <c r="AG68" s="14">
        <f>AG50*Inputs!$H57</f>
        <v>1.0588961088E-3</v>
      </c>
      <c r="AH68" s="14">
        <f>AH50*Inputs!$H57</f>
        <v>1.0688682663E-3</v>
      </c>
    </row>
    <row r="69" spans="1:34" s="20" customFormat="1" ht="15">
      <c r="A69" s="8" t="s">
        <v>128</v>
      </c>
      <c r="B69" s="38"/>
      <c r="C69" s="334">
        <f t="shared" ref="C69:AH69" si="25">SUMPRODUCT($B60:$B68,C60:C68)</f>
        <v>434.13543000000004</v>
      </c>
      <c r="D69" s="334">
        <f t="shared" si="25"/>
        <v>452.27942999999999</v>
      </c>
      <c r="E69" s="334">
        <f t="shared" si="25"/>
        <v>518.43844692353628</v>
      </c>
      <c r="F69" s="334">
        <f t="shared" si="25"/>
        <v>500.64105575607607</v>
      </c>
      <c r="G69" s="334">
        <f t="shared" si="25"/>
        <v>554.52300360073605</v>
      </c>
      <c r="H69" s="19">
        <f t="shared" si="25"/>
        <v>570.52382177221045</v>
      </c>
      <c r="I69" s="19">
        <f t="shared" si="25"/>
        <v>591.46467496724665</v>
      </c>
      <c r="J69" s="19">
        <f t="shared" si="25"/>
        <v>625.79475602173329</v>
      </c>
      <c r="K69" s="19">
        <f t="shared" si="25"/>
        <v>678.65574309897113</v>
      </c>
      <c r="L69" s="19">
        <f t="shared" si="25"/>
        <v>709.02901737609909</v>
      </c>
      <c r="M69" s="19">
        <f t="shared" si="25"/>
        <v>737.51390786952618</v>
      </c>
      <c r="N69" s="190">
        <f t="shared" si="25"/>
        <v>773.77607744505644</v>
      </c>
      <c r="O69" s="19">
        <f t="shared" si="25"/>
        <v>829.74545661873958</v>
      </c>
      <c r="P69" s="19">
        <f t="shared" si="25"/>
        <v>867.71660627354072</v>
      </c>
      <c r="Q69" s="19">
        <f t="shared" si="25"/>
        <v>976.59449368979415</v>
      </c>
      <c r="R69" s="19">
        <f t="shared" si="25"/>
        <v>1019.0288634169443</v>
      </c>
      <c r="S69" s="19">
        <f t="shared" si="25"/>
        <v>1150.6406408665127</v>
      </c>
      <c r="T69" s="19">
        <f t="shared" si="25"/>
        <v>1189.3547649155012</v>
      </c>
      <c r="U69" s="19">
        <f t="shared" si="25"/>
        <v>1215.7127880172372</v>
      </c>
      <c r="V69" s="19">
        <f t="shared" si="25"/>
        <v>1240.2955300248152</v>
      </c>
      <c r="W69" s="19">
        <f t="shared" si="25"/>
        <v>1389.1003855591528</v>
      </c>
      <c r="X69" s="182">
        <f t="shared" si="25"/>
        <v>1411.6693000475539</v>
      </c>
      <c r="Y69" s="19">
        <f t="shared" si="25"/>
        <v>1430.5752853069359</v>
      </c>
      <c r="Z69" s="19">
        <f t="shared" si="25"/>
        <v>1444.7643271362376</v>
      </c>
      <c r="AA69" s="19">
        <f t="shared" si="25"/>
        <v>1463.7849458069643</v>
      </c>
      <c r="AB69" s="19">
        <f t="shared" si="25"/>
        <v>1485.6602768076052</v>
      </c>
      <c r="AC69" s="19">
        <f t="shared" si="25"/>
        <v>1504.3146569795413</v>
      </c>
      <c r="AD69" s="19">
        <f t="shared" si="25"/>
        <v>1530.2885649862358</v>
      </c>
      <c r="AE69" s="19">
        <f t="shared" si="25"/>
        <v>1558.3362380201561</v>
      </c>
      <c r="AF69" s="19">
        <f t="shared" si="25"/>
        <v>1590.6339635431473</v>
      </c>
      <c r="AG69" s="19">
        <f t="shared" si="25"/>
        <v>1624.2754721183037</v>
      </c>
      <c r="AH69" s="19">
        <f t="shared" si="25"/>
        <v>1654.414396937525</v>
      </c>
    </row>
    <row r="70" spans="1:34" s="20" customFormat="1" ht="15">
      <c r="A70" s="27" t="s">
        <v>329</v>
      </c>
      <c r="B70" s="39"/>
      <c r="C70" s="334">
        <f>SUM(C58:C68)</f>
        <v>2715.5260800000001</v>
      </c>
      <c r="D70" s="334">
        <f t="shared" ref="D70:AH70" si="26">SUM(D58:D68)</f>
        <v>2950.5070800000003</v>
      </c>
      <c r="E70" s="334">
        <f t="shared" si="26"/>
        <v>2853.6084211775678</v>
      </c>
      <c r="F70" s="334">
        <f t="shared" si="26"/>
        <v>2784.4118504649196</v>
      </c>
      <c r="G70" s="334">
        <f t="shared" si="26"/>
        <v>2840.9254646275012</v>
      </c>
      <c r="H70" s="19">
        <f t="shared" si="26"/>
        <v>2867.3783455579069</v>
      </c>
      <c r="I70" s="19">
        <f t="shared" si="26"/>
        <v>2972.4450344474958</v>
      </c>
      <c r="J70" s="19">
        <f t="shared" si="26"/>
        <v>3103.1355851316803</v>
      </c>
      <c r="K70" s="19">
        <f t="shared" si="26"/>
        <v>3248.7246687650591</v>
      </c>
      <c r="L70" s="19">
        <f t="shared" si="26"/>
        <v>3349.4170851856998</v>
      </c>
      <c r="M70" s="19">
        <f t="shared" si="26"/>
        <v>3390.1873720858471</v>
      </c>
      <c r="N70" s="182">
        <f t="shared" si="26"/>
        <v>3426.4495545488185</v>
      </c>
      <c r="O70" s="19">
        <f t="shared" si="26"/>
        <v>3482.4189787941882</v>
      </c>
      <c r="P70" s="19">
        <f t="shared" si="26"/>
        <v>3520.3899764182042</v>
      </c>
      <c r="Q70" s="19">
        <f t="shared" si="26"/>
        <v>3630.3012542293195</v>
      </c>
      <c r="R70" s="19">
        <f t="shared" si="26"/>
        <v>3672.7354871218909</v>
      </c>
      <c r="S70" s="19">
        <f t="shared" si="26"/>
        <v>3804.3523320842983</v>
      </c>
      <c r="T70" s="19">
        <f t="shared" si="26"/>
        <v>3843.4542182433406</v>
      </c>
      <c r="U70" s="19">
        <f t="shared" si="26"/>
        <v>3870.0480095450648</v>
      </c>
      <c r="V70" s="19">
        <f t="shared" si="26"/>
        <v>3895.9656209103655</v>
      </c>
      <c r="W70" s="19">
        <f t="shared" si="26"/>
        <v>4046.074452745027</v>
      </c>
      <c r="X70" s="182">
        <f t="shared" si="26"/>
        <v>4070.0983039801908</v>
      </c>
      <c r="Y70" s="19">
        <f t="shared" si="26"/>
        <v>4089.0043155313901</v>
      </c>
      <c r="Z70" s="19">
        <f t="shared" si="26"/>
        <v>4104.0373114574058</v>
      </c>
      <c r="AA70" s="19">
        <f t="shared" si="26"/>
        <v>4123.057920014593</v>
      </c>
      <c r="AB70" s="19">
        <f t="shared" si="26"/>
        <v>4144.9332818727844</v>
      </c>
      <c r="AC70" s="19">
        <f t="shared" si="26"/>
        <v>4164.3886533481564</v>
      </c>
      <c r="AD70" s="19">
        <f t="shared" si="26"/>
        <v>4190.9173299634967</v>
      </c>
      <c r="AE70" s="19">
        <f t="shared" si="26"/>
        <v>4218.965078116893</v>
      </c>
      <c r="AF70" s="19">
        <f t="shared" si="26"/>
        <v>4251.7661379423407</v>
      </c>
      <c r="AG70" s="19">
        <f t="shared" si="26"/>
        <v>4285.4076016181234</v>
      </c>
      <c r="AH70" s="19">
        <f t="shared" si="26"/>
        <v>4315.5465452172139</v>
      </c>
    </row>
    <row r="71" spans="1:34" s="20" customFormat="1" ht="15">
      <c r="A71" s="27" t="s">
        <v>142</v>
      </c>
      <c r="B71" s="39"/>
      <c r="C71" s="334">
        <f>C53*Inputs!$H$60</f>
        <v>2283.6329999999998</v>
      </c>
      <c r="D71" s="334">
        <f>D53*Inputs!$H$60</f>
        <v>2368.4760000000001</v>
      </c>
      <c r="E71" s="334">
        <f>E53*Inputs!$H$60</f>
        <v>2286.6352954196636</v>
      </c>
      <c r="F71" s="334">
        <f>F53*Inputs!$H$60</f>
        <v>1969.9227154190392</v>
      </c>
      <c r="G71" s="334">
        <f>G53*Inputs!$H$60</f>
        <v>2106.4138943513049</v>
      </c>
      <c r="H71" s="19">
        <f>H53*Inputs!$H$60</f>
        <v>2169.8359571731021</v>
      </c>
      <c r="I71" s="19">
        <f>I53*Inputs!$H$60</f>
        <v>2056.3078073737856</v>
      </c>
      <c r="J71" s="19">
        <f>J53*Inputs!$H$60</f>
        <v>1975.7148135963903</v>
      </c>
      <c r="K71" s="19">
        <f>K53*Inputs!$H$60</f>
        <v>2079.893694446806</v>
      </c>
      <c r="L71" s="19">
        <f>L53*Inputs!$H$60</f>
        <v>2117.4021469296458</v>
      </c>
      <c r="M71" s="19">
        <f>M53*Inputs!$H$60</f>
        <v>2136.7494476500892</v>
      </c>
      <c r="N71" s="190">
        <f>N53*Inputs!$H$60</f>
        <v>2131.285447049479</v>
      </c>
      <c r="O71" s="19">
        <f>O53*Inputs!$H$60</f>
        <v>2149.1406860853076</v>
      </c>
      <c r="P71" s="19">
        <f>P53*Inputs!$H$60</f>
        <v>2165.8064080256486</v>
      </c>
      <c r="Q71" s="19">
        <f>Q53*Inputs!$H$60</f>
        <v>2166.73597915664</v>
      </c>
      <c r="R71" s="19">
        <f>R53*Inputs!$H$60</f>
        <v>2194.7723165479451</v>
      </c>
      <c r="S71" s="19">
        <f>S53*Inputs!$H$60</f>
        <v>2216.3406351559615</v>
      </c>
      <c r="T71" s="19">
        <f>T53*Inputs!$H$60</f>
        <v>2214.7702633090939</v>
      </c>
      <c r="U71" s="19">
        <f>U53*Inputs!$H$60</f>
        <v>2215.2351668174047</v>
      </c>
      <c r="V71" s="19">
        <f>V53*Inputs!$H$60</f>
        <v>2214.9208704835191</v>
      </c>
      <c r="W71" s="19">
        <f>W53*Inputs!$H$60</f>
        <v>2206.7458286008955</v>
      </c>
      <c r="X71" s="182">
        <f>X53*Inputs!$H$60</f>
        <v>2208.5551216553508</v>
      </c>
      <c r="Y71" s="19">
        <f>Y53*Inputs!$H$60</f>
        <v>2207.5745296226378</v>
      </c>
      <c r="Z71" s="19">
        <f>Z53*Inputs!$H$60</f>
        <v>2206.8381990935013</v>
      </c>
      <c r="AA71" s="19">
        <f>AA53*Inputs!$H$60</f>
        <v>2204.62483008751</v>
      </c>
      <c r="AB71" s="19">
        <f>AB53*Inputs!$H$60</f>
        <v>2202.8099144477046</v>
      </c>
      <c r="AC71" s="19">
        <f>AC53*Inputs!$H$60</f>
        <v>2200.8365184671929</v>
      </c>
      <c r="AD71" s="19">
        <f>AD53*Inputs!$H$60</f>
        <v>2198.8782926395884</v>
      </c>
      <c r="AE71" s="19">
        <f>AE53*Inputs!$H$60</f>
        <v>2197.0433847258769</v>
      </c>
      <c r="AF71" s="19">
        <f>AF53*Inputs!$H$60</f>
        <v>2195.1916554598479</v>
      </c>
      <c r="AG71" s="19">
        <f>AG53*Inputs!$H$60</f>
        <v>2195.1742308590333</v>
      </c>
      <c r="AH71" s="19">
        <f>AH53*Inputs!$H$60</f>
        <v>2195.1455804224061</v>
      </c>
    </row>
    <row r="72" spans="1:34" s="20" customFormat="1" ht="15">
      <c r="A72" s="27" t="s">
        <v>222</v>
      </c>
      <c r="B72" s="39"/>
      <c r="C72" s="334">
        <f>C54*Inputs!$H$61</f>
        <v>4356.2970000000005</v>
      </c>
      <c r="D72" s="334">
        <f>D54*Inputs!$H$61</f>
        <v>5083.0560000000005</v>
      </c>
      <c r="E72" s="334">
        <f>E54*Inputs!$H$61</f>
        <v>4581.0371809039179</v>
      </c>
      <c r="F72" s="334">
        <f>F54*Inputs!$H$61</f>
        <v>5446.5459452497153</v>
      </c>
      <c r="G72" s="334">
        <f>G54*Inputs!$H$61</f>
        <v>4862.2231915219927</v>
      </c>
      <c r="H72" s="19">
        <f>H54*Inputs!$H$61</f>
        <v>4634.2888930406425</v>
      </c>
      <c r="I72" s="19">
        <f>I54*Inputs!$H$61</f>
        <v>4999.9145017982701</v>
      </c>
      <c r="J72" s="19">
        <f>J54*Inputs!$H$61</f>
        <v>5456.0411430889199</v>
      </c>
      <c r="K72" s="19">
        <f>K54*Inputs!$H$61</f>
        <v>5211.4541388060943</v>
      </c>
      <c r="L72" s="19">
        <f>L54*Inputs!$H$61</f>
        <v>5148.4187278936142</v>
      </c>
      <c r="M72" s="19">
        <f>M54*Inputs!$H$61</f>
        <v>5233.2866654993641</v>
      </c>
      <c r="N72" s="190">
        <f>N54*Inputs!$H$61</f>
        <v>5392.2331020981283</v>
      </c>
      <c r="O72" s="19">
        <f>O54*Inputs!$H$61</f>
        <v>5474.0652274296299</v>
      </c>
      <c r="P72" s="19">
        <f>P54*Inputs!$H$61</f>
        <v>5589.0717155547536</v>
      </c>
      <c r="Q72" s="19">
        <f>Q54*Inputs!$H$61</f>
        <v>5803.1862624171363</v>
      </c>
      <c r="R72" s="19">
        <f>R54*Inputs!$H$61</f>
        <v>5935.0445685572558</v>
      </c>
      <c r="S72" s="19">
        <f>S54*Inputs!$H$61</f>
        <v>6006.6492167080169</v>
      </c>
      <c r="T72" s="19">
        <f>T54*Inputs!$H$61</f>
        <v>6103.932258529826</v>
      </c>
      <c r="U72" s="19">
        <f>U54*Inputs!$H$61</f>
        <v>6198.9250772415235</v>
      </c>
      <c r="V72" s="19">
        <f>V54*Inputs!$H$61</f>
        <v>6309.8868252739549</v>
      </c>
      <c r="W72" s="19">
        <f>W54*Inputs!$H$61</f>
        <v>6361.7444217322418</v>
      </c>
      <c r="X72" s="182">
        <f>X54*Inputs!$H$61</f>
        <v>6460.7213291893368</v>
      </c>
      <c r="Y72" s="19">
        <f>Y54*Inputs!$H$61</f>
        <v>6503.2202872714179</v>
      </c>
      <c r="Z72" s="19">
        <f>Z54*Inputs!$H$61</f>
        <v>6574.4640559208219</v>
      </c>
      <c r="AA72" s="19">
        <f>AA54*Inputs!$H$61</f>
        <v>6625.8906031286706</v>
      </c>
      <c r="AB72" s="19">
        <f>AB54*Inputs!$H$61</f>
        <v>6697.1229747443513</v>
      </c>
      <c r="AC72" s="19">
        <f>AC54*Inputs!$H$61</f>
        <v>6809.6643220479973</v>
      </c>
      <c r="AD72" s="19">
        <f>AD54*Inputs!$H$61</f>
        <v>6910.2630239880691</v>
      </c>
      <c r="AE72" s="19">
        <f>AE54*Inputs!$H$61</f>
        <v>7069.7468404046367</v>
      </c>
      <c r="AF72" s="19">
        <f>AF54*Inputs!$H$61</f>
        <v>7246.5357147147379</v>
      </c>
      <c r="AG72" s="19">
        <f>AG54*Inputs!$H$61</f>
        <v>7383.6076343501327</v>
      </c>
      <c r="AH72" s="19">
        <f>AH54*Inputs!$H$61</f>
        <v>7490.2104325599748</v>
      </c>
    </row>
    <row r="73" spans="1:34" ht="15">
      <c r="A73" s="27" t="s">
        <v>58</v>
      </c>
      <c r="C73" s="331">
        <f>SUM(C70:C72)</f>
        <v>9355.4560799999999</v>
      </c>
      <c r="D73" s="331">
        <f t="shared" ref="D73:AH73" si="27">SUM(D70:D72)</f>
        <v>10402.03908</v>
      </c>
      <c r="E73" s="331">
        <f t="shared" si="27"/>
        <v>9721.2808975011503</v>
      </c>
      <c r="F73" s="331">
        <f t="shared" si="27"/>
        <v>10200.880511133673</v>
      </c>
      <c r="G73" s="331">
        <f t="shared" si="27"/>
        <v>9809.5625505007993</v>
      </c>
      <c r="H73" s="14">
        <f t="shared" si="27"/>
        <v>9671.503195771651</v>
      </c>
      <c r="I73" s="14">
        <f t="shared" si="27"/>
        <v>10028.667343619552</v>
      </c>
      <c r="J73" s="14">
        <f t="shared" si="27"/>
        <v>10534.891541816991</v>
      </c>
      <c r="K73" s="14">
        <f t="shared" si="27"/>
        <v>10540.07250201796</v>
      </c>
      <c r="L73" s="14">
        <f t="shared" si="27"/>
        <v>10615.237960008959</v>
      </c>
      <c r="M73" s="14">
        <f t="shared" si="27"/>
        <v>10760.223485235299</v>
      </c>
      <c r="N73" s="190">
        <f t="shared" si="27"/>
        <v>10949.968103696425</v>
      </c>
      <c r="O73" s="14">
        <f t="shared" si="27"/>
        <v>11105.624892309126</v>
      </c>
      <c r="P73" s="14">
        <f t="shared" si="27"/>
        <v>11275.268099998606</v>
      </c>
      <c r="Q73" s="14">
        <f t="shared" si="27"/>
        <v>11600.223495803097</v>
      </c>
      <c r="R73" s="14">
        <f t="shared" si="27"/>
        <v>11802.552372227092</v>
      </c>
      <c r="S73" s="14">
        <f t="shared" si="27"/>
        <v>12027.342183948276</v>
      </c>
      <c r="T73" s="14">
        <f t="shared" si="27"/>
        <v>12162.156740082261</v>
      </c>
      <c r="U73" s="14">
        <f t="shared" si="27"/>
        <v>12284.208253603992</v>
      </c>
      <c r="V73" s="14">
        <f t="shared" si="27"/>
        <v>12420.773316667841</v>
      </c>
      <c r="W73" s="14">
        <f t="shared" si="27"/>
        <v>12614.564703078166</v>
      </c>
      <c r="X73" s="187">
        <f t="shared" si="27"/>
        <v>12739.374754824879</v>
      </c>
      <c r="Y73" s="14">
        <f t="shared" si="27"/>
        <v>12799.799132425447</v>
      </c>
      <c r="Z73" s="14">
        <f t="shared" si="27"/>
        <v>12885.339566471728</v>
      </c>
      <c r="AA73" s="14">
        <f t="shared" si="27"/>
        <v>12953.573353230775</v>
      </c>
      <c r="AB73" s="14">
        <f t="shared" si="27"/>
        <v>13044.866171064841</v>
      </c>
      <c r="AC73" s="14">
        <f t="shared" si="27"/>
        <v>13174.889493863346</v>
      </c>
      <c r="AD73" s="14">
        <f t="shared" si="27"/>
        <v>13300.058646591155</v>
      </c>
      <c r="AE73" s="14">
        <f t="shared" si="27"/>
        <v>13485.755303247406</v>
      </c>
      <c r="AF73" s="14">
        <f t="shared" si="27"/>
        <v>13693.493508116928</v>
      </c>
      <c r="AG73" s="14">
        <f t="shared" si="27"/>
        <v>13864.189466827291</v>
      </c>
      <c r="AH73" s="14">
        <f t="shared" si="27"/>
        <v>14000.902558199596</v>
      </c>
    </row>
    <row r="75" spans="1:34">
      <c r="B75" s="89"/>
      <c r="H75" s="89"/>
      <c r="I75" s="89"/>
      <c r="J75" s="89"/>
      <c r="K75" s="89"/>
      <c r="L75" s="89"/>
      <c r="M75" s="89"/>
      <c r="N75" s="190" t="s">
        <v>0</v>
      </c>
      <c r="O75" s="89"/>
      <c r="P75" s="89"/>
      <c r="Q75" s="89"/>
      <c r="R75" s="89"/>
      <c r="S75" s="89"/>
      <c r="T75" s="89"/>
      <c r="U75" s="89"/>
      <c r="V75" s="89"/>
      <c r="W75" s="89"/>
    </row>
    <row r="76" spans="1:34">
      <c r="B76" s="89"/>
      <c r="H76" s="89"/>
      <c r="I76" s="89"/>
      <c r="J76" s="89"/>
      <c r="K76" s="89"/>
      <c r="L76" s="89"/>
      <c r="M76" s="89"/>
      <c r="O76" s="89"/>
      <c r="P76" s="89"/>
      <c r="Q76" s="89"/>
      <c r="R76" s="89"/>
      <c r="S76" s="89"/>
      <c r="T76" s="89"/>
      <c r="U76" s="89"/>
      <c r="V76" s="89"/>
      <c r="W76" s="89"/>
    </row>
    <row r="77" spans="1:34" hidden="1">
      <c r="A77" s="1" t="s">
        <v>189</v>
      </c>
      <c r="B77" s="33"/>
    </row>
    <row r="78" spans="1:34" hidden="1">
      <c r="A78" t="s">
        <v>190</v>
      </c>
      <c r="B78" s="33"/>
      <c r="C78" s="335">
        <f>'backup - EIA liq_fuelS_aeo2014'!E46</f>
        <v>273.77869168296451</v>
      </c>
      <c r="D78" s="335">
        <f>'backup - EIA liq_fuelS_aeo2014'!F46</f>
        <v>330.59007454663532</v>
      </c>
      <c r="E78" s="335">
        <f>'backup - EIA liq_fuelS_aeo2014'!G46</f>
        <v>346.41273999999999</v>
      </c>
      <c r="F78" s="335">
        <f>'backup - EIA liq_fuelS_aeo2014'!H46</f>
        <v>332.23648773503913</v>
      </c>
      <c r="G78" s="335">
        <f>'backup - EIA liq_fuelS_aeo2014'!I46</f>
        <v>336.63400877733272</v>
      </c>
      <c r="H78" s="12">
        <f>'backup - EIA liq_fuelS_aeo2014'!J46</f>
        <v>352.19858305216189</v>
      </c>
      <c r="I78" s="12">
        <f>'backup - EIA liq_fuelS_aeo2014'!K46</f>
        <v>332.67387741278202</v>
      </c>
      <c r="J78" s="12">
        <f>'backup - EIA liq_fuelS_aeo2014'!L46</f>
        <v>334.25860074671806</v>
      </c>
      <c r="K78" s="12">
        <f>'backup - EIA liq_fuelS_aeo2014'!M46</f>
        <v>341.17813427402433</v>
      </c>
      <c r="L78" s="12">
        <f>'backup - EIA liq_fuelS_aeo2014'!N46</f>
        <v>345.58877710595249</v>
      </c>
      <c r="M78" s="12">
        <f>'backup - EIA liq_fuelS_aeo2014'!O46</f>
        <v>352.0193896929872</v>
      </c>
      <c r="N78" s="390">
        <f>'backup - EIA liq_fuelS_aeo2014'!P46</f>
        <v>362.16295876265764</v>
      </c>
      <c r="O78" s="12">
        <f>'backup - EIA liq_fuelS_aeo2014'!Q46</f>
        <v>371.28950968144909</v>
      </c>
      <c r="P78" s="12">
        <f>'backup - EIA liq_fuelS_aeo2014'!R46</f>
        <v>386.73310267300621</v>
      </c>
      <c r="Q78" s="12">
        <f>'backup - EIA liq_fuelS_aeo2014'!S46</f>
        <v>401.15959175664915</v>
      </c>
      <c r="R78" s="12">
        <f>'backup - EIA liq_fuelS_aeo2014'!T46</f>
        <v>414.56272820760728</v>
      </c>
      <c r="S78" s="12">
        <f>'backup - EIA liq_fuelS_aeo2014'!U46</f>
        <v>426.01426158540727</v>
      </c>
      <c r="T78" s="12">
        <f>'backup - EIA liq_fuelS_aeo2014'!V46</f>
        <v>436.3142303161336</v>
      </c>
      <c r="U78" s="12">
        <f>'backup - EIA liq_fuelS_aeo2014'!W46</f>
        <v>444.95490300330164</v>
      </c>
      <c r="V78" s="12">
        <f>'backup - EIA liq_fuelS_aeo2014'!X46</f>
        <v>451.53307562319765</v>
      </c>
      <c r="W78" s="12">
        <f>'backup - EIA liq_fuelS_aeo2014'!Y46</f>
        <v>456.17321024350161</v>
      </c>
      <c r="X78" s="391">
        <f>'backup - EIA liq_fuelS_aeo2014'!Z46</f>
        <v>459.60339229062083</v>
      </c>
    </row>
    <row r="79" spans="1:34" hidden="1">
      <c r="B79" s="33"/>
    </row>
    <row r="80" spans="1:34" hidden="1">
      <c r="B80" s="33"/>
    </row>
    <row r="81" spans="1:24" hidden="1">
      <c r="B81" s="33"/>
    </row>
    <row r="82" spans="1:24" hidden="1">
      <c r="B82" s="33"/>
    </row>
    <row r="83" spans="1:24" hidden="1">
      <c r="A83" s="1" t="s">
        <v>2</v>
      </c>
      <c r="B83" s="33"/>
      <c r="C83" s="330" t="e">
        <f>C78*Inputs!$C58</f>
        <v>#REF!</v>
      </c>
      <c r="D83" s="330" t="e">
        <f>D78*Inputs!$C58</f>
        <v>#REF!</v>
      </c>
      <c r="E83" s="330" t="e">
        <f>E78*Inputs!$C58</f>
        <v>#REF!</v>
      </c>
      <c r="F83" s="330" t="e">
        <f>F78*Inputs!$C58</f>
        <v>#REF!</v>
      </c>
      <c r="G83" s="330" t="e">
        <f>G78*Inputs!$C58</f>
        <v>#REF!</v>
      </c>
      <c r="H83" s="50" t="e">
        <f>H78*Inputs!$C58</f>
        <v>#REF!</v>
      </c>
      <c r="I83" s="50" t="e">
        <f>I78*Inputs!$C58</f>
        <v>#REF!</v>
      </c>
      <c r="J83" s="50" t="e">
        <f>J78*Inputs!$C58</f>
        <v>#REF!</v>
      </c>
      <c r="K83" s="50" t="e">
        <f>K78*Inputs!$C58</f>
        <v>#REF!</v>
      </c>
      <c r="L83" s="50" t="e">
        <f>L78*Inputs!$C58</f>
        <v>#REF!</v>
      </c>
      <c r="M83" s="50" t="e">
        <f>M78*Inputs!$C58</f>
        <v>#REF!</v>
      </c>
      <c r="N83" s="388" t="e">
        <f>N78*Inputs!$C58</f>
        <v>#REF!</v>
      </c>
      <c r="O83" s="50" t="e">
        <f>O78*Inputs!$C58</f>
        <v>#REF!</v>
      </c>
      <c r="P83" s="50" t="e">
        <f>P78*Inputs!$C58</f>
        <v>#REF!</v>
      </c>
      <c r="Q83" s="50" t="e">
        <f>Q78*Inputs!$C58</f>
        <v>#REF!</v>
      </c>
      <c r="R83" s="50" t="e">
        <f>R78*Inputs!$C58</f>
        <v>#REF!</v>
      </c>
      <c r="S83" s="50" t="e">
        <f>S78*Inputs!$C58</f>
        <v>#REF!</v>
      </c>
      <c r="T83" s="50" t="e">
        <f>T78*Inputs!$C58</f>
        <v>#REF!</v>
      </c>
      <c r="U83" s="50" t="e">
        <f>U78*Inputs!$C58</f>
        <v>#REF!</v>
      </c>
      <c r="V83" s="50" t="e">
        <f>V78*Inputs!$C58</f>
        <v>#REF!</v>
      </c>
      <c r="W83" s="50" t="e">
        <f>W78*Inputs!$C58</f>
        <v>#REF!</v>
      </c>
      <c r="X83" s="184" t="e">
        <f>X78*Inputs!$C58</f>
        <v>#REF!</v>
      </c>
    </row>
    <row r="84" spans="1:24" hidden="1">
      <c r="B84" s="33"/>
    </row>
    <row r="85" spans="1:24">
      <c r="B85" s="33"/>
    </row>
  </sheetData>
  <pageMargins left="0.7" right="0.7" top="0.75" bottom="0.75" header="0.3" footer="0.3"/>
  <pageSetup orientation="portrait"/>
  <legacy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71"/>
  <sheetViews>
    <sheetView zoomScale="85" zoomScaleNormal="85" zoomScalePageLayoutView="85" workbookViewId="0">
      <selection activeCell="A12" sqref="A12:XFD12"/>
    </sheetView>
  </sheetViews>
  <sheetFormatPr baseColWidth="10" defaultColWidth="17.6640625" defaultRowHeight="12" x14ac:dyDescent="0"/>
  <cols>
    <col min="1" max="1" width="18.1640625" style="81" customWidth="1"/>
    <col min="2" max="2" width="19.1640625" style="81" customWidth="1"/>
    <col min="3" max="3" width="9.5" style="81" customWidth="1"/>
    <col min="4" max="4" width="9.6640625" style="81" customWidth="1"/>
    <col min="5" max="5" width="8.5" style="417" customWidth="1"/>
    <col min="6" max="6" width="9" style="417" customWidth="1"/>
    <col min="7" max="7" width="9.6640625" style="81" customWidth="1"/>
    <col min="8" max="8" width="10.83203125" style="417" customWidth="1"/>
    <col min="9" max="9" width="5.6640625" style="417" bestFit="1" customWidth="1"/>
    <col min="10" max="10" width="9.33203125" style="417" customWidth="1"/>
    <col min="11" max="11" width="6.5" style="417" customWidth="1"/>
    <col min="12" max="12" width="9.6640625" style="417" customWidth="1"/>
    <col min="13" max="13" width="5.6640625" style="417" customWidth="1"/>
    <col min="14" max="14" width="8.5" style="81" customWidth="1"/>
    <col min="15" max="15" width="8" style="81" customWidth="1"/>
    <col min="16" max="16" width="7.33203125" style="81" customWidth="1"/>
    <col min="17" max="17" width="79.83203125" style="81" hidden="1" customWidth="1"/>
    <col min="18" max="16384" width="17.6640625" style="81"/>
  </cols>
  <sheetData>
    <row r="1" spans="1:16">
      <c r="A1" s="559"/>
      <c r="B1" s="559"/>
      <c r="C1" s="559"/>
      <c r="D1" s="559"/>
      <c r="E1" s="559"/>
      <c r="F1" s="559"/>
      <c r="G1" s="559"/>
      <c r="H1" s="559"/>
      <c r="I1" s="559"/>
      <c r="J1" s="559"/>
      <c r="K1" s="559"/>
      <c r="L1" s="559"/>
      <c r="M1" s="559"/>
      <c r="N1" s="559"/>
      <c r="O1" s="559"/>
      <c r="P1" s="559"/>
    </row>
    <row r="2" spans="1:16">
      <c r="A2" s="559"/>
      <c r="B2" s="559"/>
      <c r="C2" s="559"/>
      <c r="D2" s="559"/>
      <c r="E2" s="559"/>
      <c r="F2" s="559"/>
      <c r="G2" s="559"/>
      <c r="H2" s="559"/>
      <c r="I2" s="559"/>
      <c r="J2" s="559"/>
      <c r="K2" s="559"/>
      <c r="L2" s="559"/>
      <c r="M2" s="559"/>
      <c r="N2" s="559"/>
      <c r="O2" s="559"/>
      <c r="P2" s="559"/>
    </row>
    <row r="3" spans="1:16">
      <c r="A3" s="559"/>
      <c r="B3" s="559"/>
      <c r="C3" s="559"/>
      <c r="D3" s="559"/>
      <c r="E3" s="559"/>
      <c r="F3" s="559"/>
      <c r="G3" s="559"/>
      <c r="H3" s="559"/>
      <c r="I3" s="559"/>
      <c r="J3" s="559"/>
      <c r="K3" s="559"/>
      <c r="L3" s="559"/>
      <c r="M3" s="559"/>
      <c r="N3" s="559"/>
      <c r="O3" s="559"/>
      <c r="P3" s="559"/>
    </row>
    <row r="4" spans="1:16">
      <c r="A4" s="559"/>
      <c r="B4" s="559"/>
      <c r="C4" s="559"/>
      <c r="D4" s="559"/>
      <c r="E4" s="559"/>
      <c r="F4" s="559"/>
      <c r="G4" s="559"/>
      <c r="H4" s="559"/>
      <c r="I4" s="559"/>
      <c r="J4" s="559"/>
      <c r="K4" s="559"/>
      <c r="L4" s="559"/>
      <c r="M4" s="559"/>
      <c r="N4" s="559"/>
      <c r="O4" s="559"/>
      <c r="P4" s="559"/>
    </row>
    <row r="5" spans="1:16">
      <c r="A5" s="559"/>
      <c r="B5" s="559"/>
      <c r="C5" s="559"/>
      <c r="D5" s="559"/>
      <c r="E5" s="559"/>
      <c r="F5" s="559"/>
      <c r="G5" s="559"/>
      <c r="H5" s="559"/>
      <c r="I5" s="559"/>
      <c r="J5" s="559"/>
      <c r="K5" s="559"/>
      <c r="L5" s="559"/>
      <c r="M5" s="559"/>
      <c r="N5" s="559"/>
      <c r="O5" s="559"/>
      <c r="P5" s="559"/>
    </row>
    <row r="6" spans="1:16">
      <c r="A6" s="559"/>
      <c r="B6" s="559"/>
      <c r="C6" s="559"/>
      <c r="D6" s="559"/>
      <c r="E6" s="559"/>
      <c r="F6" s="559"/>
      <c r="G6" s="559"/>
      <c r="H6" s="559"/>
      <c r="I6" s="559"/>
      <c r="J6" s="559"/>
      <c r="K6" s="559"/>
      <c r="L6" s="559"/>
      <c r="M6" s="559"/>
      <c r="N6" s="559"/>
      <c r="O6" s="559"/>
      <c r="P6" s="559"/>
    </row>
    <row r="7" spans="1:16">
      <c r="A7" s="559"/>
      <c r="B7" s="559"/>
      <c r="C7" s="559"/>
      <c r="D7" s="559"/>
      <c r="E7" s="559"/>
      <c r="F7" s="559"/>
      <c r="G7" s="559"/>
      <c r="H7" s="559"/>
      <c r="I7" s="559"/>
      <c r="J7" s="559"/>
      <c r="K7" s="559"/>
      <c r="L7" s="559"/>
      <c r="M7" s="559"/>
      <c r="N7" s="559"/>
      <c r="O7" s="559"/>
      <c r="P7" s="559"/>
    </row>
    <row r="8" spans="1:16">
      <c r="A8" s="559"/>
      <c r="B8" s="559"/>
      <c r="C8" s="559"/>
      <c r="D8" s="559"/>
      <c r="E8" s="559"/>
      <c r="F8" s="559"/>
      <c r="G8" s="559"/>
      <c r="H8" s="559"/>
      <c r="I8" s="559"/>
      <c r="J8" s="559"/>
      <c r="K8" s="559"/>
      <c r="L8" s="559"/>
      <c r="M8" s="559"/>
      <c r="N8" s="559"/>
      <c r="O8" s="559"/>
      <c r="P8" s="559"/>
    </row>
    <row r="9" spans="1:16" ht="2.25" customHeight="1">
      <c r="A9" s="559"/>
      <c r="B9" s="559"/>
      <c r="C9" s="559"/>
      <c r="D9" s="559"/>
      <c r="E9" s="559"/>
      <c r="F9" s="559"/>
      <c r="G9" s="559"/>
      <c r="H9" s="559"/>
      <c r="I9" s="559"/>
      <c r="J9" s="559"/>
      <c r="K9" s="559"/>
      <c r="L9" s="559"/>
      <c r="M9" s="559"/>
      <c r="N9" s="559"/>
      <c r="O9" s="559"/>
      <c r="P9" s="559"/>
    </row>
    <row r="10" spans="1:16" ht="12" hidden="1" customHeight="1">
      <c r="A10" s="537" t="s">
        <v>212</v>
      </c>
      <c r="B10" s="539">
        <v>2000</v>
      </c>
      <c r="C10" s="541" t="s">
        <v>219</v>
      </c>
      <c r="D10" s="541" t="s">
        <v>556</v>
      </c>
      <c r="E10" s="544" t="s">
        <v>213</v>
      </c>
      <c r="F10" s="545"/>
      <c r="G10" s="539"/>
      <c r="H10" s="548" t="s">
        <v>557</v>
      </c>
      <c r="I10" s="549"/>
      <c r="J10" s="549"/>
      <c r="K10" s="549"/>
      <c r="L10" s="549"/>
      <c r="M10" s="549"/>
      <c r="N10" s="549"/>
      <c r="O10" s="550"/>
      <c r="P10" s="533"/>
    </row>
    <row r="11" spans="1:16" ht="55" customHeight="1">
      <c r="A11" s="538"/>
      <c r="B11" s="540"/>
      <c r="C11" s="542"/>
      <c r="D11" s="542"/>
      <c r="E11" s="546"/>
      <c r="F11" s="547"/>
      <c r="G11" s="540"/>
      <c r="H11" s="547" t="s">
        <v>214</v>
      </c>
      <c r="I11" s="540"/>
      <c r="J11" s="546" t="s">
        <v>215</v>
      </c>
      <c r="K11" s="540"/>
      <c r="L11" s="546" t="s">
        <v>216</v>
      </c>
      <c r="M11" s="547"/>
      <c r="N11" s="547"/>
      <c r="O11" s="540"/>
      <c r="P11" s="533"/>
    </row>
    <row r="12" spans="1:16" ht="98" customHeight="1" thickBot="1">
      <c r="A12" s="211" t="s">
        <v>217</v>
      </c>
      <c r="B12" s="211" t="s">
        <v>218</v>
      </c>
      <c r="C12" s="543"/>
      <c r="D12" s="543"/>
      <c r="E12" s="411" t="s">
        <v>558</v>
      </c>
      <c r="F12" s="435" t="s">
        <v>559</v>
      </c>
      <c r="G12" s="212" t="s">
        <v>308</v>
      </c>
      <c r="H12" s="423" t="s">
        <v>360</v>
      </c>
      <c r="I12" s="435" t="s">
        <v>560</v>
      </c>
      <c r="J12" s="411" t="s">
        <v>360</v>
      </c>
      <c r="K12" s="435" t="s">
        <v>560</v>
      </c>
      <c r="L12" s="411" t="s">
        <v>360</v>
      </c>
      <c r="M12" s="435" t="s">
        <v>560</v>
      </c>
      <c r="N12" s="212" t="s">
        <v>58</v>
      </c>
      <c r="O12" s="212" t="s">
        <v>561</v>
      </c>
      <c r="P12" s="558"/>
    </row>
    <row r="13" spans="1:16" ht="13" thickTop="1">
      <c r="A13" s="443" t="s">
        <v>562</v>
      </c>
      <c r="B13" s="443" t="s">
        <v>563</v>
      </c>
      <c r="C13" s="444">
        <v>0.85</v>
      </c>
      <c r="D13" s="445">
        <v>40</v>
      </c>
      <c r="E13" s="433">
        <v>4.29</v>
      </c>
      <c r="F13" s="446">
        <v>1.53</v>
      </c>
      <c r="G13" s="434">
        <v>0</v>
      </c>
      <c r="H13" s="447">
        <f t="shared" ref="H13:H31" si="0">E13/D13</f>
        <v>0.10725</v>
      </c>
      <c r="I13" s="434">
        <f t="shared" ref="I13:I31" si="1">F13+G13*8760/1000*C13</f>
        <v>1.53</v>
      </c>
      <c r="J13" s="448">
        <f t="shared" ref="J13:J31" si="2">H13/C13</f>
        <v>0.12617647058823531</v>
      </c>
      <c r="K13" s="434">
        <f t="shared" ref="K13:K31" si="3">I13/C13</f>
        <v>1.8</v>
      </c>
      <c r="L13" s="448">
        <f t="shared" ref="L13:M30" si="4">J13/8760*1000</f>
        <v>1.4403706688154716E-2</v>
      </c>
      <c r="M13" s="434">
        <f t="shared" si="4"/>
        <v>0.20547945205479454</v>
      </c>
      <c r="N13" s="449">
        <f t="shared" ref="N13:N31" si="5">SUM(L13:M13)</f>
        <v>0.21988315874294925</v>
      </c>
      <c r="O13" s="551">
        <f>AVERAGE(N13:N14)</f>
        <v>0.20532702121944668</v>
      </c>
      <c r="P13" s="558"/>
    </row>
    <row r="14" spans="1:16" ht="13" thickBot="1">
      <c r="A14" s="223" t="s">
        <v>564</v>
      </c>
      <c r="B14" s="223" t="s">
        <v>565</v>
      </c>
      <c r="C14" s="224">
        <v>0.85</v>
      </c>
      <c r="D14" s="225">
        <v>40</v>
      </c>
      <c r="E14" s="226">
        <v>8.5</v>
      </c>
      <c r="F14" s="432">
        <v>0.24</v>
      </c>
      <c r="G14" s="528">
        <v>0.13</v>
      </c>
      <c r="H14" s="414">
        <f t="shared" si="0"/>
        <v>0.21249999999999999</v>
      </c>
      <c r="I14" s="528">
        <f t="shared" si="1"/>
        <v>1.2079800000000001</v>
      </c>
      <c r="J14" s="427">
        <f t="shared" si="2"/>
        <v>0.25</v>
      </c>
      <c r="K14" s="528">
        <f t="shared" si="3"/>
        <v>1.4211529411764707</v>
      </c>
      <c r="L14" s="427">
        <f t="shared" si="4"/>
        <v>2.8538812785388126E-2</v>
      </c>
      <c r="M14" s="528">
        <f t="shared" si="4"/>
        <v>0.16223207091055603</v>
      </c>
      <c r="N14" s="419">
        <f t="shared" si="5"/>
        <v>0.19077088369594414</v>
      </c>
      <c r="O14" s="552"/>
      <c r="P14" s="558"/>
    </row>
    <row r="15" spans="1:16">
      <c r="A15" s="227" t="s">
        <v>566</v>
      </c>
      <c r="B15" s="227" t="s">
        <v>567</v>
      </c>
      <c r="C15" s="228">
        <v>0.9</v>
      </c>
      <c r="D15" s="229">
        <v>40</v>
      </c>
      <c r="E15" s="230">
        <f>36000/5600</f>
        <v>6.4285714285714288</v>
      </c>
      <c r="F15" s="464">
        <f>10000/5600</f>
        <v>1.7857142857142858</v>
      </c>
      <c r="G15" s="230">
        <v>0</v>
      </c>
      <c r="H15" s="412">
        <f t="shared" si="0"/>
        <v>0.16071428571428573</v>
      </c>
      <c r="I15" s="529">
        <f t="shared" si="1"/>
        <v>1.7857142857142858</v>
      </c>
      <c r="J15" s="428">
        <f t="shared" si="2"/>
        <v>0.17857142857142858</v>
      </c>
      <c r="K15" s="529">
        <f t="shared" si="3"/>
        <v>1.9841269841269842</v>
      </c>
      <c r="L15" s="428">
        <f t="shared" si="4"/>
        <v>2.0384866275277233E-2</v>
      </c>
      <c r="M15" s="529">
        <f t="shared" si="4"/>
        <v>0.22649851416974706</v>
      </c>
      <c r="N15" s="421">
        <f t="shared" si="5"/>
        <v>0.24688338044502428</v>
      </c>
      <c r="O15" s="553">
        <f>AVERAGE(N15:N17)</f>
        <v>0.24750247638375492</v>
      </c>
      <c r="P15" s="558"/>
    </row>
    <row r="16" spans="1:16">
      <c r="A16" s="217" t="s">
        <v>568</v>
      </c>
      <c r="B16" s="217" t="s">
        <v>312</v>
      </c>
      <c r="C16" s="218">
        <v>0.9</v>
      </c>
      <c r="D16" s="219">
        <v>40</v>
      </c>
      <c r="E16" s="216">
        <v>17.5</v>
      </c>
      <c r="F16" s="527">
        <v>1.7</v>
      </c>
      <c r="G16" s="216">
        <v>0</v>
      </c>
      <c r="H16" s="526">
        <f>E16/D16</f>
        <v>0.4375</v>
      </c>
      <c r="I16" s="530">
        <f>F16+G16*8760/1000*C16</f>
        <v>1.7</v>
      </c>
      <c r="J16" s="429">
        <f>H16/C16</f>
        <v>0.4861111111111111</v>
      </c>
      <c r="K16" s="530">
        <f>I16/C16</f>
        <v>1.8888888888888888</v>
      </c>
      <c r="L16" s="429">
        <f t="shared" si="4"/>
        <v>5.5492135971588023E-2</v>
      </c>
      <c r="M16" s="530">
        <f t="shared" si="4"/>
        <v>0.21562658548959918</v>
      </c>
      <c r="N16" s="420">
        <f>SUM(L16:M16)</f>
        <v>0.27111872146118721</v>
      </c>
      <c r="O16" s="554"/>
      <c r="P16" s="558"/>
    </row>
    <row r="17" spans="1:16" ht="13" thickBot="1">
      <c r="A17" s="451" t="s">
        <v>569</v>
      </c>
      <c r="B17" s="451" t="s">
        <v>563</v>
      </c>
      <c r="C17" s="452">
        <v>0.9</v>
      </c>
      <c r="D17" s="453">
        <v>40</v>
      </c>
      <c r="E17" s="438">
        <v>4</v>
      </c>
      <c r="F17" s="450">
        <v>1.67</v>
      </c>
      <c r="G17" s="438">
        <v>0</v>
      </c>
      <c r="H17" s="454">
        <f>E17/D17</f>
        <v>0.1</v>
      </c>
      <c r="I17" s="439">
        <f>F17+G17*8760/1000*C17</f>
        <v>1.67</v>
      </c>
      <c r="J17" s="441">
        <f>H17/C17</f>
        <v>0.11111111111111112</v>
      </c>
      <c r="K17" s="439">
        <f>I17/C17</f>
        <v>1.8555555555555554</v>
      </c>
      <c r="L17" s="441">
        <f t="shared" si="4"/>
        <v>1.2683916793505836E-2</v>
      </c>
      <c r="M17" s="439">
        <f t="shared" si="4"/>
        <v>0.21182141045154743</v>
      </c>
      <c r="N17" s="442">
        <f>SUM(L17:M17)</f>
        <v>0.22450532724505326</v>
      </c>
      <c r="O17" s="552"/>
      <c r="P17" s="558"/>
    </row>
    <row r="18" spans="1:16">
      <c r="A18" s="227" t="s">
        <v>570</v>
      </c>
      <c r="B18" s="227" t="s">
        <v>312</v>
      </c>
      <c r="C18" s="228">
        <v>0.85</v>
      </c>
      <c r="D18" s="229">
        <v>40</v>
      </c>
      <c r="E18" s="230">
        <v>21.3</v>
      </c>
      <c r="F18" s="464">
        <v>7.8</v>
      </c>
      <c r="G18" s="230">
        <v>0</v>
      </c>
      <c r="H18" s="412">
        <f>E18/D18</f>
        <v>0.53249999999999997</v>
      </c>
      <c r="I18" s="529">
        <f>F18+G18*8760/1000*C18</f>
        <v>7.8</v>
      </c>
      <c r="J18" s="428">
        <f>H18/C18</f>
        <v>0.62647058823529411</v>
      </c>
      <c r="K18" s="529">
        <f>I18/C18</f>
        <v>9.1764705882352935</v>
      </c>
      <c r="L18" s="428">
        <f t="shared" si="4"/>
        <v>7.1514907332796127E-2</v>
      </c>
      <c r="M18" s="529">
        <f t="shared" si="4"/>
        <v>1.0475423045930701</v>
      </c>
      <c r="N18" s="421">
        <f>SUM(L18:M18)</f>
        <v>1.1190572119258662</v>
      </c>
      <c r="O18" s="553">
        <f>AVERAGE(N18:N19)</f>
        <v>0.71885911899006172</v>
      </c>
      <c r="P18" s="558"/>
    </row>
    <row r="19" spans="1:16" ht="13" thickBot="1">
      <c r="A19" s="451" t="s">
        <v>571</v>
      </c>
      <c r="B19" s="451" t="s">
        <v>563</v>
      </c>
      <c r="C19" s="452">
        <v>0.85</v>
      </c>
      <c r="D19" s="453">
        <v>40</v>
      </c>
      <c r="E19" s="438">
        <v>3.71</v>
      </c>
      <c r="F19" s="450">
        <v>2.2799999999999998</v>
      </c>
      <c r="G19" s="438">
        <v>0</v>
      </c>
      <c r="H19" s="454">
        <f t="shared" si="0"/>
        <v>9.2749999999999999E-2</v>
      </c>
      <c r="I19" s="439">
        <f t="shared" si="1"/>
        <v>2.2799999999999998</v>
      </c>
      <c r="J19" s="441">
        <f t="shared" si="2"/>
        <v>0.10911764705882353</v>
      </c>
      <c r="K19" s="439">
        <f t="shared" si="3"/>
        <v>2.6823529411764704</v>
      </c>
      <c r="L19" s="441">
        <f t="shared" si="4"/>
        <v>1.2456352403975288E-2</v>
      </c>
      <c r="M19" s="439">
        <f t="shared" si="4"/>
        <v>0.30620467365028203</v>
      </c>
      <c r="N19" s="442">
        <f t="shared" si="5"/>
        <v>0.31866102605425733</v>
      </c>
      <c r="O19" s="552"/>
      <c r="P19" s="558"/>
    </row>
    <row r="20" spans="1:16" ht="13" thickBot="1">
      <c r="A20" s="231" t="s">
        <v>572</v>
      </c>
      <c r="B20" s="231" t="s">
        <v>563</v>
      </c>
      <c r="C20" s="232">
        <v>0.55000000000000004</v>
      </c>
      <c r="D20" s="233">
        <v>40</v>
      </c>
      <c r="E20" s="234">
        <v>5.71</v>
      </c>
      <c r="F20" s="462">
        <v>1.1399999999999999</v>
      </c>
      <c r="G20" s="234">
        <v>0</v>
      </c>
      <c r="H20" s="413">
        <f t="shared" si="0"/>
        <v>0.14274999999999999</v>
      </c>
      <c r="I20" s="235">
        <f t="shared" si="1"/>
        <v>1.1399999999999999</v>
      </c>
      <c r="J20" s="430">
        <f t="shared" si="2"/>
        <v>0.25954545454545452</v>
      </c>
      <c r="K20" s="235">
        <f t="shared" si="3"/>
        <v>2.0727272727272723</v>
      </c>
      <c r="L20" s="430">
        <f t="shared" si="4"/>
        <v>2.9628476546284761E-2</v>
      </c>
      <c r="M20" s="235">
        <f t="shared" si="4"/>
        <v>0.236612702366127</v>
      </c>
      <c r="N20" s="422">
        <f t="shared" si="5"/>
        <v>0.26624117891241178</v>
      </c>
      <c r="O20" s="235">
        <f>N20</f>
        <v>0.26624117891241178</v>
      </c>
      <c r="P20" s="533"/>
    </row>
    <row r="21" spans="1:16">
      <c r="A21" s="236" t="s">
        <v>309</v>
      </c>
      <c r="B21" s="236" t="s">
        <v>573</v>
      </c>
      <c r="C21" s="237">
        <v>0.2</v>
      </c>
      <c r="D21" s="238">
        <v>25</v>
      </c>
      <c r="E21" s="239">
        <v>37</v>
      </c>
      <c r="F21" s="468">
        <v>1</v>
      </c>
      <c r="G21" s="239">
        <v>0</v>
      </c>
      <c r="H21" s="424">
        <f>E21/D21</f>
        <v>1.48</v>
      </c>
      <c r="I21" s="531">
        <f>F21+G21*8760/1000*C21</f>
        <v>1</v>
      </c>
      <c r="J21" s="431">
        <f>H21/C21</f>
        <v>7.3999999999999995</v>
      </c>
      <c r="K21" s="531">
        <f>I21/C21</f>
        <v>5</v>
      </c>
      <c r="L21" s="431">
        <f>J21/8760*1000</f>
        <v>0.84474885844748848</v>
      </c>
      <c r="M21" s="531">
        <f>K21/8760*1000</f>
        <v>0.57077625570776247</v>
      </c>
      <c r="N21" s="426">
        <f>SUM(L21:M21)</f>
        <v>1.415525114155251</v>
      </c>
      <c r="O21" s="555">
        <f>N38</f>
        <v>0.79313246811604099</v>
      </c>
      <c r="P21" s="533"/>
    </row>
    <row r="22" spans="1:16">
      <c r="A22" s="455" t="s">
        <v>310</v>
      </c>
      <c r="B22" s="455" t="s">
        <v>221</v>
      </c>
      <c r="C22" s="456">
        <v>0.2</v>
      </c>
      <c r="D22" s="457">
        <v>25</v>
      </c>
      <c r="E22" s="458">
        <v>32.340000000000003</v>
      </c>
      <c r="F22" s="467">
        <v>0.37</v>
      </c>
      <c r="G22" s="458">
        <v>0</v>
      </c>
      <c r="H22" s="459">
        <f t="shared" si="0"/>
        <v>1.2936000000000001</v>
      </c>
      <c r="I22" s="525">
        <f t="shared" si="1"/>
        <v>0.37</v>
      </c>
      <c r="J22" s="460">
        <f t="shared" si="2"/>
        <v>6.468</v>
      </c>
      <c r="K22" s="525">
        <f t="shared" si="3"/>
        <v>1.8499999999999999</v>
      </c>
      <c r="L22" s="460">
        <f t="shared" si="4"/>
        <v>0.73835616438356166</v>
      </c>
      <c r="M22" s="525">
        <f t="shared" si="4"/>
        <v>0.21118721461187212</v>
      </c>
      <c r="N22" s="461">
        <f t="shared" si="5"/>
        <v>0.94954337899543373</v>
      </c>
      <c r="O22" s="556"/>
      <c r="P22" s="533"/>
    </row>
    <row r="23" spans="1:16" ht="13" thickBot="1">
      <c r="A23" s="451" t="s">
        <v>311</v>
      </c>
      <c r="B23" s="451" t="s">
        <v>563</v>
      </c>
      <c r="C23" s="452">
        <v>0.2</v>
      </c>
      <c r="D23" s="451">
        <v>25</v>
      </c>
      <c r="E23" s="438">
        <v>7.14</v>
      </c>
      <c r="F23" s="450">
        <v>0.12</v>
      </c>
      <c r="G23" s="465">
        <v>0</v>
      </c>
      <c r="H23" s="454">
        <f t="shared" si="0"/>
        <v>0.28559999999999997</v>
      </c>
      <c r="I23" s="438">
        <f t="shared" si="1"/>
        <v>0.12</v>
      </c>
      <c r="J23" s="450">
        <f t="shared" si="2"/>
        <v>1.4279999999999997</v>
      </c>
      <c r="K23" s="438">
        <f t="shared" si="3"/>
        <v>0.6</v>
      </c>
      <c r="L23" s="450">
        <f t="shared" si="4"/>
        <v>0.16301369863013696</v>
      </c>
      <c r="M23" s="438">
        <f t="shared" si="4"/>
        <v>6.8493150684931503E-2</v>
      </c>
      <c r="N23" s="466">
        <f t="shared" si="5"/>
        <v>0.23150684931506846</v>
      </c>
      <c r="O23" s="557"/>
      <c r="P23" s="533"/>
    </row>
    <row r="24" spans="1:16">
      <c r="A24" s="227" t="s">
        <v>434</v>
      </c>
      <c r="B24" s="227" t="s">
        <v>438</v>
      </c>
      <c r="C24" s="240">
        <v>0.4</v>
      </c>
      <c r="D24" s="229">
        <v>25</v>
      </c>
      <c r="E24" s="230">
        <f>10310/1000</f>
        <v>10.31</v>
      </c>
      <c r="F24" s="464">
        <v>1</v>
      </c>
      <c r="G24" s="230">
        <v>0</v>
      </c>
      <c r="H24" s="424">
        <f t="shared" si="0"/>
        <v>0.41240000000000004</v>
      </c>
      <c r="I24" s="531">
        <f t="shared" si="1"/>
        <v>1</v>
      </c>
      <c r="J24" s="431">
        <f t="shared" si="2"/>
        <v>1.0310000000000001</v>
      </c>
      <c r="K24" s="531">
        <f t="shared" si="3"/>
        <v>2.5</v>
      </c>
      <c r="L24" s="431">
        <f t="shared" si="4"/>
        <v>0.11769406392694066</v>
      </c>
      <c r="M24" s="531">
        <f t="shared" si="4"/>
        <v>0.28538812785388123</v>
      </c>
      <c r="N24" s="426">
        <f t="shared" si="5"/>
        <v>0.40308219178082189</v>
      </c>
      <c r="O24" s="553">
        <f>AVERAGE(N24:N25,N26)</f>
        <v>0.23028919330289191</v>
      </c>
      <c r="P24" s="533"/>
    </row>
    <row r="25" spans="1:16">
      <c r="A25" s="214" t="s">
        <v>435</v>
      </c>
      <c r="B25" s="214" t="s">
        <v>437</v>
      </c>
      <c r="C25" s="220">
        <v>0.4</v>
      </c>
      <c r="D25" s="215">
        <v>25</v>
      </c>
      <c r="E25" s="216">
        <v>4.5</v>
      </c>
      <c r="F25" s="527">
        <v>0.38</v>
      </c>
      <c r="G25" s="530">
        <v>0</v>
      </c>
      <c r="H25" s="415">
        <f t="shared" si="0"/>
        <v>0.18</v>
      </c>
      <c r="I25" s="530">
        <f t="shared" si="1"/>
        <v>0.38</v>
      </c>
      <c r="J25" s="429">
        <f t="shared" si="2"/>
        <v>0.44999999999999996</v>
      </c>
      <c r="K25" s="530">
        <f t="shared" si="3"/>
        <v>0.95</v>
      </c>
      <c r="L25" s="429">
        <f t="shared" si="4"/>
        <v>5.1369863013698627E-2</v>
      </c>
      <c r="M25" s="530">
        <f t="shared" si="4"/>
        <v>0.10844748858447488</v>
      </c>
      <c r="N25" s="420">
        <f t="shared" si="5"/>
        <v>0.15981735159817351</v>
      </c>
      <c r="O25" s="554"/>
      <c r="P25" s="533"/>
    </row>
    <row r="26" spans="1:16" ht="13" thickBot="1">
      <c r="A26" s="436" t="s">
        <v>436</v>
      </c>
      <c r="B26" s="436" t="s">
        <v>563</v>
      </c>
      <c r="C26" s="463">
        <v>0.4</v>
      </c>
      <c r="D26" s="436">
        <v>25</v>
      </c>
      <c r="E26" s="439">
        <v>5.71</v>
      </c>
      <c r="F26" s="441">
        <v>0.22</v>
      </c>
      <c r="G26" s="465">
        <v>0</v>
      </c>
      <c r="H26" s="440">
        <f t="shared" si="0"/>
        <v>0.22839999999999999</v>
      </c>
      <c r="I26" s="439">
        <f t="shared" si="1"/>
        <v>0.22</v>
      </c>
      <c r="J26" s="441">
        <f t="shared" si="2"/>
        <v>0.57099999999999995</v>
      </c>
      <c r="K26" s="439">
        <f t="shared" si="3"/>
        <v>0.54999999999999993</v>
      </c>
      <c r="L26" s="441">
        <f t="shared" si="4"/>
        <v>6.5182648401826485E-2</v>
      </c>
      <c r="M26" s="439">
        <f t="shared" si="4"/>
        <v>6.2785388127853878E-2</v>
      </c>
      <c r="N26" s="442">
        <f t="shared" si="5"/>
        <v>0.12796803652968036</v>
      </c>
      <c r="O26" s="552"/>
      <c r="P26" s="533"/>
    </row>
    <row r="27" spans="1:16">
      <c r="A27" s="241" t="s">
        <v>574</v>
      </c>
      <c r="B27" s="241" t="s">
        <v>362</v>
      </c>
      <c r="C27" s="240">
        <v>0.35</v>
      </c>
      <c r="D27" s="229">
        <v>25</v>
      </c>
      <c r="E27" s="230">
        <v>10.1</v>
      </c>
      <c r="F27" s="464">
        <v>0.4</v>
      </c>
      <c r="G27" s="529">
        <v>0</v>
      </c>
      <c r="H27" s="425">
        <f t="shared" si="0"/>
        <v>0.40399999999999997</v>
      </c>
      <c r="I27" s="529">
        <f t="shared" si="1"/>
        <v>0.4</v>
      </c>
      <c r="J27" s="428">
        <f t="shared" si="2"/>
        <v>1.1542857142857144</v>
      </c>
      <c r="K27" s="529">
        <f t="shared" si="3"/>
        <v>1.142857142857143</v>
      </c>
      <c r="L27" s="428">
        <f t="shared" si="4"/>
        <v>0.13176777560339206</v>
      </c>
      <c r="M27" s="529">
        <f t="shared" si="4"/>
        <v>0.13046314416177432</v>
      </c>
      <c r="N27" s="421">
        <f t="shared" si="5"/>
        <v>0.26223091976516638</v>
      </c>
      <c r="O27" s="553">
        <f>AVERAGE(N27,N28,N29:N31)</f>
        <v>0.16974559686888452</v>
      </c>
      <c r="P27" s="533"/>
    </row>
    <row r="28" spans="1:16">
      <c r="A28" s="214" t="s">
        <v>220</v>
      </c>
      <c r="B28" s="214" t="s">
        <v>221</v>
      </c>
      <c r="C28" s="220">
        <v>0.35</v>
      </c>
      <c r="D28" s="219">
        <v>25</v>
      </c>
      <c r="E28" s="216">
        <v>3.8</v>
      </c>
      <c r="F28" s="527">
        <v>0.14399999999999999</v>
      </c>
      <c r="G28" s="530">
        <v>0</v>
      </c>
      <c r="H28" s="415">
        <f t="shared" si="0"/>
        <v>0.152</v>
      </c>
      <c r="I28" s="530">
        <f t="shared" si="1"/>
        <v>0.14399999999999999</v>
      </c>
      <c r="J28" s="429">
        <f t="shared" si="2"/>
        <v>0.43428571428571427</v>
      </c>
      <c r="K28" s="530">
        <f t="shared" si="3"/>
        <v>0.41142857142857142</v>
      </c>
      <c r="L28" s="429">
        <f t="shared" si="4"/>
        <v>4.9575994781474238E-2</v>
      </c>
      <c r="M28" s="530">
        <f t="shared" si="4"/>
        <v>4.6966731898238752E-2</v>
      </c>
      <c r="N28" s="420">
        <f t="shared" si="5"/>
        <v>9.654272667971299E-2</v>
      </c>
      <c r="O28" s="554"/>
      <c r="P28" s="533"/>
    </row>
    <row r="29" spans="1:16">
      <c r="A29" s="214" t="s">
        <v>361</v>
      </c>
      <c r="B29" s="214" t="s">
        <v>575</v>
      </c>
      <c r="C29" s="220">
        <v>0.35</v>
      </c>
      <c r="D29" s="215">
        <v>25</v>
      </c>
      <c r="E29" s="530">
        <v>10.96</v>
      </c>
      <c r="F29" s="429">
        <v>0.17499999999999999</v>
      </c>
      <c r="G29" s="530">
        <v>0</v>
      </c>
      <c r="H29" s="415">
        <f t="shared" si="0"/>
        <v>0.43840000000000001</v>
      </c>
      <c r="I29" s="530">
        <f t="shared" si="1"/>
        <v>0.17499999999999999</v>
      </c>
      <c r="J29" s="429">
        <f t="shared" si="2"/>
        <v>1.2525714285714287</v>
      </c>
      <c r="K29" s="530">
        <f t="shared" si="3"/>
        <v>0.5</v>
      </c>
      <c r="L29" s="429">
        <f t="shared" si="4"/>
        <v>0.14298760600130464</v>
      </c>
      <c r="M29" s="530">
        <f t="shared" si="4"/>
        <v>5.7077625570776253E-2</v>
      </c>
      <c r="N29" s="420">
        <f t="shared" si="5"/>
        <v>0.20006523157208089</v>
      </c>
      <c r="O29" s="554"/>
      <c r="P29" s="533"/>
    </row>
    <row r="30" spans="1:16">
      <c r="A30" s="214" t="s">
        <v>576</v>
      </c>
      <c r="B30" s="214" t="s">
        <v>312</v>
      </c>
      <c r="C30" s="220">
        <v>0.35</v>
      </c>
      <c r="D30" s="215">
        <v>25</v>
      </c>
      <c r="E30" s="530">
        <v>7.4</v>
      </c>
      <c r="F30" s="429">
        <v>0.2</v>
      </c>
      <c r="G30" s="530">
        <v>0</v>
      </c>
      <c r="H30" s="415">
        <f t="shared" si="0"/>
        <v>0.29600000000000004</v>
      </c>
      <c r="I30" s="530">
        <f t="shared" si="1"/>
        <v>0.2</v>
      </c>
      <c r="J30" s="429">
        <f t="shared" si="2"/>
        <v>0.84571428571428586</v>
      </c>
      <c r="K30" s="530">
        <f t="shared" si="3"/>
        <v>0.57142857142857151</v>
      </c>
      <c r="L30" s="429">
        <f t="shared" si="4"/>
        <v>9.6542726679713003E-2</v>
      </c>
      <c r="M30" s="530">
        <f t="shared" si="4"/>
        <v>6.523157208088716E-2</v>
      </c>
      <c r="N30" s="420">
        <f t="shared" si="5"/>
        <v>0.16177429876060018</v>
      </c>
      <c r="O30" s="554"/>
      <c r="P30" s="533"/>
    </row>
    <row r="31" spans="1:16" ht="13" thickBot="1">
      <c r="A31" s="436" t="s">
        <v>577</v>
      </c>
      <c r="B31" s="436" t="s">
        <v>563</v>
      </c>
      <c r="C31" s="463">
        <v>0.35</v>
      </c>
      <c r="D31" s="437">
        <v>25</v>
      </c>
      <c r="E31" s="439">
        <v>2.57</v>
      </c>
      <c r="F31" s="441">
        <v>0.28999999999999998</v>
      </c>
      <c r="G31" s="439">
        <v>0</v>
      </c>
      <c r="H31" s="440">
        <f t="shared" si="0"/>
        <v>0.10279999999999999</v>
      </c>
      <c r="I31" s="439">
        <f t="shared" si="1"/>
        <v>0.28999999999999998</v>
      </c>
      <c r="J31" s="441">
        <f t="shared" si="2"/>
        <v>0.29371428571428571</v>
      </c>
      <c r="K31" s="439">
        <f t="shared" si="3"/>
        <v>0.82857142857142851</v>
      </c>
      <c r="L31" s="441">
        <f>J31/8760*1000</f>
        <v>3.3529028049575992E-2</v>
      </c>
      <c r="M31" s="439">
        <f>K31/8760*1000</f>
        <v>9.4585779517286361E-2</v>
      </c>
      <c r="N31" s="442">
        <f t="shared" si="5"/>
        <v>0.12811480756686236</v>
      </c>
      <c r="O31" s="552"/>
      <c r="P31" s="533"/>
    </row>
    <row r="32" spans="1:16" ht="23" thickBot="1">
      <c r="A32" s="231" t="s">
        <v>431</v>
      </c>
      <c r="B32" s="231" t="s">
        <v>432</v>
      </c>
      <c r="C32" s="232">
        <v>0.8</v>
      </c>
      <c r="D32" s="233">
        <v>40</v>
      </c>
      <c r="E32" s="234">
        <v>20.48</v>
      </c>
      <c r="F32" s="462">
        <v>0.31</v>
      </c>
      <c r="G32" s="234">
        <v>0.06</v>
      </c>
      <c r="H32" s="413">
        <v>0.51200000000000001</v>
      </c>
      <c r="I32" s="235">
        <v>0.73048000000000002</v>
      </c>
      <c r="J32" s="430">
        <v>0.64</v>
      </c>
      <c r="K32" s="235">
        <v>0.91310000000000002</v>
      </c>
      <c r="L32" s="430">
        <v>7.3059360730593603E-2</v>
      </c>
      <c r="M32" s="235">
        <v>0.10423515981735161</v>
      </c>
      <c r="N32" s="422">
        <v>0.1772945205479452</v>
      </c>
      <c r="O32" s="235">
        <f>N32</f>
        <v>0.1772945205479452</v>
      </c>
      <c r="P32" s="533"/>
    </row>
    <row r="33" spans="1:16" ht="13" thickBot="1">
      <c r="A33" s="231" t="s">
        <v>225</v>
      </c>
      <c r="B33" s="231" t="s">
        <v>433</v>
      </c>
      <c r="C33" s="232">
        <v>0.9</v>
      </c>
      <c r="D33" s="233">
        <v>40</v>
      </c>
      <c r="E33" s="234">
        <v>15.2</v>
      </c>
      <c r="F33" s="462">
        <v>0.7</v>
      </c>
      <c r="G33" s="234">
        <v>0</v>
      </c>
      <c r="H33" s="416">
        <f>E33/D33</f>
        <v>0.38</v>
      </c>
      <c r="I33" s="235">
        <f>F33+G33*8760/1000*C33</f>
        <v>0.7</v>
      </c>
      <c r="J33" s="430">
        <f>H33/C33</f>
        <v>0.42222222222222222</v>
      </c>
      <c r="K33" s="235">
        <f>I33/C33</f>
        <v>0.77777777777777768</v>
      </c>
      <c r="L33" s="430">
        <f t="shared" ref="L33:M35" si="6">J33/8760*1000</f>
        <v>4.8198883815322169E-2</v>
      </c>
      <c r="M33" s="235">
        <f t="shared" si="6"/>
        <v>8.8787417554540837E-2</v>
      </c>
      <c r="N33" s="422">
        <f>SUM(L33:M33)</f>
        <v>0.13698630136986301</v>
      </c>
      <c r="O33" s="235">
        <f>N33</f>
        <v>0.13698630136986301</v>
      </c>
      <c r="P33" s="533"/>
    </row>
    <row r="34" spans="1:16" ht="13" thickBot="1">
      <c r="A34" s="242" t="s">
        <v>142</v>
      </c>
      <c r="B34" s="242" t="s">
        <v>223</v>
      </c>
      <c r="C34" s="243">
        <v>0.8</v>
      </c>
      <c r="D34" s="244">
        <v>40</v>
      </c>
      <c r="E34" s="235">
        <v>8.5</v>
      </c>
      <c r="F34" s="430">
        <v>0.18</v>
      </c>
      <c r="G34" s="235">
        <v>5.8999999999999997E-2</v>
      </c>
      <c r="H34" s="416">
        <f>E34/D34</f>
        <v>0.21249999999999999</v>
      </c>
      <c r="I34" s="235">
        <v>0.59</v>
      </c>
      <c r="J34" s="430">
        <f>H34/C34</f>
        <v>0.265625</v>
      </c>
      <c r="K34" s="235">
        <f>I34/C34</f>
        <v>0.73749999999999993</v>
      </c>
      <c r="L34" s="430">
        <f t="shared" si="6"/>
        <v>3.0322488584474887E-2</v>
      </c>
      <c r="M34" s="235">
        <f t="shared" si="6"/>
        <v>8.4189497716894962E-2</v>
      </c>
      <c r="N34" s="422">
        <f>SUM(L34:M34)</f>
        <v>0.11451198630136986</v>
      </c>
      <c r="O34" s="235">
        <f>N34</f>
        <v>0.11451198630136986</v>
      </c>
      <c r="P34" s="533"/>
    </row>
    <row r="35" spans="1:16" ht="13" thickBot="1">
      <c r="A35" s="242" t="s">
        <v>222</v>
      </c>
      <c r="B35" s="242" t="s">
        <v>312</v>
      </c>
      <c r="C35" s="243">
        <v>0.85</v>
      </c>
      <c r="D35" s="244">
        <v>40</v>
      </c>
      <c r="E35" s="235">
        <v>1.02</v>
      </c>
      <c r="F35" s="430">
        <v>0.1</v>
      </c>
      <c r="G35" s="235">
        <v>0.09</v>
      </c>
      <c r="H35" s="416">
        <f>E35/D35</f>
        <v>2.5500000000000002E-2</v>
      </c>
      <c r="I35" s="235">
        <f>F35+G35*8760/1000*C35</f>
        <v>0.77013999999999994</v>
      </c>
      <c r="J35" s="430">
        <f>H35/C35</f>
        <v>3.0000000000000002E-2</v>
      </c>
      <c r="K35" s="235">
        <f>I35/C35</f>
        <v>0.90604705882352932</v>
      </c>
      <c r="L35" s="430">
        <f t="shared" si="6"/>
        <v>3.4246575342465756E-3</v>
      </c>
      <c r="M35" s="235">
        <f t="shared" si="6"/>
        <v>0.10343002954606499</v>
      </c>
      <c r="N35" s="422">
        <f>SUM(L35:M35)</f>
        <v>0.10685468708031157</v>
      </c>
      <c r="O35" s="235">
        <f>N35</f>
        <v>0.10685468708031157</v>
      </c>
      <c r="P35" s="533"/>
    </row>
    <row r="36" spans="1:16">
      <c r="A36" s="213" t="s">
        <v>427</v>
      </c>
      <c r="B36" s="213" t="s">
        <v>429</v>
      </c>
      <c r="C36" s="245">
        <v>1</v>
      </c>
      <c r="D36" s="222">
        <v>20</v>
      </c>
      <c r="E36" s="563" t="s">
        <v>0</v>
      </c>
      <c r="F36" s="564"/>
      <c r="G36" s="564"/>
      <c r="H36" s="564"/>
      <c r="I36" s="564"/>
      <c r="J36" s="564"/>
      <c r="K36" s="564"/>
      <c r="L36" s="564"/>
      <c r="M36" s="565"/>
      <c r="N36" s="418">
        <v>0.17</v>
      </c>
      <c r="O36" s="566">
        <f>AVERAGE(N36,N37)</f>
        <v>0.38</v>
      </c>
      <c r="P36" s="533"/>
    </row>
    <row r="37" spans="1:16">
      <c r="A37" s="214" t="s">
        <v>428</v>
      </c>
      <c r="B37" s="214" t="s">
        <v>430</v>
      </c>
      <c r="C37" s="221">
        <v>1</v>
      </c>
      <c r="D37" s="215">
        <v>20</v>
      </c>
      <c r="E37" s="560" t="s">
        <v>0</v>
      </c>
      <c r="F37" s="561"/>
      <c r="G37" s="561"/>
      <c r="H37" s="561"/>
      <c r="I37" s="561"/>
      <c r="J37" s="561"/>
      <c r="K37" s="561"/>
      <c r="L37" s="561"/>
      <c r="M37" s="562"/>
      <c r="N37" s="420">
        <v>0.59</v>
      </c>
      <c r="O37" s="567"/>
      <c r="P37" s="533"/>
    </row>
    <row r="38" spans="1:16">
      <c r="A38" s="81" t="s">
        <v>758</v>
      </c>
      <c r="B38" s="81" t="s">
        <v>759</v>
      </c>
      <c r="C38" s="535">
        <v>0.2</v>
      </c>
      <c r="D38" s="81">
        <v>25</v>
      </c>
      <c r="E38" s="417">
        <f>(97031+32490+15112+20185)/B39</f>
        <v>14.698366579021558</v>
      </c>
      <c r="F38" s="417">
        <f>(8989)/B39</f>
        <v>0.80163342097844159</v>
      </c>
      <c r="G38" s="81">
        <v>0</v>
      </c>
      <c r="H38" s="417">
        <f>E38/D38</f>
        <v>0.58793466316086229</v>
      </c>
      <c r="I38" s="417">
        <f>F38</f>
        <v>0.80163342097844159</v>
      </c>
      <c r="J38" s="417">
        <f>H38/C38</f>
        <v>2.9396733158043111</v>
      </c>
      <c r="K38" s="417">
        <f>I38/C38</f>
        <v>4.0081671048922081</v>
      </c>
      <c r="L38" s="417">
        <f>J38/8760*1000</f>
        <v>0.33557914563976154</v>
      </c>
      <c r="M38" s="417">
        <f>K38/8760*1000</f>
        <v>0.4575533224762795</v>
      </c>
      <c r="N38" s="81">
        <f>L38+M38</f>
        <v>0.79313246811604099</v>
      </c>
      <c r="P38" s="533"/>
    </row>
    <row r="39" spans="1:16">
      <c r="B39" s="81">
        <f>173807/15.5</f>
        <v>11213.354838709678</v>
      </c>
      <c r="P39" s="533"/>
    </row>
    <row r="40" spans="1:16" ht="14">
      <c r="A40"/>
      <c r="B40"/>
      <c r="C40"/>
      <c r="D40"/>
      <c r="E40"/>
      <c r="F40"/>
      <c r="G40"/>
      <c r="H40"/>
      <c r="I40"/>
      <c r="J40"/>
      <c r="K40"/>
      <c r="L40"/>
      <c r="M40"/>
      <c r="N40"/>
      <c r="O40"/>
      <c r="P40" s="533"/>
    </row>
    <row r="41" spans="1:16" ht="14">
      <c r="A41"/>
      <c r="B41"/>
      <c r="C41"/>
      <c r="D41"/>
      <c r="E41"/>
      <c r="F41"/>
      <c r="G41"/>
      <c r="H41"/>
      <c r="I41"/>
      <c r="J41"/>
      <c r="K41"/>
      <c r="L41"/>
      <c r="M41"/>
      <c r="N41"/>
      <c r="O41"/>
      <c r="P41" s="533"/>
    </row>
    <row r="42" spans="1:16" ht="14">
      <c r="A42"/>
      <c r="B42"/>
      <c r="C42"/>
      <c r="D42"/>
      <c r="E42"/>
      <c r="F42"/>
      <c r="G42"/>
      <c r="H42"/>
      <c r="I42"/>
      <c r="J42"/>
      <c r="K42"/>
      <c r="L42"/>
      <c r="M42"/>
      <c r="N42"/>
      <c r="O42"/>
      <c r="P42" s="533"/>
    </row>
    <row r="43" spans="1:16" ht="14">
      <c r="A43"/>
      <c r="B43"/>
      <c r="C43"/>
      <c r="D43"/>
      <c r="E43"/>
      <c r="F43"/>
      <c r="G43"/>
      <c r="H43"/>
      <c r="I43"/>
      <c r="J43"/>
      <c r="K43"/>
      <c r="L43"/>
      <c r="M43"/>
      <c r="N43"/>
      <c r="O43"/>
      <c r="P43" s="533"/>
    </row>
    <row r="44" spans="1:16" ht="14">
      <c r="A44"/>
      <c r="B44"/>
      <c r="C44"/>
      <c r="D44"/>
      <c r="E44"/>
      <c r="F44"/>
      <c r="G44"/>
      <c r="H44"/>
      <c r="I44"/>
      <c r="J44"/>
      <c r="K44"/>
      <c r="L44"/>
      <c r="M44"/>
      <c r="N44"/>
      <c r="O44"/>
      <c r="P44" s="533"/>
    </row>
    <row r="45" spans="1:16" ht="14">
      <c r="A45"/>
      <c r="B45"/>
      <c r="C45"/>
      <c r="D45"/>
      <c r="E45"/>
      <c r="F45"/>
      <c r="G45"/>
      <c r="H45"/>
      <c r="I45"/>
      <c r="J45"/>
      <c r="K45"/>
      <c r="L45"/>
      <c r="M45"/>
      <c r="N45"/>
      <c r="O45"/>
      <c r="P45" s="533"/>
    </row>
    <row r="46" spans="1:16">
      <c r="A46" s="533"/>
      <c r="B46" s="533"/>
      <c r="C46" s="533"/>
      <c r="D46" s="533"/>
      <c r="E46" s="533"/>
      <c r="F46" s="533"/>
      <c r="G46" s="533"/>
      <c r="H46" s="533"/>
      <c r="I46" s="533"/>
      <c r="J46" s="533"/>
      <c r="K46" s="533"/>
      <c r="L46" s="533"/>
      <c r="M46" s="533"/>
      <c r="N46" s="533"/>
      <c r="O46" s="533"/>
      <c r="P46" s="533"/>
    </row>
    <row r="47" spans="1:16">
      <c r="A47" s="533"/>
      <c r="B47" s="533"/>
      <c r="C47" s="533"/>
      <c r="D47" s="533"/>
      <c r="E47" s="533"/>
      <c r="F47" s="533"/>
      <c r="G47" s="533"/>
      <c r="H47" s="533"/>
      <c r="I47" s="533"/>
      <c r="J47" s="533"/>
      <c r="K47" s="533"/>
      <c r="L47" s="533"/>
      <c r="M47" s="533"/>
      <c r="N47" s="534"/>
      <c r="O47" s="533"/>
      <c r="P47" s="533"/>
    </row>
    <row r="49" spans="5:13">
      <c r="E49" s="81"/>
      <c r="F49" s="81"/>
      <c r="H49" s="81"/>
      <c r="I49" s="81"/>
      <c r="J49" s="81"/>
      <c r="K49" s="81"/>
      <c r="L49" s="81"/>
      <c r="M49" s="81"/>
    </row>
    <row r="50" spans="5:13">
      <c r="E50" s="81"/>
      <c r="F50" s="81"/>
      <c r="H50" s="81"/>
      <c r="I50" s="81"/>
      <c r="J50" s="81"/>
      <c r="K50" s="81"/>
      <c r="L50" s="81"/>
      <c r="M50" s="81"/>
    </row>
    <row r="51" spans="5:13">
      <c r="E51" s="81"/>
      <c r="F51" s="81"/>
      <c r="H51" s="81"/>
      <c r="I51" s="81"/>
      <c r="J51" s="81"/>
      <c r="K51" s="81"/>
      <c r="L51" s="81"/>
      <c r="M51" s="81"/>
    </row>
    <row r="52" spans="5:13">
      <c r="E52" s="81"/>
      <c r="F52" s="81"/>
      <c r="H52" s="81"/>
      <c r="I52" s="81"/>
      <c r="J52" s="81"/>
      <c r="K52" s="81"/>
      <c r="L52" s="81"/>
      <c r="M52" s="81"/>
    </row>
    <row r="53" spans="5:13">
      <c r="E53" s="81"/>
      <c r="F53" s="81"/>
      <c r="H53" s="81"/>
      <c r="I53" s="81"/>
      <c r="J53" s="81"/>
      <c r="K53" s="81"/>
      <c r="L53" s="81"/>
      <c r="M53" s="81"/>
    </row>
    <row r="54" spans="5:13">
      <c r="E54" s="81"/>
      <c r="F54" s="81"/>
      <c r="H54" s="81"/>
      <c r="I54" s="81"/>
      <c r="J54" s="81"/>
      <c r="K54" s="81"/>
      <c r="L54" s="81"/>
      <c r="M54" s="81"/>
    </row>
    <row r="55" spans="5:13">
      <c r="E55" s="81"/>
      <c r="F55" s="81"/>
      <c r="H55" s="81"/>
      <c r="I55" s="81"/>
      <c r="J55" s="81"/>
      <c r="K55" s="81"/>
      <c r="L55" s="81"/>
      <c r="M55" s="81"/>
    </row>
    <row r="56" spans="5:13">
      <c r="E56" s="81"/>
      <c r="F56" s="81"/>
      <c r="H56" s="81"/>
      <c r="I56" s="81"/>
      <c r="J56" s="81"/>
      <c r="K56" s="81"/>
      <c r="L56" s="81"/>
      <c r="M56" s="81"/>
    </row>
    <row r="57" spans="5:13">
      <c r="E57" s="81"/>
      <c r="F57" s="81"/>
      <c r="H57" s="81"/>
      <c r="I57" s="81"/>
      <c r="J57" s="81"/>
      <c r="K57" s="81"/>
      <c r="L57" s="81"/>
      <c r="M57" s="81"/>
    </row>
    <row r="58" spans="5:13">
      <c r="E58" s="81"/>
      <c r="F58" s="81"/>
      <c r="H58" s="81"/>
      <c r="I58" s="81"/>
      <c r="J58" s="81"/>
      <c r="K58" s="81"/>
      <c r="L58" s="81"/>
      <c r="M58" s="81"/>
    </row>
    <row r="59" spans="5:13">
      <c r="E59" s="81"/>
      <c r="F59" s="81"/>
      <c r="H59" s="81"/>
      <c r="I59" s="81"/>
      <c r="J59" s="81"/>
      <c r="K59" s="81"/>
      <c r="L59" s="81"/>
      <c r="M59" s="81"/>
    </row>
    <row r="60" spans="5:13">
      <c r="E60" s="81"/>
      <c r="F60" s="81"/>
      <c r="H60" s="81"/>
      <c r="I60" s="81"/>
      <c r="J60" s="81"/>
      <c r="K60" s="81"/>
      <c r="L60" s="81"/>
      <c r="M60" s="81"/>
    </row>
    <row r="61" spans="5:13">
      <c r="E61" s="81"/>
      <c r="F61" s="81"/>
      <c r="H61" s="81"/>
      <c r="I61" s="81"/>
      <c r="J61" s="81"/>
      <c r="K61" s="81"/>
      <c r="L61" s="81"/>
      <c r="M61" s="81"/>
    </row>
    <row r="62" spans="5:13">
      <c r="E62" s="81"/>
      <c r="F62" s="81"/>
      <c r="H62" s="81"/>
      <c r="I62" s="81"/>
      <c r="J62" s="81"/>
      <c r="K62" s="81"/>
      <c r="L62" s="81"/>
      <c r="M62" s="81"/>
    </row>
    <row r="63" spans="5:13">
      <c r="E63" s="81"/>
      <c r="F63" s="81"/>
      <c r="H63" s="81"/>
      <c r="I63" s="81"/>
      <c r="J63" s="81"/>
      <c r="K63" s="81"/>
      <c r="L63" s="81"/>
      <c r="M63" s="81"/>
    </row>
    <row r="64" spans="5:13">
      <c r="E64" s="81"/>
      <c r="F64" s="81"/>
      <c r="H64" s="81"/>
      <c r="I64" s="81"/>
      <c r="J64" s="81"/>
      <c r="K64" s="81"/>
      <c r="L64" s="81"/>
      <c r="M64" s="81"/>
    </row>
    <row r="65" spans="5:13">
      <c r="E65" s="81"/>
      <c r="F65" s="81"/>
      <c r="H65" s="81"/>
      <c r="I65" s="81"/>
      <c r="J65" s="81"/>
      <c r="K65" s="81"/>
      <c r="L65" s="81"/>
      <c r="M65" s="81"/>
    </row>
    <row r="66" spans="5:13">
      <c r="E66" s="81"/>
      <c r="F66" s="81"/>
      <c r="H66" s="81"/>
      <c r="I66" s="81"/>
      <c r="J66" s="81"/>
      <c r="K66" s="81"/>
      <c r="L66" s="81"/>
      <c r="M66" s="81"/>
    </row>
    <row r="67" spans="5:13">
      <c r="E67" s="81"/>
      <c r="F67" s="81"/>
      <c r="H67" s="81"/>
      <c r="I67" s="81"/>
      <c r="J67" s="81"/>
      <c r="K67" s="81"/>
      <c r="L67" s="81"/>
      <c r="M67" s="81"/>
    </row>
    <row r="68" spans="5:13">
      <c r="E68" s="81"/>
      <c r="F68" s="81"/>
      <c r="H68" s="81"/>
      <c r="I68" s="81"/>
      <c r="J68" s="81"/>
      <c r="K68" s="81"/>
      <c r="L68" s="81"/>
      <c r="M68" s="81"/>
    </row>
    <row r="69" spans="5:13">
      <c r="E69" s="81"/>
      <c r="F69" s="81"/>
      <c r="H69" s="81"/>
      <c r="I69" s="81"/>
      <c r="J69" s="81"/>
      <c r="K69" s="81"/>
      <c r="L69" s="81"/>
      <c r="M69" s="81"/>
    </row>
    <row r="70" spans="5:13">
      <c r="E70" s="81"/>
      <c r="F70" s="81"/>
      <c r="H70" s="81"/>
      <c r="I70" s="81"/>
      <c r="J70" s="81"/>
      <c r="K70" s="81"/>
      <c r="L70" s="81"/>
      <c r="M70" s="81"/>
    </row>
    <row r="71" spans="5:13">
      <c r="E71" s="81"/>
      <c r="F71" s="81"/>
      <c r="H71" s="81"/>
      <c r="I71" s="81"/>
      <c r="J71" s="81"/>
      <c r="K71" s="81"/>
      <c r="L71" s="81"/>
      <c r="M71" s="81"/>
    </row>
  </sheetData>
  <mergeCells count="20">
    <mergeCell ref="O27:O31"/>
    <mergeCell ref="A1:P9"/>
    <mergeCell ref="E37:M37"/>
    <mergeCell ref="E36:M36"/>
    <mergeCell ref="O36:O37"/>
    <mergeCell ref="O15:O17"/>
    <mergeCell ref="O18:O19"/>
    <mergeCell ref="O24:O26"/>
    <mergeCell ref="O21:O23"/>
    <mergeCell ref="P12:P19"/>
    <mergeCell ref="H10:O10"/>
    <mergeCell ref="H11:I11"/>
    <mergeCell ref="J11:K11"/>
    <mergeCell ref="L11:O11"/>
    <mergeCell ref="O13:O14"/>
    <mergeCell ref="A10:A11"/>
    <mergeCell ref="B10:B11"/>
    <mergeCell ref="C10:C12"/>
    <mergeCell ref="D10:D12"/>
    <mergeCell ref="E10:G11"/>
  </mergeCells>
  <pageMargins left="0.75" right="0.75" top="1" bottom="1" header="0.5" footer="0.5"/>
  <pageSetup orientation="portrait" horizontalDpi="4294967293"/>
  <headerFooter alignWithMargins="0"/>
  <drawing r:id="rId1"/>
  <legacy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34"/>
  <sheetViews>
    <sheetView topLeftCell="B1" workbookViewId="0">
      <pane xSplit="6" ySplit="10" topLeftCell="H29" activePane="bottomRight" state="frozen"/>
      <selection activeCell="B1" sqref="B1"/>
      <selection pane="topRight" activeCell="H1" sqref="H1"/>
      <selection pane="bottomLeft" activeCell="B11" sqref="B11"/>
      <selection pane="bottomRight" activeCell="I29" sqref="I29"/>
    </sheetView>
  </sheetViews>
  <sheetFormatPr baseColWidth="10" defaultColWidth="8.83203125" defaultRowHeight="14" x14ac:dyDescent="0"/>
  <cols>
    <col min="1" max="1" width="10.5" style="156" hidden="1" customWidth="1"/>
    <col min="2" max="2" width="6.83203125" style="157" customWidth="1"/>
    <col min="3" max="3" width="5.1640625" style="154" bestFit="1" customWidth="1"/>
    <col min="4" max="5" width="21.5" style="154" hidden="1" customWidth="1"/>
    <col min="6" max="6" width="28.83203125" style="154" customWidth="1"/>
    <col min="7" max="7" width="31.6640625" style="154" customWidth="1"/>
    <col min="8" max="8" width="40.83203125" style="156" customWidth="1"/>
    <col min="9" max="9" width="60.83203125" style="154" customWidth="1"/>
    <col min="10" max="10" width="86" style="154" customWidth="1"/>
    <col min="11" max="16384" width="8.83203125" style="154"/>
  </cols>
  <sheetData>
    <row r="1" spans="1:12">
      <c r="B1" s="568"/>
      <c r="C1" s="568"/>
      <c r="D1" s="568"/>
      <c r="E1" s="568"/>
      <c r="F1" s="568"/>
      <c r="G1" s="568"/>
      <c r="H1" s="568"/>
      <c r="I1" s="568"/>
      <c r="J1" s="568"/>
      <c r="K1" s="568"/>
      <c r="L1" s="568"/>
    </row>
    <row r="2" spans="1:12">
      <c r="B2" s="568"/>
      <c r="C2" s="568"/>
      <c r="D2" s="568"/>
      <c r="E2" s="568"/>
      <c r="F2" s="568"/>
      <c r="G2" s="568"/>
      <c r="H2" s="568"/>
      <c r="I2" s="568"/>
      <c r="J2" s="568"/>
      <c r="K2" s="568"/>
      <c r="L2" s="568"/>
    </row>
    <row r="3" spans="1:12">
      <c r="B3" s="568"/>
      <c r="C3" s="568"/>
      <c r="D3" s="568"/>
      <c r="E3" s="568"/>
      <c r="F3" s="568"/>
      <c r="G3" s="568"/>
      <c r="H3" s="568"/>
      <c r="I3" s="568"/>
      <c r="J3" s="568"/>
      <c r="K3" s="568"/>
      <c r="L3" s="568"/>
    </row>
    <row r="4" spans="1:12">
      <c r="B4" s="568"/>
      <c r="C4" s="568"/>
      <c r="D4" s="568"/>
      <c r="E4" s="568"/>
      <c r="F4" s="568"/>
      <c r="G4" s="568"/>
      <c r="H4" s="568"/>
      <c r="I4" s="568"/>
      <c r="J4" s="568"/>
      <c r="K4" s="568"/>
      <c r="L4" s="568"/>
    </row>
    <row r="5" spans="1:12">
      <c r="B5" s="568"/>
      <c r="C5" s="568"/>
      <c r="D5" s="568"/>
      <c r="E5" s="568"/>
      <c r="F5" s="568"/>
      <c r="G5" s="568"/>
      <c r="H5" s="568"/>
      <c r="I5" s="568"/>
      <c r="J5" s="568"/>
      <c r="K5" s="568"/>
      <c r="L5" s="568"/>
    </row>
    <row r="6" spans="1:12">
      <c r="B6" s="568"/>
      <c r="C6" s="568"/>
      <c r="D6" s="568"/>
      <c r="E6" s="568"/>
      <c r="F6" s="568"/>
      <c r="G6" s="568"/>
      <c r="H6" s="568"/>
      <c r="I6" s="568"/>
      <c r="J6" s="568"/>
      <c r="K6" s="568"/>
      <c r="L6" s="568"/>
    </row>
    <row r="7" spans="1:12">
      <c r="B7" s="568"/>
      <c r="C7" s="568"/>
      <c r="D7" s="568"/>
      <c r="E7" s="568"/>
      <c r="F7" s="568"/>
      <c r="G7" s="568"/>
      <c r="H7" s="568"/>
      <c r="I7" s="568"/>
      <c r="J7" s="568"/>
      <c r="K7" s="568"/>
      <c r="L7" s="568"/>
    </row>
    <row r="8" spans="1:12">
      <c r="B8" s="568"/>
      <c r="C8" s="568"/>
      <c r="D8" s="568"/>
      <c r="E8" s="568"/>
      <c r="F8" s="568"/>
      <c r="G8" s="568"/>
      <c r="H8" s="568"/>
      <c r="I8" s="568"/>
      <c r="J8" s="568"/>
      <c r="K8" s="568"/>
      <c r="L8" s="568"/>
    </row>
    <row r="9" spans="1:12" ht="48" customHeight="1">
      <c r="B9" s="568"/>
      <c r="C9" s="568"/>
      <c r="D9" s="568"/>
      <c r="E9" s="568"/>
      <c r="F9" s="568"/>
      <c r="G9" s="568"/>
      <c r="H9" s="568"/>
      <c r="I9" s="568"/>
      <c r="J9" s="568"/>
      <c r="K9" s="568"/>
      <c r="L9" s="568"/>
    </row>
    <row r="10" spans="1:12" s="144" customFormat="1" ht="15" thickBot="1">
      <c r="A10" s="139" t="s">
        <v>149</v>
      </c>
      <c r="B10" s="140" t="s">
        <v>460</v>
      </c>
      <c r="C10" s="141" t="s">
        <v>144</v>
      </c>
      <c r="D10" s="141" t="s">
        <v>461</v>
      </c>
      <c r="E10" s="141" t="s">
        <v>265</v>
      </c>
      <c r="F10" s="141" t="s">
        <v>461</v>
      </c>
      <c r="G10" s="141" t="s">
        <v>145</v>
      </c>
      <c r="H10" s="142" t="s">
        <v>146</v>
      </c>
      <c r="I10" s="141" t="s">
        <v>147</v>
      </c>
      <c r="J10" s="143" t="s">
        <v>263</v>
      </c>
    </row>
    <row r="11" spans="1:12" s="145" customFormat="1" ht="84">
      <c r="A11" s="145" t="s">
        <v>143</v>
      </c>
      <c r="B11" s="146">
        <v>1</v>
      </c>
      <c r="C11" s="147">
        <v>2009</v>
      </c>
      <c r="D11" s="147" t="s">
        <v>277</v>
      </c>
      <c r="E11" s="147" t="s">
        <v>275</v>
      </c>
      <c r="F11" s="147" t="str">
        <f>D11 &amp; " - " &amp; E11</f>
        <v>Isabel Blanco and Christian Kjaer - European Wind Energy Association</v>
      </c>
      <c r="G11" s="147" t="s">
        <v>276</v>
      </c>
      <c r="H11" s="147" t="s">
        <v>553</v>
      </c>
      <c r="I11" s="147" t="s">
        <v>462</v>
      </c>
      <c r="J11" s="145" t="s">
        <v>463</v>
      </c>
    </row>
    <row r="12" spans="1:12" s="145" customFormat="1" ht="28">
      <c r="B12" s="148">
        <f>B11+1</f>
        <v>2</v>
      </c>
      <c r="C12" s="149">
        <v>2009</v>
      </c>
      <c r="D12" s="149" t="s">
        <v>464</v>
      </c>
      <c r="E12" s="149" t="s">
        <v>465</v>
      </c>
      <c r="F12" s="147" t="str">
        <f t="shared" ref="F12:F26" si="0">D12 &amp; " - " &amp; E12</f>
        <v>Julio Friedmann - Lawrence Livermore National Laboratory</v>
      </c>
      <c r="G12" s="149" t="s">
        <v>466</v>
      </c>
      <c r="H12" s="149" t="s">
        <v>467</v>
      </c>
      <c r="I12" s="149" t="s">
        <v>468</v>
      </c>
    </row>
    <row r="13" spans="1:12" s="145" customFormat="1" ht="28">
      <c r="B13" s="148">
        <f>B12+1</f>
        <v>3</v>
      </c>
      <c r="C13" s="149">
        <v>2009</v>
      </c>
      <c r="D13" s="149" t="s">
        <v>469</v>
      </c>
      <c r="E13" s="149" t="s">
        <v>470</v>
      </c>
      <c r="F13" s="147" t="str">
        <f t="shared" si="0"/>
        <v>José Goldemberg  - State of São Paulo, Brazil</v>
      </c>
      <c r="G13" s="149" t="s">
        <v>471</v>
      </c>
      <c r="H13" s="149"/>
      <c r="I13" s="149"/>
    </row>
    <row r="14" spans="1:12" s="145" customFormat="1" ht="42">
      <c r="B14" s="150">
        <f>B13+1</f>
        <v>4</v>
      </c>
      <c r="C14" s="151">
        <v>2009</v>
      </c>
      <c r="D14" s="151" t="s">
        <v>472</v>
      </c>
      <c r="E14" s="151" t="s">
        <v>473</v>
      </c>
      <c r="F14" s="147" t="str">
        <f t="shared" si="0"/>
        <v xml:space="preserve">SkyFuels - National Renewable Energy Laboratory </v>
      </c>
      <c r="G14" s="151" t="s">
        <v>474</v>
      </c>
      <c r="H14" s="151" t="s">
        <v>475</v>
      </c>
      <c r="I14" s="151" t="s">
        <v>476</v>
      </c>
    </row>
    <row r="15" spans="1:12" s="152" customFormat="1" ht="93.75" customHeight="1">
      <c r="A15" s="149" t="s">
        <v>224</v>
      </c>
      <c r="B15" s="148">
        <f>B14+1</f>
        <v>5</v>
      </c>
      <c r="C15" s="149">
        <v>2008</v>
      </c>
      <c r="D15" s="149" t="s">
        <v>274</v>
      </c>
      <c r="E15" s="149" t="s">
        <v>272</v>
      </c>
      <c r="F15" s="147" t="str">
        <f t="shared" si="0"/>
        <v>John A. "Skip" Laitner and Vanessa McKinney - American Council for an Energy Efficient Economy</v>
      </c>
      <c r="G15" s="149" t="s">
        <v>273</v>
      </c>
      <c r="H15" s="149" t="s">
        <v>148</v>
      </c>
      <c r="I15" s="149" t="s">
        <v>477</v>
      </c>
      <c r="J15" s="145" t="s">
        <v>478</v>
      </c>
    </row>
    <row r="16" spans="1:12" s="152" customFormat="1" ht="42">
      <c r="A16" s="149"/>
      <c r="B16" s="148">
        <f>B15+1</f>
        <v>6</v>
      </c>
      <c r="C16" s="149">
        <v>2008</v>
      </c>
      <c r="D16" s="149" t="s">
        <v>479</v>
      </c>
      <c r="E16" s="149" t="s">
        <v>480</v>
      </c>
      <c r="F16" s="147" t="str">
        <f t="shared" si="0"/>
        <v>David Roland-Holst - University of California, Berkeley</v>
      </c>
      <c r="G16" s="149" t="s">
        <v>481</v>
      </c>
      <c r="H16" s="149" t="s">
        <v>482</v>
      </c>
      <c r="I16" s="149" t="s">
        <v>483</v>
      </c>
      <c r="J16" s="145"/>
    </row>
    <row r="17" spans="1:10" s="152" customFormat="1" ht="28">
      <c r="A17" s="149"/>
      <c r="B17" s="148">
        <v>7</v>
      </c>
      <c r="C17" s="149">
        <v>2007</v>
      </c>
      <c r="D17" s="149" t="s">
        <v>497</v>
      </c>
      <c r="E17" s="149" t="s">
        <v>0</v>
      </c>
      <c r="F17" s="147" t="str">
        <f>D17</f>
        <v>Vestas</v>
      </c>
      <c r="G17" s="149" t="s">
        <v>498</v>
      </c>
      <c r="H17" s="149" t="s">
        <v>499</v>
      </c>
      <c r="I17" s="149" t="s">
        <v>500</v>
      </c>
      <c r="J17" s="145"/>
    </row>
    <row r="18" spans="1:10" s="152" customFormat="1" ht="42">
      <c r="A18" s="149"/>
      <c r="B18" s="148">
        <v>8</v>
      </c>
      <c r="C18" s="149">
        <v>2006</v>
      </c>
      <c r="D18" s="149" t="s">
        <v>484</v>
      </c>
      <c r="E18" s="149" t="s">
        <v>485</v>
      </c>
      <c r="F18" s="147" t="str">
        <f t="shared" si="0"/>
        <v>Winfried Hoffman, Sven Teske - European Photovoltaic Industry Association (EPIA) and Greenpeace</v>
      </c>
      <c r="G18" s="149" t="s">
        <v>486</v>
      </c>
      <c r="H18" s="149" t="s">
        <v>487</v>
      </c>
      <c r="I18" s="149" t="s">
        <v>488</v>
      </c>
      <c r="J18" s="145"/>
    </row>
    <row r="19" spans="1:10" s="152" customFormat="1" ht="84" customHeight="1">
      <c r="A19" s="149" t="s">
        <v>262</v>
      </c>
      <c r="B19" s="148">
        <v>9</v>
      </c>
      <c r="C19" s="149">
        <v>2006</v>
      </c>
      <c r="D19" s="149" t="s">
        <v>278</v>
      </c>
      <c r="E19" s="149" t="s">
        <v>279</v>
      </c>
      <c r="F19" s="147" t="str">
        <f t="shared" si="0"/>
        <v>Frithjof Staiss, et al. - Forschungsvorhaben im Auftrag des Bundesministeriums für Umwelt, Naturschutz und Reaktorsicherheit, Federal Republic of Germany.</v>
      </c>
      <c r="G19" s="149" t="s">
        <v>533</v>
      </c>
      <c r="H19" s="149" t="s">
        <v>534</v>
      </c>
      <c r="I19" s="149"/>
      <c r="J19" s="145" t="s">
        <v>489</v>
      </c>
    </row>
    <row r="20" spans="1:10" s="152" customFormat="1" ht="42">
      <c r="A20" s="149" t="s">
        <v>314</v>
      </c>
      <c r="B20" s="148">
        <v>10</v>
      </c>
      <c r="C20" s="149">
        <v>2006</v>
      </c>
      <c r="D20" s="149" t="s">
        <v>323</v>
      </c>
      <c r="E20" s="149" t="s">
        <v>320</v>
      </c>
      <c r="F20" s="147" t="str">
        <f t="shared" si="0"/>
        <v>George Sterzinger - Renewable Energy Policy Project (REPP)</v>
      </c>
      <c r="G20" s="149" t="s">
        <v>324</v>
      </c>
      <c r="H20" s="149" t="s">
        <v>490</v>
      </c>
      <c r="I20" s="149" t="s">
        <v>0</v>
      </c>
      <c r="J20" s="145" t="s">
        <v>325</v>
      </c>
    </row>
    <row r="21" spans="1:10" s="152" customFormat="1" ht="70">
      <c r="A21" s="149" t="s">
        <v>491</v>
      </c>
      <c r="B21" s="148">
        <v>11</v>
      </c>
      <c r="C21" s="149">
        <v>2006</v>
      </c>
      <c r="D21" s="149" t="s">
        <v>492</v>
      </c>
      <c r="E21" s="149" t="s">
        <v>493</v>
      </c>
      <c r="F21" s="147" t="str">
        <f t="shared" si="0"/>
        <v>L. Stoddard, J. Abiecunas, R. O'Connell - National Renewable Energy Laboratory</v>
      </c>
      <c r="G21" s="149" t="s">
        <v>494</v>
      </c>
      <c r="H21" s="149" t="s">
        <v>554</v>
      </c>
      <c r="I21" s="149" t="s">
        <v>495</v>
      </c>
      <c r="J21" s="145" t="s">
        <v>496</v>
      </c>
    </row>
    <row r="22" spans="1:10" s="152" customFormat="1" ht="42">
      <c r="A22" s="149" t="s">
        <v>501</v>
      </c>
      <c r="B22" s="148">
        <v>12</v>
      </c>
      <c r="C22" s="149">
        <v>2005</v>
      </c>
      <c r="D22" s="149" t="s">
        <v>502</v>
      </c>
      <c r="E22" s="149" t="s">
        <v>503</v>
      </c>
      <c r="F22" s="147" t="str">
        <f t="shared" si="0"/>
        <v>Doug Arent, John Tschirhart, Dick Watsson - Western Governors' Association: Geothermal Task Force</v>
      </c>
      <c r="G22" s="149" t="s">
        <v>504</v>
      </c>
      <c r="H22" s="149" t="s">
        <v>505</v>
      </c>
      <c r="I22" s="149"/>
      <c r="J22" s="145" t="s">
        <v>506</v>
      </c>
    </row>
    <row r="23" spans="1:10" s="152" customFormat="1" ht="70">
      <c r="A23" s="153"/>
      <c r="B23" s="148">
        <v>13</v>
      </c>
      <c r="C23" s="149">
        <v>2005</v>
      </c>
      <c r="D23" s="149" t="s">
        <v>507</v>
      </c>
      <c r="E23" s="149" t="s">
        <v>508</v>
      </c>
      <c r="F23" s="147" t="str">
        <f t="shared" si="0"/>
        <v>Jose Gil and Hugo Lucas - Institute for Diversification and Saving of Energy (Instituto para la Diversificacion y Ahorro de la Energia, IDAE)</v>
      </c>
      <c r="G23" s="149" t="s">
        <v>509</v>
      </c>
      <c r="H23" s="149" t="s">
        <v>532</v>
      </c>
      <c r="I23" s="149" t="s">
        <v>530</v>
      </c>
      <c r="J23" s="145" t="s">
        <v>531</v>
      </c>
    </row>
    <row r="24" spans="1:10" s="152" customFormat="1" ht="56">
      <c r="A24" s="149" t="s">
        <v>269</v>
      </c>
      <c r="B24" s="148">
        <v>14</v>
      </c>
      <c r="C24" s="149">
        <v>2004</v>
      </c>
      <c r="D24" s="149" t="s">
        <v>266</v>
      </c>
      <c r="E24" s="149" t="s">
        <v>267</v>
      </c>
      <c r="F24" s="147" t="str">
        <f t="shared" si="0"/>
        <v xml:space="preserve">Daniel M. Kammen, Kamal Kapadia, and Matthias Fripp - Energy and Resources Group, Universtiy of California, Berkeley.  </v>
      </c>
      <c r="G24" s="149" t="s">
        <v>264</v>
      </c>
      <c r="H24" s="149" t="s">
        <v>270</v>
      </c>
      <c r="I24" s="149" t="s">
        <v>271</v>
      </c>
      <c r="J24" s="145" t="s">
        <v>510</v>
      </c>
    </row>
    <row r="25" spans="1:10" s="152" customFormat="1" ht="70.5" customHeight="1">
      <c r="A25" s="149" t="s">
        <v>225</v>
      </c>
      <c r="B25" s="148">
        <v>15</v>
      </c>
      <c r="C25" s="149">
        <v>2004</v>
      </c>
      <c r="D25" s="149" t="s">
        <v>268</v>
      </c>
      <c r="E25" s="149" t="s">
        <v>313</v>
      </c>
      <c r="F25" s="147" t="str">
        <f t="shared" si="0"/>
        <v>C.R. Kenley, et al.  - Idaho National Engineering and Environmental Laboratory (INEEL) and Bechtel BWXT Idaho, LLC</v>
      </c>
      <c r="G25" s="149" t="s">
        <v>511</v>
      </c>
      <c r="H25" s="149" t="s">
        <v>512</v>
      </c>
      <c r="I25" s="149" t="s">
        <v>513</v>
      </c>
      <c r="J25" s="145" t="s">
        <v>514</v>
      </c>
    </row>
    <row r="26" spans="1:10" s="152" customFormat="1" ht="70">
      <c r="A26" s="149" t="s">
        <v>314</v>
      </c>
      <c r="B26" s="148">
        <v>16</v>
      </c>
      <c r="C26" s="149">
        <v>2002</v>
      </c>
      <c r="D26" s="149" t="s">
        <v>315</v>
      </c>
      <c r="E26" s="149" t="s">
        <v>316</v>
      </c>
      <c r="F26" s="147" t="str">
        <f t="shared" si="0"/>
        <v>Heavner and Churchill - CALPIRG (California Public Interest Research Group) Charitable Trust</v>
      </c>
      <c r="G26" s="149" t="s">
        <v>317</v>
      </c>
      <c r="H26" s="149" t="s">
        <v>515</v>
      </c>
      <c r="I26" s="149" t="s">
        <v>516</v>
      </c>
      <c r="J26" s="145" t="s">
        <v>318</v>
      </c>
    </row>
    <row r="27" spans="1:10" s="152" customFormat="1" ht="112">
      <c r="A27" s="149" t="s">
        <v>314</v>
      </c>
      <c r="B27" s="148">
        <f>B26+1</f>
        <v>17</v>
      </c>
      <c r="C27" s="149">
        <v>2001</v>
      </c>
      <c r="D27" s="149" t="s">
        <v>319</v>
      </c>
      <c r="E27" s="149" t="s">
        <v>320</v>
      </c>
      <c r="F27" s="149" t="s">
        <v>536</v>
      </c>
      <c r="G27" s="149" t="s">
        <v>321</v>
      </c>
      <c r="H27" s="149" t="s">
        <v>517</v>
      </c>
      <c r="I27" s="149" t="s">
        <v>518</v>
      </c>
      <c r="J27" s="145" t="s">
        <v>322</v>
      </c>
    </row>
    <row r="28" spans="1:10">
      <c r="A28" s="149"/>
      <c r="B28" s="148"/>
      <c r="C28" s="149"/>
      <c r="D28" s="149"/>
      <c r="E28" s="149"/>
      <c r="F28" s="149"/>
      <c r="G28" s="149"/>
      <c r="H28" s="149"/>
      <c r="I28" s="149"/>
      <c r="J28" s="145"/>
    </row>
    <row r="29" spans="1:10">
      <c r="A29" s="149"/>
      <c r="B29" s="148"/>
      <c r="C29" s="149"/>
      <c r="D29" s="149"/>
      <c r="E29" s="149"/>
      <c r="F29" s="149"/>
      <c r="G29" s="149"/>
      <c r="H29" s="149"/>
      <c r="I29" s="149"/>
      <c r="J29" s="145"/>
    </row>
    <row r="30" spans="1:10">
      <c r="A30" s="149"/>
      <c r="B30" s="148"/>
      <c r="C30" s="149"/>
      <c r="D30" s="149"/>
      <c r="E30" s="149"/>
      <c r="F30" s="149"/>
      <c r="G30" s="149"/>
      <c r="H30" s="149"/>
      <c r="I30" s="149"/>
      <c r="J30" s="145"/>
    </row>
    <row r="31" spans="1:10" s="152" customFormat="1">
      <c r="A31" s="145"/>
      <c r="B31" s="155"/>
      <c r="C31" s="145"/>
      <c r="D31" s="145"/>
      <c r="E31" s="145"/>
      <c r="F31" s="145"/>
      <c r="G31" s="145"/>
      <c r="H31" s="145"/>
      <c r="I31" s="145"/>
      <c r="J31" s="145"/>
    </row>
    <row r="32" spans="1:10">
      <c r="A32" s="154"/>
      <c r="B32" s="155"/>
      <c r="C32" s="145"/>
      <c r="D32" s="145"/>
      <c r="E32" s="145"/>
      <c r="F32" s="145"/>
      <c r="G32" s="145"/>
      <c r="H32" s="145"/>
      <c r="I32" s="145"/>
      <c r="J32" s="145"/>
    </row>
    <row r="33" spans="1:10">
      <c r="A33" s="154"/>
      <c r="B33" s="155"/>
      <c r="C33" s="145"/>
      <c r="D33" s="145"/>
      <c r="E33" s="145"/>
      <c r="F33" s="145"/>
      <c r="G33" s="145"/>
      <c r="H33" s="145"/>
      <c r="I33" s="145"/>
      <c r="J33" s="145"/>
    </row>
    <row r="34" spans="1:10">
      <c r="A34" s="154"/>
      <c r="B34" s="155"/>
      <c r="C34" s="145"/>
      <c r="D34" s="145"/>
      <c r="E34" s="145"/>
      <c r="F34" s="145"/>
      <c r="G34" s="145"/>
      <c r="H34" s="145"/>
      <c r="I34" s="145"/>
      <c r="J34" s="145"/>
    </row>
  </sheetData>
  <mergeCells count="1">
    <mergeCell ref="B1:L9"/>
  </mergeCells>
  <pageMargins left="0.7" right="0.7" top="0.75" bottom="0.75" header="0.3" footer="0.3"/>
  <pageSetup orientation="portrait"/>
  <drawing r:id="rId1"/>
  <legacyDrawing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enableFormatConditionsCalculation="0"/>
  <dimension ref="A1:AR137"/>
  <sheetViews>
    <sheetView topLeftCell="A40" zoomScale="125" zoomScaleNormal="125" zoomScalePageLayoutView="125" workbookViewId="0">
      <pane xSplit="1" topLeftCell="B1" activePane="topRight" state="frozen"/>
      <selection activeCell="A33" sqref="A33"/>
      <selection pane="topRight" activeCell="G51" sqref="G51"/>
    </sheetView>
  </sheetViews>
  <sheetFormatPr baseColWidth="10" defaultColWidth="12.5" defaultRowHeight="16" x14ac:dyDescent="0"/>
  <cols>
    <col min="1" max="1" width="47.33203125" style="5" customWidth="1"/>
    <col min="2" max="2" width="13.6640625" style="344" bestFit="1" customWidth="1"/>
    <col min="3" max="6" width="13.1640625" style="344" bestFit="1" customWidth="1"/>
    <col min="7" max="7" width="13.1640625" style="299" bestFit="1" customWidth="1"/>
    <col min="8" max="19" width="14.5" style="299" bestFit="1" customWidth="1"/>
    <col min="20" max="21" width="16.5" style="299" bestFit="1" customWidth="1"/>
    <col min="22" max="37" width="12.5" style="299"/>
    <col min="38" max="16384" width="12.5" style="5"/>
  </cols>
  <sheetData>
    <row r="1" spans="1:37">
      <c r="A1" s="268" t="s">
        <v>63</v>
      </c>
    </row>
    <row r="2" spans="1:37">
      <c r="A2" s="272" t="s">
        <v>705</v>
      </c>
    </row>
    <row r="3" spans="1:37">
      <c r="A3" s="272" t="s">
        <v>657</v>
      </c>
    </row>
    <row r="4" spans="1:37">
      <c r="A4" s="272" t="s">
        <v>592</v>
      </c>
    </row>
    <row r="6" spans="1:37">
      <c r="A6" s="6" t="s">
        <v>64</v>
      </c>
    </row>
    <row r="7" spans="1:37">
      <c r="A7" s="6" t="s">
        <v>65</v>
      </c>
    </row>
    <row r="8" spans="1:37">
      <c r="A8" s="78" t="s">
        <v>280</v>
      </c>
    </row>
    <row r="10" spans="1:37">
      <c r="AK10" s="300"/>
    </row>
    <row r="11" spans="1:37">
      <c r="B11" s="364" t="s">
        <v>7</v>
      </c>
      <c r="C11" s="364" t="s">
        <v>8</v>
      </c>
      <c r="D11" s="364" t="s">
        <v>9</v>
      </c>
      <c r="E11" s="364" t="s">
        <v>10</v>
      </c>
      <c r="F11" s="364" t="s">
        <v>11</v>
      </c>
      <c r="G11" s="319" t="s">
        <v>12</v>
      </c>
      <c r="H11" s="319" t="s">
        <v>13</v>
      </c>
      <c r="I11" s="319" t="s">
        <v>14</v>
      </c>
      <c r="J11" s="319" t="s">
        <v>15</v>
      </c>
      <c r="K11" s="319" t="s">
        <v>16</v>
      </c>
      <c r="L11" s="319" t="s">
        <v>17</v>
      </c>
      <c r="M11" s="319" t="s">
        <v>18</v>
      </c>
      <c r="N11" s="319" t="s">
        <v>19</v>
      </c>
      <c r="O11" s="319" t="s">
        <v>20</v>
      </c>
      <c r="P11" s="319" t="s">
        <v>21</v>
      </c>
      <c r="Q11" s="319" t="s">
        <v>22</v>
      </c>
      <c r="R11" s="319" t="s">
        <v>23</v>
      </c>
      <c r="S11" s="319" t="s">
        <v>24</v>
      </c>
      <c r="T11" s="319" t="s">
        <v>25</v>
      </c>
      <c r="U11" s="319" t="s">
        <v>26</v>
      </c>
      <c r="V11" s="319" t="s">
        <v>27</v>
      </c>
      <c r="W11" s="319" t="s">
        <v>28</v>
      </c>
      <c r="X11" s="319" t="s">
        <v>29</v>
      </c>
      <c r="Y11" s="319" t="s">
        <v>30</v>
      </c>
      <c r="Z11" s="319" t="s">
        <v>31</v>
      </c>
      <c r="AA11" s="319" t="s">
        <v>582</v>
      </c>
      <c r="AB11" s="319" t="s">
        <v>583</v>
      </c>
      <c r="AC11" s="319" t="s">
        <v>584</v>
      </c>
      <c r="AD11" s="319" t="s">
        <v>585</v>
      </c>
      <c r="AE11" s="319" t="s">
        <v>586</v>
      </c>
      <c r="AF11" s="319" t="s">
        <v>587</v>
      </c>
      <c r="AG11" s="319" t="s">
        <v>588</v>
      </c>
      <c r="AH11" s="319" t="s">
        <v>589</v>
      </c>
      <c r="AI11" s="319" t="s">
        <v>590</v>
      </c>
      <c r="AJ11" s="319" t="s">
        <v>591</v>
      </c>
      <c r="AK11" s="319" t="s">
        <v>594</v>
      </c>
    </row>
    <row r="14" spans="1:37">
      <c r="A14" s="6" t="s">
        <v>66</v>
      </c>
    </row>
    <row r="16" spans="1:37">
      <c r="A16" s="6" t="s">
        <v>32</v>
      </c>
    </row>
    <row r="17" spans="1:38" s="251" customFormat="1">
      <c r="A17" s="250" t="s">
        <v>67</v>
      </c>
      <c r="B17" s="344"/>
      <c r="C17" s="344"/>
      <c r="D17" s="344"/>
      <c r="E17" s="344"/>
      <c r="F17" s="344"/>
      <c r="G17" s="316"/>
      <c r="H17" s="316"/>
      <c r="I17" s="316"/>
      <c r="J17" s="316"/>
      <c r="K17" s="316"/>
      <c r="L17" s="316"/>
      <c r="M17" s="316"/>
      <c r="N17" s="316"/>
      <c r="O17" s="316"/>
      <c r="P17" s="316"/>
      <c r="Q17" s="316"/>
      <c r="R17" s="316"/>
      <c r="S17" s="316"/>
      <c r="T17" s="316"/>
      <c r="U17" s="316"/>
      <c r="V17" s="316"/>
      <c r="W17" s="316"/>
      <c r="X17" s="316"/>
      <c r="Y17" s="316"/>
      <c r="Z17" s="316"/>
      <c r="AA17" s="316"/>
      <c r="AB17" s="316"/>
      <c r="AC17" s="316"/>
      <c r="AD17" s="316"/>
      <c r="AE17" s="316"/>
      <c r="AF17" s="316"/>
      <c r="AG17" s="316"/>
      <c r="AH17" s="316"/>
      <c r="AI17" s="316"/>
      <c r="AJ17" s="316"/>
      <c r="AK17" s="316"/>
    </row>
    <row r="18" spans="1:38" s="251" customFormat="1">
      <c r="A18" s="250" t="s">
        <v>68</v>
      </c>
      <c r="B18"/>
      <c r="C18"/>
      <c r="D18"/>
      <c r="E18"/>
      <c r="F18"/>
      <c r="G18"/>
      <c r="H18"/>
      <c r="I18"/>
      <c r="J18"/>
      <c r="K18"/>
      <c r="L18"/>
      <c r="M18"/>
      <c r="N18"/>
      <c r="O18"/>
      <c r="P18"/>
      <c r="Q18"/>
      <c r="R18"/>
      <c r="S18"/>
      <c r="T18"/>
      <c r="U18"/>
      <c r="V18"/>
      <c r="W18"/>
      <c r="X18"/>
      <c r="Y18"/>
      <c r="Z18"/>
      <c r="AA18"/>
      <c r="AB18"/>
      <c r="AC18"/>
      <c r="AD18"/>
      <c r="AE18"/>
      <c r="AF18"/>
      <c r="AG18"/>
      <c r="AH18"/>
      <c r="AI18"/>
      <c r="AJ18"/>
      <c r="AK18"/>
      <c r="AL18"/>
    </row>
    <row r="19" spans="1:38" s="251" customFormat="1">
      <c r="A19" s="250" t="s">
        <v>69</v>
      </c>
      <c r="B19"/>
      <c r="C19"/>
      <c r="D19"/>
      <c r="E19"/>
      <c r="F19"/>
      <c r="G19"/>
      <c r="H19"/>
      <c r="I19"/>
      <c r="J19"/>
      <c r="K19"/>
      <c r="L19"/>
      <c r="M19"/>
      <c r="N19"/>
      <c r="O19"/>
      <c r="P19"/>
      <c r="Q19"/>
      <c r="R19"/>
      <c r="S19"/>
      <c r="T19"/>
      <c r="U19"/>
      <c r="V19"/>
      <c r="W19"/>
      <c r="X19"/>
      <c r="Y19"/>
      <c r="Z19"/>
      <c r="AA19"/>
      <c r="AB19"/>
      <c r="AC19"/>
      <c r="AD19"/>
      <c r="AE19"/>
      <c r="AF19"/>
      <c r="AG19"/>
      <c r="AH19"/>
      <c r="AI19"/>
      <c r="AJ19"/>
      <c r="AK19"/>
      <c r="AL19"/>
    </row>
    <row r="20" spans="1:38" s="251" customFormat="1">
      <c r="A20" s="250" t="s">
        <v>70</v>
      </c>
      <c r="B20"/>
      <c r="C20"/>
      <c r="D20"/>
      <c r="E20"/>
      <c r="F20"/>
      <c r="G20"/>
      <c r="H20"/>
      <c r="I20"/>
      <c r="J20"/>
      <c r="K20"/>
      <c r="L20"/>
      <c r="M20"/>
      <c r="N20"/>
      <c r="O20"/>
      <c r="P20"/>
      <c r="Q20"/>
      <c r="R20"/>
      <c r="S20"/>
      <c r="T20"/>
      <c r="U20"/>
      <c r="V20"/>
      <c r="W20"/>
      <c r="X20"/>
      <c r="Y20"/>
      <c r="Z20"/>
      <c r="AA20"/>
      <c r="AB20"/>
      <c r="AC20"/>
      <c r="AD20"/>
      <c r="AE20"/>
      <c r="AF20"/>
      <c r="AG20"/>
      <c r="AH20"/>
      <c r="AI20"/>
      <c r="AJ20"/>
      <c r="AK20"/>
      <c r="AL20"/>
    </row>
    <row r="21" spans="1:38" s="251" customFormat="1">
      <c r="A21" s="250" t="s">
        <v>71</v>
      </c>
      <c r="B21"/>
      <c r="C21"/>
      <c r="D21"/>
      <c r="E21"/>
      <c r="F21"/>
      <c r="G21"/>
      <c r="H21"/>
      <c r="I21"/>
      <c r="J21"/>
      <c r="K21"/>
      <c r="L21"/>
      <c r="M21"/>
      <c r="N21"/>
      <c r="O21"/>
      <c r="P21"/>
      <c r="Q21"/>
      <c r="R21"/>
      <c r="S21"/>
      <c r="T21"/>
      <c r="U21"/>
      <c r="V21"/>
      <c r="W21"/>
      <c r="X21"/>
      <c r="Y21"/>
      <c r="Z21"/>
      <c r="AA21"/>
      <c r="AB21"/>
      <c r="AC21"/>
      <c r="AD21"/>
      <c r="AE21"/>
      <c r="AF21"/>
      <c r="AG21"/>
      <c r="AH21"/>
      <c r="AI21"/>
      <c r="AJ21"/>
      <c r="AK21"/>
      <c r="AL21"/>
    </row>
    <row r="22" spans="1:38" s="251" customFormat="1">
      <c r="A22" s="250" t="s">
        <v>72</v>
      </c>
      <c r="B22"/>
      <c r="C22"/>
      <c r="D22"/>
      <c r="E22"/>
      <c r="F22"/>
      <c r="G22"/>
      <c r="H22"/>
      <c r="I22"/>
      <c r="J22"/>
      <c r="K22"/>
      <c r="L22"/>
      <c r="M22"/>
      <c r="N22"/>
      <c r="O22"/>
      <c r="P22"/>
      <c r="Q22"/>
      <c r="R22"/>
      <c r="S22"/>
      <c r="T22"/>
      <c r="U22"/>
      <c r="V22"/>
      <c r="W22"/>
      <c r="X22"/>
      <c r="Y22"/>
      <c r="Z22"/>
      <c r="AA22"/>
      <c r="AB22"/>
      <c r="AC22"/>
      <c r="AD22"/>
      <c r="AE22"/>
      <c r="AF22"/>
      <c r="AG22"/>
      <c r="AH22"/>
      <c r="AI22"/>
      <c r="AJ22"/>
      <c r="AK22"/>
      <c r="AL22"/>
    </row>
    <row r="23" spans="1:38" s="251" customFormat="1">
      <c r="A23" s="250" t="s">
        <v>73</v>
      </c>
      <c r="B23"/>
      <c r="C23"/>
      <c r="D23"/>
      <c r="E23"/>
      <c r="F23"/>
      <c r="G23"/>
      <c r="H23"/>
      <c r="I23"/>
      <c r="J23"/>
      <c r="K23"/>
      <c r="L23"/>
      <c r="M23"/>
      <c r="N23"/>
      <c r="O23"/>
      <c r="P23"/>
      <c r="Q23"/>
      <c r="R23"/>
      <c r="S23"/>
      <c r="T23"/>
      <c r="U23"/>
      <c r="V23"/>
      <c r="W23"/>
      <c r="X23"/>
      <c r="Y23"/>
      <c r="Z23"/>
      <c r="AA23"/>
      <c r="AB23"/>
      <c r="AC23"/>
      <c r="AD23"/>
      <c r="AE23"/>
      <c r="AF23"/>
      <c r="AG23"/>
      <c r="AH23"/>
      <c r="AI23"/>
      <c r="AJ23"/>
      <c r="AK23"/>
      <c r="AL23"/>
    </row>
    <row r="24" spans="1:38" s="251" customFormat="1">
      <c r="A24" s="250" t="s">
        <v>74</v>
      </c>
      <c r="B24"/>
      <c r="C24"/>
      <c r="D24"/>
      <c r="E24"/>
      <c r="F24"/>
      <c r="G24"/>
      <c r="H24"/>
      <c r="I24"/>
      <c r="J24"/>
      <c r="K24"/>
      <c r="L24"/>
      <c r="M24"/>
      <c r="N24"/>
      <c r="O24"/>
      <c r="P24"/>
      <c r="Q24"/>
      <c r="R24"/>
      <c r="S24"/>
      <c r="T24"/>
      <c r="U24"/>
      <c r="V24"/>
      <c r="W24"/>
      <c r="X24"/>
      <c r="Y24"/>
      <c r="Z24"/>
      <c r="AA24"/>
      <c r="AB24"/>
      <c r="AC24"/>
      <c r="AD24"/>
      <c r="AE24"/>
      <c r="AF24"/>
      <c r="AG24"/>
      <c r="AH24"/>
      <c r="AI24"/>
      <c r="AJ24"/>
      <c r="AK24"/>
      <c r="AL24"/>
    </row>
    <row r="25" spans="1:38" s="251" customFormat="1">
      <c r="A25" s="250" t="s">
        <v>54</v>
      </c>
      <c r="B25"/>
      <c r="C25"/>
      <c r="D25"/>
      <c r="E25"/>
      <c r="F25"/>
      <c r="G25"/>
      <c r="H25"/>
      <c r="I25"/>
      <c r="J25"/>
      <c r="K25"/>
      <c r="L25"/>
      <c r="M25"/>
      <c r="N25"/>
      <c r="O25"/>
      <c r="P25"/>
      <c r="Q25"/>
      <c r="R25"/>
      <c r="S25"/>
      <c r="T25"/>
      <c r="U25"/>
      <c r="V25"/>
      <c r="W25"/>
      <c r="X25"/>
      <c r="Y25"/>
      <c r="Z25"/>
      <c r="AA25"/>
      <c r="AB25"/>
      <c r="AC25"/>
      <c r="AD25"/>
      <c r="AE25"/>
      <c r="AF25"/>
      <c r="AG25"/>
      <c r="AH25"/>
      <c r="AI25"/>
      <c r="AJ25"/>
      <c r="AK25"/>
      <c r="AL25"/>
    </row>
    <row r="26" spans="1:38" s="251" customFormat="1">
      <c r="A26" s="250" t="s">
        <v>75</v>
      </c>
      <c r="B26"/>
      <c r="C26"/>
      <c r="D26"/>
      <c r="E26"/>
      <c r="F26"/>
      <c r="G26"/>
      <c r="H26"/>
      <c r="I26"/>
      <c r="J26"/>
      <c r="K26"/>
      <c r="L26"/>
      <c r="M26"/>
      <c r="N26"/>
      <c r="O26"/>
      <c r="P26"/>
      <c r="Q26"/>
      <c r="R26"/>
      <c r="S26"/>
      <c r="T26"/>
      <c r="U26"/>
      <c r="V26"/>
      <c r="W26"/>
      <c r="X26"/>
      <c r="Y26"/>
      <c r="Z26"/>
      <c r="AA26"/>
      <c r="AB26"/>
      <c r="AC26"/>
      <c r="AD26"/>
      <c r="AE26"/>
      <c r="AF26"/>
      <c r="AG26"/>
      <c r="AH26"/>
      <c r="AI26"/>
      <c r="AJ26"/>
      <c r="AK26"/>
      <c r="AL26"/>
    </row>
    <row r="27" spans="1:38" s="251" customFormat="1">
      <c r="A27" s="250" t="s">
        <v>68</v>
      </c>
      <c r="B27"/>
      <c r="C27"/>
      <c r="D27"/>
      <c r="E27"/>
      <c r="F27"/>
      <c r="G27"/>
      <c r="H27"/>
      <c r="I27"/>
      <c r="J27"/>
      <c r="K27"/>
      <c r="L27"/>
      <c r="M27"/>
      <c r="N27"/>
      <c r="O27"/>
      <c r="P27"/>
      <c r="Q27"/>
      <c r="R27"/>
      <c r="S27"/>
      <c r="T27"/>
      <c r="U27"/>
      <c r="V27"/>
      <c r="W27"/>
      <c r="X27"/>
      <c r="Y27"/>
      <c r="Z27"/>
      <c r="AA27"/>
      <c r="AB27"/>
      <c r="AC27"/>
      <c r="AD27"/>
      <c r="AE27"/>
      <c r="AF27"/>
      <c r="AG27"/>
      <c r="AH27"/>
      <c r="AI27"/>
      <c r="AJ27"/>
      <c r="AK27"/>
      <c r="AL27"/>
    </row>
    <row r="28" spans="1:38" s="251" customFormat="1">
      <c r="A28" s="250" t="s">
        <v>69</v>
      </c>
      <c r="B28"/>
      <c r="C28"/>
      <c r="D28"/>
      <c r="E28"/>
      <c r="F28"/>
      <c r="G28"/>
      <c r="H28"/>
      <c r="I28"/>
      <c r="J28"/>
      <c r="K28"/>
      <c r="L28"/>
      <c r="M28"/>
      <c r="N28"/>
      <c r="O28"/>
      <c r="P28"/>
      <c r="Q28"/>
      <c r="R28"/>
      <c r="S28"/>
      <c r="T28"/>
      <c r="U28"/>
      <c r="V28"/>
      <c r="W28"/>
      <c r="X28"/>
      <c r="Y28"/>
      <c r="Z28"/>
      <c r="AA28"/>
      <c r="AB28"/>
      <c r="AC28"/>
      <c r="AD28"/>
      <c r="AE28"/>
      <c r="AF28"/>
      <c r="AG28"/>
      <c r="AH28"/>
      <c r="AI28"/>
      <c r="AJ28"/>
      <c r="AK28"/>
      <c r="AL28"/>
    </row>
    <row r="29" spans="1:38" s="251" customFormat="1">
      <c r="A29" s="250" t="s">
        <v>76</v>
      </c>
      <c r="B29"/>
      <c r="C29"/>
      <c r="D29"/>
      <c r="E29"/>
      <c r="F29"/>
      <c r="G29"/>
      <c r="H29"/>
      <c r="I29"/>
      <c r="J29"/>
      <c r="K29"/>
      <c r="L29"/>
      <c r="M29"/>
      <c r="N29"/>
      <c r="O29"/>
      <c r="P29"/>
      <c r="Q29"/>
      <c r="R29"/>
      <c r="S29"/>
      <c r="T29"/>
      <c r="U29"/>
      <c r="V29"/>
      <c r="W29"/>
      <c r="X29"/>
      <c r="Y29"/>
      <c r="Z29"/>
      <c r="AA29"/>
      <c r="AB29"/>
      <c r="AC29"/>
      <c r="AD29"/>
      <c r="AE29"/>
      <c r="AF29"/>
      <c r="AG29"/>
      <c r="AH29"/>
      <c r="AI29"/>
      <c r="AJ29"/>
      <c r="AK29"/>
      <c r="AL29"/>
    </row>
    <row r="30" spans="1:38" s="251" customFormat="1">
      <c r="A30" s="250" t="s">
        <v>77</v>
      </c>
      <c r="B30"/>
      <c r="C30"/>
      <c r="D30"/>
      <c r="E30"/>
      <c r="F30"/>
      <c r="G30"/>
      <c r="H30"/>
      <c r="I30"/>
      <c r="J30"/>
      <c r="K30"/>
      <c r="L30"/>
      <c r="M30"/>
      <c r="N30"/>
      <c r="O30"/>
      <c r="P30"/>
      <c r="Q30"/>
      <c r="R30"/>
      <c r="S30"/>
      <c r="T30"/>
      <c r="U30"/>
      <c r="V30"/>
      <c r="W30"/>
      <c r="X30"/>
      <c r="Y30"/>
      <c r="Z30"/>
      <c r="AA30"/>
      <c r="AB30"/>
      <c r="AC30"/>
      <c r="AD30"/>
      <c r="AE30"/>
      <c r="AF30"/>
      <c r="AG30"/>
      <c r="AH30"/>
      <c r="AI30"/>
      <c r="AJ30"/>
      <c r="AK30"/>
      <c r="AL30"/>
    </row>
    <row r="31" spans="1:38" s="251" customFormat="1">
      <c r="A31" s="250" t="s">
        <v>54</v>
      </c>
      <c r="B31"/>
      <c r="C31"/>
      <c r="D31"/>
      <c r="E31"/>
      <c r="F31"/>
      <c r="G31"/>
      <c r="H31"/>
      <c r="I31"/>
      <c r="J31"/>
      <c r="K31"/>
      <c r="L31"/>
      <c r="M31"/>
      <c r="N31"/>
      <c r="O31"/>
      <c r="P31"/>
      <c r="Q31"/>
      <c r="R31"/>
      <c r="S31"/>
      <c r="T31"/>
      <c r="U31"/>
      <c r="V31"/>
      <c r="W31"/>
      <c r="X31"/>
      <c r="Y31"/>
      <c r="Z31"/>
      <c r="AA31"/>
      <c r="AB31"/>
      <c r="AC31"/>
      <c r="AD31"/>
      <c r="AE31"/>
      <c r="AF31"/>
      <c r="AG31"/>
      <c r="AH31"/>
      <c r="AI31"/>
      <c r="AJ31"/>
      <c r="AK31"/>
      <c r="AL31"/>
    </row>
    <row r="32" spans="1:38" s="251" customFormat="1">
      <c r="A32" s="250" t="s">
        <v>78</v>
      </c>
      <c r="B32"/>
      <c r="C32"/>
      <c r="D32"/>
      <c r="E32"/>
      <c r="F32"/>
      <c r="G32"/>
      <c r="H32"/>
      <c r="I32"/>
      <c r="J32"/>
      <c r="K32"/>
      <c r="L32"/>
      <c r="M32"/>
      <c r="N32"/>
      <c r="O32"/>
      <c r="P32"/>
      <c r="Q32"/>
      <c r="R32"/>
      <c r="S32"/>
      <c r="T32"/>
      <c r="U32"/>
      <c r="V32"/>
      <c r="W32"/>
      <c r="X32"/>
      <c r="Y32"/>
      <c r="Z32"/>
      <c r="AA32"/>
      <c r="AB32"/>
      <c r="AC32"/>
      <c r="AD32"/>
      <c r="AE32"/>
      <c r="AF32"/>
      <c r="AG32"/>
      <c r="AH32"/>
      <c r="AI32"/>
      <c r="AJ32"/>
      <c r="AK32"/>
      <c r="AL32"/>
    </row>
    <row r="33" spans="1:44" s="251" customFormat="1">
      <c r="A33" s="250" t="s">
        <v>79</v>
      </c>
      <c r="B33"/>
      <c r="C33"/>
      <c r="D33"/>
      <c r="E33"/>
      <c r="F33"/>
      <c r="G33"/>
      <c r="H33"/>
      <c r="I33"/>
      <c r="J33"/>
      <c r="K33"/>
      <c r="L33"/>
      <c r="M33"/>
      <c r="N33"/>
      <c r="O33"/>
      <c r="P33"/>
      <c r="Q33"/>
      <c r="R33"/>
      <c r="S33"/>
      <c r="T33"/>
      <c r="U33"/>
      <c r="V33"/>
      <c r="W33"/>
      <c r="X33"/>
      <c r="Y33"/>
      <c r="Z33"/>
      <c r="AA33"/>
      <c r="AB33"/>
      <c r="AC33"/>
      <c r="AD33"/>
      <c r="AE33"/>
      <c r="AF33"/>
      <c r="AG33"/>
      <c r="AH33"/>
      <c r="AI33"/>
      <c r="AJ33"/>
      <c r="AK33"/>
      <c r="AL33"/>
    </row>
    <row r="34" spans="1:44" s="251" customFormat="1">
      <c r="B34"/>
      <c r="C34"/>
      <c r="D34"/>
      <c r="E34"/>
      <c r="F34"/>
      <c r="G34"/>
      <c r="H34"/>
      <c r="I34"/>
      <c r="J34"/>
      <c r="K34"/>
      <c r="L34"/>
      <c r="M34"/>
      <c r="N34"/>
      <c r="O34"/>
      <c r="P34"/>
      <c r="Q34"/>
      <c r="R34"/>
      <c r="S34"/>
      <c r="T34"/>
      <c r="U34"/>
      <c r="V34"/>
      <c r="W34"/>
      <c r="X34"/>
      <c r="Y34"/>
      <c r="Z34"/>
      <c r="AA34"/>
      <c r="AB34"/>
      <c r="AC34"/>
      <c r="AD34"/>
      <c r="AE34"/>
      <c r="AF34"/>
      <c r="AG34"/>
      <c r="AH34"/>
      <c r="AI34"/>
      <c r="AJ34"/>
      <c r="AK34"/>
      <c r="AL34"/>
      <c r="AM34" s="253" t="s">
        <v>755</v>
      </c>
    </row>
    <row r="35" spans="1:44" s="251" customFormat="1">
      <c r="A35" s="250" t="s">
        <v>747</v>
      </c>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s="255"/>
    </row>
    <row r="36" spans="1:44" s="251" customFormat="1">
      <c r="A36" s="501" t="s">
        <v>720</v>
      </c>
      <c r="G36" s="499">
        <v>591.32365499999992</v>
      </c>
      <c r="H36" s="499">
        <v>509.42181400000004</v>
      </c>
      <c r="I36" s="499">
        <v>544.71841900000004</v>
      </c>
      <c r="J36" s="499">
        <v>561.11935800000003</v>
      </c>
      <c r="K36" s="499">
        <v>531.76098999999999</v>
      </c>
      <c r="L36" s="499">
        <v>510.91964999999999</v>
      </c>
      <c r="M36" s="499">
        <v>537.86029799999994</v>
      </c>
      <c r="N36" s="499">
        <v>547.55998</v>
      </c>
      <c r="O36" s="499">
        <v>552.56318999999996</v>
      </c>
      <c r="P36" s="499">
        <v>551.15020000000004</v>
      </c>
      <c r="Q36" s="499">
        <v>555.767563</v>
      </c>
      <c r="R36" s="499">
        <v>560.07731699999999</v>
      </c>
      <c r="S36" s="499">
        <v>560.31770400000005</v>
      </c>
      <c r="T36" s="499">
        <v>567.56789800000001</v>
      </c>
      <c r="U36" s="499">
        <v>573.14546299999995</v>
      </c>
      <c r="V36" s="499">
        <v>572.73936500000002</v>
      </c>
      <c r="W36" s="499">
        <v>572.85958900000003</v>
      </c>
      <c r="X36" s="499">
        <v>572.77831199999991</v>
      </c>
      <c r="Y36" s="499">
        <v>570.66424699999993</v>
      </c>
      <c r="Z36" s="499">
        <v>571.13212999999996</v>
      </c>
      <c r="AA36" s="499">
        <v>570.87854900000002</v>
      </c>
      <c r="AB36" s="499">
        <v>570.68813399999999</v>
      </c>
      <c r="AC36" s="499">
        <v>570.11575700000003</v>
      </c>
      <c r="AD36" s="499">
        <v>569.64642000000003</v>
      </c>
      <c r="AE36" s="499">
        <v>569.13610000000006</v>
      </c>
      <c r="AF36" s="499">
        <v>568.62970300000006</v>
      </c>
      <c r="AG36" s="499">
        <v>568.15519599999993</v>
      </c>
      <c r="AH36" s="499">
        <v>567.67633899999998</v>
      </c>
      <c r="AI36" s="499">
        <v>567.67183300000011</v>
      </c>
      <c r="AJ36" s="499">
        <v>567.66442400000005</v>
      </c>
      <c r="AK36" s="503">
        <v>0.03</v>
      </c>
      <c r="AL36" s="515" t="s">
        <v>68</v>
      </c>
      <c r="AM36" s="518">
        <v>3.9060379237424961E-2</v>
      </c>
    </row>
    <row r="37" spans="1:44" s="251" customFormat="1">
      <c r="A37" s="501" t="s">
        <v>721</v>
      </c>
      <c r="G37" s="499">
        <v>7.5450270000000002</v>
      </c>
      <c r="H37" s="499">
        <v>4.7830259999999996</v>
      </c>
      <c r="I37" s="499">
        <v>3.9312390000000001</v>
      </c>
      <c r="J37" s="499">
        <v>3.9871850000000002</v>
      </c>
      <c r="K37" s="499">
        <v>3.864411</v>
      </c>
      <c r="L37" s="499">
        <v>3.6898569999999995</v>
      </c>
      <c r="M37" s="499">
        <v>2.2080980000000001</v>
      </c>
      <c r="N37" s="499">
        <v>2.2466269999999997</v>
      </c>
      <c r="O37" s="499">
        <v>2.2673010000000002</v>
      </c>
      <c r="P37" s="499">
        <v>2.263798</v>
      </c>
      <c r="Q37" s="499">
        <v>2.2854749999999999</v>
      </c>
      <c r="R37" s="499">
        <v>2.3014510000000001</v>
      </c>
      <c r="S37" s="499">
        <v>2.312357</v>
      </c>
      <c r="T37" s="499">
        <v>2.342514</v>
      </c>
      <c r="U37" s="499">
        <v>2.3751979999999997</v>
      </c>
      <c r="V37" s="499">
        <v>2.3506619999999998</v>
      </c>
      <c r="W37" s="499">
        <v>2.3439230000000002</v>
      </c>
      <c r="X37" s="499">
        <v>2.3437229999999998</v>
      </c>
      <c r="Y37" s="499">
        <v>2.3410069999999998</v>
      </c>
      <c r="Z37" s="499">
        <v>2.34361</v>
      </c>
      <c r="AA37" s="499">
        <v>2.3431340000000001</v>
      </c>
      <c r="AB37" s="499">
        <v>2.3426260000000001</v>
      </c>
      <c r="AC37" s="499">
        <v>2.3402319999999999</v>
      </c>
      <c r="AD37" s="499">
        <v>2.3382579999999997</v>
      </c>
      <c r="AE37" s="499">
        <v>2.3362100000000003</v>
      </c>
      <c r="AF37" s="499">
        <v>2.3342360000000002</v>
      </c>
      <c r="AG37" s="499">
        <v>2.3325259999999997</v>
      </c>
      <c r="AH37" s="499">
        <v>2.3302890000000001</v>
      </c>
      <c r="AI37" s="499">
        <v>2.3299530000000002</v>
      </c>
      <c r="AJ37" s="499">
        <v>2.329879</v>
      </c>
      <c r="AK37" s="503">
        <v>-3.7999999999999999E-2</v>
      </c>
      <c r="AL37" s="516" t="s">
        <v>69</v>
      </c>
      <c r="AM37" s="518">
        <v>0.29983473114180359</v>
      </c>
    </row>
    <row r="38" spans="1:44" s="251" customFormat="1">
      <c r="A38" s="501" t="s">
        <v>722</v>
      </c>
      <c r="G38" s="499">
        <v>402.35190399999999</v>
      </c>
      <c r="H38" s="499">
        <v>478.36942699999997</v>
      </c>
      <c r="I38" s="499">
        <v>427.04843500000004</v>
      </c>
      <c r="J38" s="499">
        <v>407.02899500000001</v>
      </c>
      <c r="K38" s="499">
        <v>439.14184499999999</v>
      </c>
      <c r="L38" s="499">
        <v>479.20338900000002</v>
      </c>
      <c r="M38" s="499">
        <v>457.72134399999999</v>
      </c>
      <c r="N38" s="499">
        <v>452.18495200000001</v>
      </c>
      <c r="O38" s="499">
        <v>459.638892</v>
      </c>
      <c r="P38" s="499">
        <v>473.59913699999998</v>
      </c>
      <c r="Q38" s="499">
        <v>480.78644199999997</v>
      </c>
      <c r="R38" s="499">
        <v>490.88744700000001</v>
      </c>
      <c r="S38" s="499">
        <v>509.69309999999996</v>
      </c>
      <c r="T38" s="499">
        <v>521.27419799999996</v>
      </c>
      <c r="U38" s="499">
        <v>527.56322499999999</v>
      </c>
      <c r="V38" s="499">
        <v>536.10758199999998</v>
      </c>
      <c r="W38" s="499">
        <v>544.45078899999999</v>
      </c>
      <c r="X38" s="499">
        <v>554.19654500000001</v>
      </c>
      <c r="Y38" s="499">
        <v>558.75119099999995</v>
      </c>
      <c r="Z38" s="499">
        <v>567.44431999999995</v>
      </c>
      <c r="AA38" s="499">
        <v>571.17699799999991</v>
      </c>
      <c r="AB38" s="499">
        <v>577.43432899999993</v>
      </c>
      <c r="AC38" s="499">
        <v>581.95111599999996</v>
      </c>
      <c r="AD38" s="499">
        <v>588.207446</v>
      </c>
      <c r="AE38" s="499">
        <v>598.09193800000003</v>
      </c>
      <c r="AF38" s="499">
        <v>606.92750899999999</v>
      </c>
      <c r="AG38" s="499">
        <v>620.93495200000007</v>
      </c>
      <c r="AH38" s="499">
        <v>636.46229600000015</v>
      </c>
      <c r="AI38" s="499">
        <v>648.501305</v>
      </c>
      <c r="AJ38" s="499">
        <v>657.86421500000006</v>
      </c>
      <c r="AK38" s="503">
        <v>-4.0000000000000001E-3</v>
      </c>
      <c r="AL38" s="516" t="s">
        <v>76</v>
      </c>
      <c r="AM38" s="518">
        <v>0.11500654620342821</v>
      </c>
    </row>
    <row r="39" spans="1:44" s="251" customFormat="1">
      <c r="A39" s="501" t="s">
        <v>723</v>
      </c>
      <c r="G39" s="499">
        <v>210.65300099999999</v>
      </c>
      <c r="H39" s="499">
        <v>208.70800600000001</v>
      </c>
      <c r="I39" s="499">
        <v>205.375045</v>
      </c>
      <c r="J39" s="499">
        <v>205.984556</v>
      </c>
      <c r="K39" s="499">
        <v>213.80442800000003</v>
      </c>
      <c r="L39" s="499">
        <v>222.86256099999997</v>
      </c>
      <c r="M39" s="499">
        <v>231.66724999999997</v>
      </c>
      <c r="N39" s="499">
        <v>238.50375199999999</v>
      </c>
      <c r="O39" s="499">
        <v>239.69814500000001</v>
      </c>
      <c r="P39" s="499">
        <v>239.698151</v>
      </c>
      <c r="Q39" s="499">
        <v>239.698151</v>
      </c>
      <c r="R39" s="499">
        <v>239.698149</v>
      </c>
      <c r="S39" s="499">
        <v>239.698151</v>
      </c>
      <c r="T39" s="499">
        <v>239.69814500000001</v>
      </c>
      <c r="U39" s="499">
        <v>239.69862999999998</v>
      </c>
      <c r="V39" s="499">
        <v>239.698149</v>
      </c>
      <c r="W39" s="499">
        <v>239.69814700000001</v>
      </c>
      <c r="X39" s="499">
        <v>239.69814700000001</v>
      </c>
      <c r="Y39" s="499">
        <v>239.698151</v>
      </c>
      <c r="Z39" s="499">
        <v>239.69814700000001</v>
      </c>
      <c r="AA39" s="499">
        <v>239.69814700000001</v>
      </c>
      <c r="AB39" s="499">
        <v>239.698149</v>
      </c>
      <c r="AC39" s="499">
        <v>239.69814400000001</v>
      </c>
      <c r="AD39" s="499">
        <v>239.69814700000001</v>
      </c>
      <c r="AE39" s="499">
        <v>239.698151</v>
      </c>
      <c r="AF39" s="499">
        <v>239.698151</v>
      </c>
      <c r="AG39" s="499">
        <v>239.698151</v>
      </c>
      <c r="AH39" s="499">
        <v>239.698151</v>
      </c>
      <c r="AI39" s="499">
        <v>239.69814700000001</v>
      </c>
      <c r="AJ39" s="499">
        <v>239.69814700000001</v>
      </c>
      <c r="AK39" s="503">
        <v>-5.0000000000000001E-3</v>
      </c>
      <c r="AL39" s="516" t="s">
        <v>742</v>
      </c>
      <c r="AM39" s="518">
        <v>0.2761771838514594</v>
      </c>
    </row>
    <row r="40" spans="1:44" s="251" customFormat="1">
      <c r="A40" s="501" t="s">
        <v>724</v>
      </c>
      <c r="G40" s="499">
        <v>1.157562</v>
      </c>
      <c r="H40" s="499">
        <v>1.1387160000000001</v>
      </c>
      <c r="I40" s="499">
        <v>-1.0565609999999999</v>
      </c>
      <c r="J40" s="499">
        <v>-1.054187</v>
      </c>
      <c r="K40" s="499">
        <v>-1.0541860000000001</v>
      </c>
      <c r="L40" s="499">
        <v>-1.053023</v>
      </c>
      <c r="M40" s="499">
        <v>-1.053023</v>
      </c>
      <c r="N40" s="499">
        <v>-1.0525070000000001</v>
      </c>
      <c r="O40" s="499">
        <v>-1.0519419999999999</v>
      </c>
      <c r="P40" s="499">
        <v>-1.049839</v>
      </c>
      <c r="Q40" s="499">
        <v>-1.04861</v>
      </c>
      <c r="R40" s="499">
        <v>-1.047512</v>
      </c>
      <c r="S40" s="499">
        <v>-1.0474729999999999</v>
      </c>
      <c r="T40" s="499">
        <v>-1.0474319999999999</v>
      </c>
      <c r="U40" s="499">
        <v>-1.042886</v>
      </c>
      <c r="V40" s="499">
        <v>-1.040087</v>
      </c>
      <c r="W40" s="499">
        <v>-1.0376000000000001</v>
      </c>
      <c r="X40" s="499">
        <v>-1.0325770000000001</v>
      </c>
      <c r="Y40" s="499">
        <v>-1.029685</v>
      </c>
      <c r="Z40" s="499">
        <v>-1.0285440000000001</v>
      </c>
      <c r="AA40" s="499">
        <v>-1.0275510000000001</v>
      </c>
      <c r="AB40" s="499">
        <v>-1.0269680000000001</v>
      </c>
      <c r="AC40" s="499">
        <v>-1.026475</v>
      </c>
      <c r="AD40" s="499">
        <v>-1.0257160000000001</v>
      </c>
      <c r="AE40" s="499">
        <v>-1.025215</v>
      </c>
      <c r="AF40" s="499">
        <v>-1.024686</v>
      </c>
      <c r="AG40" s="499">
        <v>-1.0236839999999998</v>
      </c>
      <c r="AH40" s="499">
        <v>-1.0230999999999999</v>
      </c>
      <c r="AI40" s="499">
        <v>-1.0225420000000001</v>
      </c>
      <c r="AJ40" s="499">
        <v>-1.021506</v>
      </c>
      <c r="AK40" s="503">
        <v>1E-3</v>
      </c>
      <c r="AL40" s="517" t="s">
        <v>225</v>
      </c>
      <c r="AM40" s="518">
        <v>8.1633732418029847E-2</v>
      </c>
    </row>
    <row r="41" spans="1:44" s="251" customFormat="1">
      <c r="A41" s="501" t="s">
        <v>725</v>
      </c>
      <c r="G41" s="499">
        <v>90.044575999999992</v>
      </c>
      <c r="H41" s="499">
        <v>87.587425999999994</v>
      </c>
      <c r="I41" s="499">
        <v>103.043627</v>
      </c>
      <c r="J41" s="499">
        <v>106.50949800000001</v>
      </c>
      <c r="K41" s="499">
        <v>120.12401500000001</v>
      </c>
      <c r="L41" s="499">
        <v>129.478813</v>
      </c>
      <c r="M41" s="499">
        <v>131.505672</v>
      </c>
      <c r="N41" s="499">
        <v>132.48445699999999</v>
      </c>
      <c r="O41" s="499">
        <v>132.887441</v>
      </c>
      <c r="P41" s="499">
        <v>133.36361600000001</v>
      </c>
      <c r="Q41" s="499">
        <v>134.32344000000001</v>
      </c>
      <c r="R41" s="499">
        <v>134.88210699999999</v>
      </c>
      <c r="S41" s="499">
        <v>137.740183</v>
      </c>
      <c r="T41" s="499">
        <v>138.51680100000002</v>
      </c>
      <c r="U41" s="499">
        <v>141.88022899999999</v>
      </c>
      <c r="V41" s="499">
        <v>142.50879100000003</v>
      </c>
      <c r="W41" s="499">
        <v>143.27350600000003</v>
      </c>
      <c r="X41" s="499">
        <v>144.13138799999999</v>
      </c>
      <c r="Y41" s="499">
        <v>148.44254699999999</v>
      </c>
      <c r="Z41" s="499">
        <v>149.46138299999998</v>
      </c>
      <c r="AA41" s="499">
        <v>150.02957600000002</v>
      </c>
      <c r="AB41" s="499">
        <v>150.56626400000002</v>
      </c>
      <c r="AC41" s="499">
        <v>150.808009</v>
      </c>
      <c r="AD41" s="499">
        <v>151.33506200000002</v>
      </c>
      <c r="AE41" s="499">
        <v>152.14981700000001</v>
      </c>
      <c r="AF41" s="499">
        <v>152.74097999999998</v>
      </c>
      <c r="AG41" s="499">
        <v>153.329735</v>
      </c>
      <c r="AH41" s="499">
        <v>154.036767</v>
      </c>
      <c r="AI41" s="499">
        <v>154.81488899999999</v>
      </c>
      <c r="AJ41" s="499">
        <v>155.80237199999999</v>
      </c>
      <c r="AK41" s="503">
        <v>2.1000000000000001E-2</v>
      </c>
      <c r="AL41" s="517" t="s">
        <v>379</v>
      </c>
      <c r="AM41" s="518">
        <v>5.4134690685987044E-2</v>
      </c>
    </row>
    <row r="42" spans="1:44" s="251" customFormat="1">
      <c r="A42" s="501" t="s">
        <v>726</v>
      </c>
      <c r="G42" s="499">
        <v>0</v>
      </c>
      <c r="H42" s="499">
        <v>0</v>
      </c>
      <c r="I42" s="499">
        <v>0</v>
      </c>
      <c r="J42" s="499">
        <v>0</v>
      </c>
      <c r="K42" s="499">
        <v>0.138347</v>
      </c>
      <c r="L42" s="499">
        <v>0.17615500000000001</v>
      </c>
      <c r="M42" s="499">
        <v>0.22020400000000001</v>
      </c>
      <c r="N42" s="499">
        <v>0.26187199999999999</v>
      </c>
      <c r="O42" s="499">
        <v>0.30839099999999997</v>
      </c>
      <c r="P42" s="499">
        <v>0.41514600000000002</v>
      </c>
      <c r="Q42" s="499">
        <v>0.53129399999999993</v>
      </c>
      <c r="R42" s="499">
        <v>0.65826099999999999</v>
      </c>
      <c r="S42" s="499">
        <v>0.79062100000000002</v>
      </c>
      <c r="T42" s="499">
        <v>0.84659699999999993</v>
      </c>
      <c r="U42" s="499">
        <v>0.89368700000000001</v>
      </c>
      <c r="V42" s="499">
        <v>0.94406099999999993</v>
      </c>
      <c r="W42" s="499">
        <v>0.99521099999999996</v>
      </c>
      <c r="X42" s="499">
        <v>1.0492859999999999</v>
      </c>
      <c r="Y42" s="499">
        <v>1.104536</v>
      </c>
      <c r="Z42" s="499">
        <v>1.1563030000000001</v>
      </c>
      <c r="AA42" s="499">
        <v>1.2066940000000002</v>
      </c>
      <c r="AB42" s="499">
        <v>1.2582610000000001</v>
      </c>
      <c r="AC42" s="499">
        <v>1.3122440000000002</v>
      </c>
      <c r="AD42" s="499">
        <v>1.4250240000000001</v>
      </c>
      <c r="AE42" s="499">
        <v>1.534551</v>
      </c>
      <c r="AF42" s="499">
        <v>1.6419260000000002</v>
      </c>
      <c r="AG42" s="499">
        <v>1.7553640000000001</v>
      </c>
      <c r="AH42" s="499">
        <v>1.8796810000000002</v>
      </c>
      <c r="AI42" s="499">
        <v>2.012562</v>
      </c>
      <c r="AJ42" s="499">
        <v>2.1356309999999996</v>
      </c>
      <c r="AK42" s="499" t="s">
        <v>41</v>
      </c>
      <c r="AL42" s="517" t="s">
        <v>743</v>
      </c>
      <c r="AM42" s="518">
        <v>0</v>
      </c>
    </row>
    <row r="43" spans="1:44" s="251" customFormat="1">
      <c r="A43" s="502" t="s">
        <v>727</v>
      </c>
      <c r="G43" s="500">
        <v>1303.0757450000001</v>
      </c>
      <c r="H43" s="500">
        <v>1290.008423</v>
      </c>
      <c r="I43" s="500">
        <v>1283.0601799999999</v>
      </c>
      <c r="J43" s="500">
        <v>1283.5754239999999</v>
      </c>
      <c r="K43" s="500">
        <v>1307.7798919999998</v>
      </c>
      <c r="L43" s="500">
        <v>1345.2773740000002</v>
      </c>
      <c r="M43" s="500">
        <v>1360.129852</v>
      </c>
      <c r="N43" s="500">
        <v>1372.1891479999999</v>
      </c>
      <c r="O43" s="500">
        <v>1386.3114629999998</v>
      </c>
      <c r="P43" s="500">
        <v>1399.4402150000001</v>
      </c>
      <c r="Q43" s="500">
        <v>1412.343764</v>
      </c>
      <c r="R43" s="500">
        <v>1427.4572440000002</v>
      </c>
      <c r="S43" s="500">
        <v>1449.5046699999998</v>
      </c>
      <c r="T43" s="500">
        <v>1469.198746</v>
      </c>
      <c r="U43" s="500">
        <v>1484.5135330000001</v>
      </c>
      <c r="V43" s="500">
        <v>1493.308548</v>
      </c>
      <c r="W43" s="500">
        <v>1502.5835729999999</v>
      </c>
      <c r="X43" s="500">
        <v>1513.1648399999999</v>
      </c>
      <c r="Y43" s="500">
        <v>1519.9720609999999</v>
      </c>
      <c r="Z43" s="500">
        <v>1530.2073520000001</v>
      </c>
      <c r="AA43" s="500">
        <v>1534.3055880000002</v>
      </c>
      <c r="AB43" s="500">
        <v>1540.9608000000001</v>
      </c>
      <c r="AC43" s="500">
        <v>1545.1990959999998</v>
      </c>
      <c r="AD43" s="500">
        <v>1551.624648</v>
      </c>
      <c r="AE43" s="500">
        <v>1561.9216140000001</v>
      </c>
      <c r="AF43" s="500">
        <v>1570.9478590000001</v>
      </c>
      <c r="AG43" s="500">
        <v>1585.1822809999999</v>
      </c>
      <c r="AH43" s="500">
        <v>1601.06041</v>
      </c>
      <c r="AI43" s="500">
        <v>1614.0061479999999</v>
      </c>
      <c r="AJ43" s="500">
        <v>1624.4732049999998</v>
      </c>
      <c r="AK43" s="504">
        <v>1E-3</v>
      </c>
      <c r="AL43" s="517" t="s">
        <v>744</v>
      </c>
      <c r="AM43" s="518">
        <v>0.38848221628159713</v>
      </c>
    </row>
    <row r="44" spans="1:44" s="251" customFormat="1">
      <c r="A44" s="250" t="s">
        <v>54</v>
      </c>
      <c r="B44"/>
      <c r="C44"/>
      <c r="D44"/>
      <c r="E44"/>
      <c r="F44"/>
      <c r="G44"/>
      <c r="H44"/>
      <c r="I44"/>
      <c r="J44"/>
      <c r="K44"/>
      <c r="L44"/>
      <c r="M44"/>
      <c r="N44"/>
      <c r="O44"/>
      <c r="P44"/>
      <c r="Q44"/>
      <c r="R44"/>
      <c r="S44"/>
      <c r="T44"/>
      <c r="U44"/>
      <c r="V44"/>
      <c r="W44"/>
      <c r="X44"/>
      <c r="Y44"/>
      <c r="Z44"/>
      <c r="AA44"/>
      <c r="AB44"/>
      <c r="AC44"/>
      <c r="AD44"/>
      <c r="AE44"/>
      <c r="AF44"/>
      <c r="AG44"/>
      <c r="AH44"/>
      <c r="AI44"/>
      <c r="AJ44"/>
      <c r="AK44"/>
      <c r="AL44" s="509" t="s">
        <v>58</v>
      </c>
      <c r="AM44" s="518">
        <v>7.2619441528484555E-2</v>
      </c>
    </row>
    <row r="45" spans="1:44" s="251" customFormat="1">
      <c r="A45" s="250" t="s">
        <v>80</v>
      </c>
      <c r="B45"/>
      <c r="C45"/>
      <c r="D45"/>
      <c r="E45"/>
      <c r="F45"/>
      <c r="G45"/>
      <c r="H45"/>
      <c r="I45"/>
      <c r="J45"/>
      <c r="K45"/>
      <c r="L45"/>
      <c r="M45"/>
      <c r="N45"/>
      <c r="O45"/>
      <c r="P45"/>
      <c r="Q45"/>
      <c r="R45"/>
      <c r="S45"/>
      <c r="T45"/>
      <c r="U45"/>
      <c r="V45"/>
      <c r="W45"/>
      <c r="X45"/>
      <c r="Y45"/>
      <c r="Z45"/>
      <c r="AA45"/>
      <c r="AB45"/>
      <c r="AC45"/>
      <c r="AD45"/>
      <c r="AE45"/>
      <c r="AF45"/>
      <c r="AG45"/>
      <c r="AH45"/>
      <c r="AI45"/>
      <c r="AJ45"/>
      <c r="AK45"/>
      <c r="AL45"/>
    </row>
    <row r="46" spans="1:44" s="251" customFormat="1">
      <c r="A46" s="250" t="s">
        <v>81</v>
      </c>
      <c r="B46"/>
      <c r="C46"/>
      <c r="D46"/>
      <c r="E46"/>
      <c r="F46"/>
      <c r="G46"/>
      <c r="H46"/>
      <c r="I46"/>
      <c r="J46"/>
      <c r="K46"/>
      <c r="L46"/>
      <c r="M46"/>
      <c r="N46"/>
      <c r="O46"/>
      <c r="P46"/>
      <c r="Q46"/>
      <c r="R46"/>
      <c r="S46"/>
      <c r="T46"/>
      <c r="U46"/>
      <c r="V46"/>
      <c r="W46"/>
      <c r="X46"/>
      <c r="Y46"/>
      <c r="Z46"/>
      <c r="AA46"/>
      <c r="AB46"/>
      <c r="AC46"/>
      <c r="AD46"/>
      <c r="AE46"/>
      <c r="AF46"/>
      <c r="AG46"/>
      <c r="AH46"/>
      <c r="AI46"/>
      <c r="AJ46"/>
      <c r="AK46"/>
      <c r="AL46"/>
    </row>
    <row r="47" spans="1:44" s="253" customFormat="1">
      <c r="B47" s="364" t="s">
        <v>7</v>
      </c>
      <c r="C47" s="364" t="s">
        <v>8</v>
      </c>
      <c r="D47" s="364" t="s">
        <v>9</v>
      </c>
      <c r="E47" s="364" t="s">
        <v>10</v>
      </c>
      <c r="F47" s="364" t="s">
        <v>11</v>
      </c>
      <c r="G47" s="323" t="s">
        <v>12</v>
      </c>
      <c r="H47" s="323" t="s">
        <v>13</v>
      </c>
      <c r="I47" s="323" t="s">
        <v>14</v>
      </c>
      <c r="J47" s="323" t="s">
        <v>15</v>
      </c>
      <c r="K47" s="323" t="s">
        <v>16</v>
      </c>
      <c r="L47" s="323" t="s">
        <v>17</v>
      </c>
      <c r="M47" s="323" t="s">
        <v>18</v>
      </c>
      <c r="N47" s="323" t="s">
        <v>19</v>
      </c>
      <c r="O47" s="323" t="s">
        <v>20</v>
      </c>
      <c r="P47" s="323" t="s">
        <v>21</v>
      </c>
      <c r="Q47" s="323" t="s">
        <v>22</v>
      </c>
      <c r="R47" s="323" t="s">
        <v>23</v>
      </c>
      <c r="S47" s="323" t="s">
        <v>24</v>
      </c>
      <c r="T47" s="323" t="s">
        <v>25</v>
      </c>
      <c r="U47" s="323" t="s">
        <v>26</v>
      </c>
      <c r="V47" s="323" t="s">
        <v>27</v>
      </c>
      <c r="W47" s="323" t="s">
        <v>28</v>
      </c>
      <c r="X47" s="323" t="s">
        <v>29</v>
      </c>
      <c r="Y47" s="323" t="s">
        <v>30</v>
      </c>
      <c r="Z47" s="323" t="s">
        <v>31</v>
      </c>
      <c r="AA47" s="323" t="s">
        <v>582</v>
      </c>
      <c r="AB47" s="323" t="s">
        <v>583</v>
      </c>
      <c r="AC47" s="323" t="s">
        <v>584</v>
      </c>
      <c r="AD47" s="323" t="s">
        <v>585</v>
      </c>
      <c r="AE47" s="323" t="s">
        <v>586</v>
      </c>
      <c r="AF47" s="323" t="s">
        <v>587</v>
      </c>
      <c r="AG47" s="323" t="s">
        <v>588</v>
      </c>
      <c r="AH47" s="323" t="s">
        <v>589</v>
      </c>
      <c r="AI47" s="323" t="s">
        <v>590</v>
      </c>
      <c r="AJ47" s="323" t="s">
        <v>591</v>
      </c>
      <c r="AK47" s="323" t="s">
        <v>594</v>
      </c>
    </row>
    <row r="48" spans="1:44" s="255" customFormat="1">
      <c r="A48" s="254" t="s">
        <v>756</v>
      </c>
      <c r="B48" s="365"/>
      <c r="C48" s="365"/>
      <c r="D48" s="365"/>
      <c r="E48" s="365"/>
      <c r="F48" s="365"/>
      <c r="G48" s="321"/>
      <c r="H48" s="321"/>
      <c r="I48" s="321"/>
      <c r="J48" s="321"/>
      <c r="K48" s="321"/>
      <c r="L48" s="321"/>
      <c r="M48" s="321"/>
      <c r="N48" s="321"/>
      <c r="O48" s="321"/>
      <c r="P48" s="321"/>
      <c r="Q48" s="321"/>
      <c r="R48" s="321"/>
      <c r="S48" s="321"/>
      <c r="T48" s="321"/>
      <c r="U48" s="321"/>
      <c r="V48" s="321"/>
      <c r="W48" s="321"/>
      <c r="X48" s="321"/>
      <c r="Y48" s="321"/>
      <c r="Z48" s="321"/>
      <c r="AA48" s="321"/>
      <c r="AB48" s="321"/>
      <c r="AC48" s="321"/>
      <c r="AD48" s="321"/>
      <c r="AE48" s="321"/>
      <c r="AF48" s="321"/>
      <c r="AG48" s="321"/>
      <c r="AH48" s="321"/>
      <c r="AI48" s="321"/>
      <c r="AJ48" s="321"/>
      <c r="AK48" s="321"/>
      <c r="AM48" s="255" t="s">
        <v>749</v>
      </c>
      <c r="AN48" s="255">
        <v>2006</v>
      </c>
      <c r="AO48" s="255">
        <v>2007</v>
      </c>
      <c r="AP48" s="255">
        <v>2008</v>
      </c>
      <c r="AQ48" s="255">
        <v>2009</v>
      </c>
      <c r="AR48" s="255">
        <v>2010</v>
      </c>
    </row>
    <row r="49" spans="1:44" s="255" customFormat="1">
      <c r="A49" s="254" t="s">
        <v>68</v>
      </c>
      <c r="B49" s="505">
        <f>AN51</f>
        <v>24.395</v>
      </c>
      <c r="C49" s="505">
        <f t="shared" ref="C49:F49" si="0">AO51</f>
        <v>23.050999999999998</v>
      </c>
      <c r="D49" s="505">
        <f t="shared" si="0"/>
        <v>24.1</v>
      </c>
      <c r="E49" s="505">
        <f t="shared" si="0"/>
        <v>23.067</v>
      </c>
      <c r="F49" s="505">
        <f t="shared" si="0"/>
        <v>23.923999999999999</v>
      </c>
      <c r="G49" s="484">
        <f t="shared" ref="G49:AJ49" si="1">G36*$AM36</f>
        <v>23.097326216360237</v>
      </c>
      <c r="H49" s="484">
        <f t="shared" si="1"/>
        <v>19.898209246656961</v>
      </c>
      <c r="I49" s="484">
        <f t="shared" si="1"/>
        <v>21.276908023750551</v>
      </c>
      <c r="J49" s="484">
        <f t="shared" si="1"/>
        <v>21.917534920940426</v>
      </c>
      <c r="K49" s="484">
        <f t="shared" si="1"/>
        <v>20.770785933068542</v>
      </c>
      <c r="L49" s="484">
        <f t="shared" si="1"/>
        <v>19.956715288852429</v>
      </c>
      <c r="M49" s="484">
        <f t="shared" si="1"/>
        <v>21.009027216634401</v>
      </c>
      <c r="N49" s="484">
        <f t="shared" si="1"/>
        <v>21.387900474036826</v>
      </c>
      <c r="O49" s="484">
        <f t="shared" si="1"/>
        <v>21.583327754041303</v>
      </c>
      <c r="P49" s="484">
        <f t="shared" si="1"/>
        <v>21.528135828782617</v>
      </c>
      <c r="Q49" s="484">
        <f t="shared" si="1"/>
        <v>21.70849177863947</v>
      </c>
      <c r="R49" s="484">
        <f t="shared" si="1"/>
        <v>21.876832404299478</v>
      </c>
      <c r="S49" s="484">
        <f t="shared" si="1"/>
        <v>21.886222011683227</v>
      </c>
      <c r="T49" s="484">
        <f t="shared" si="1"/>
        <v>22.169417338868129</v>
      </c>
      <c r="U49" s="484">
        <f t="shared" si="1"/>
        <v>22.387279142989513</v>
      </c>
      <c r="V49" s="484">
        <f t="shared" si="1"/>
        <v>22.371416801101958</v>
      </c>
      <c r="W49" s="484">
        <f t="shared" si="1"/>
        <v>22.376112796135398</v>
      </c>
      <c r="X49" s="484">
        <f t="shared" si="1"/>
        <v>22.372938085692113</v>
      </c>
      <c r="Y49" s="484">
        <f t="shared" si="1"/>
        <v>22.290361905059548</v>
      </c>
      <c r="Z49" s="484">
        <f t="shared" si="1"/>
        <v>22.308637592478291</v>
      </c>
      <c r="AA49" s="484">
        <f t="shared" si="1"/>
        <v>22.298732622450888</v>
      </c>
      <c r="AB49" s="484">
        <f t="shared" si="1"/>
        <v>22.291294940338393</v>
      </c>
      <c r="AC49" s="484">
        <f t="shared" si="1"/>
        <v>22.268937677651614</v>
      </c>
      <c r="AD49" s="484">
        <f t="shared" si="1"/>
        <v>22.250605196441459</v>
      </c>
      <c r="AE49" s="484">
        <f t="shared" si="1"/>
        <v>22.23067190370902</v>
      </c>
      <c r="AF49" s="484">
        <f t="shared" si="1"/>
        <v>22.210891844844326</v>
      </c>
      <c r="AG49" s="484">
        <f t="shared" si="1"/>
        <v>22.192357421473506</v>
      </c>
      <c r="AH49" s="484">
        <f t="shared" si="1"/>
        <v>22.173653085453012</v>
      </c>
      <c r="AI49" s="484">
        <f t="shared" si="1"/>
        <v>22.173477079384174</v>
      </c>
      <c r="AJ49" s="484">
        <f t="shared" si="1"/>
        <v>22.173187681034403</v>
      </c>
      <c r="AK49"/>
    </row>
    <row r="50" spans="1:44" s="255" customFormat="1">
      <c r="A50" s="254" t="s">
        <v>69</v>
      </c>
      <c r="B50" s="505">
        <f t="shared" ref="B50:B51" si="2">AN52</f>
        <v>1.8720000000000001</v>
      </c>
      <c r="C50" s="505">
        <f t="shared" ref="C50:C51" si="3">AO52</f>
        <v>2.2509999999999999</v>
      </c>
      <c r="D50" s="505">
        <f t="shared" ref="D50:D51" si="4">AP52</f>
        <v>2.3050000000000002</v>
      </c>
      <c r="E50" s="505">
        <f t="shared" ref="E50:E51" si="5">AQ52</f>
        <v>1.8580000000000001</v>
      </c>
      <c r="F50" s="505">
        <f t="shared" ref="F50:F51" si="6">AR52</f>
        <v>3.2810000000000001</v>
      </c>
      <c r="G50" s="484">
        <f t="shared" ref="G50:AJ50" si="7">G37*$AM37</f>
        <v>2.2622611420026488</v>
      </c>
      <c r="H50" s="484">
        <f t="shared" si="7"/>
        <v>1.4341173147542561</v>
      </c>
      <c r="I50" s="484">
        <f t="shared" si="7"/>
        <v>1.1787219886191729</v>
      </c>
      <c r="J50" s="484">
        <f t="shared" si="7"/>
        <v>1.1954965424876323</v>
      </c>
      <c r="K50" s="484">
        <f t="shared" si="7"/>
        <v>1.1586846332064284</v>
      </c>
      <c r="L50" s="484">
        <f t="shared" si="7"/>
        <v>1.1063472815467019</v>
      </c>
      <c r="M50" s="484">
        <f t="shared" si="7"/>
        <v>0.66206447016475423</v>
      </c>
      <c r="N50" s="484">
        <f t="shared" si="7"/>
        <v>0.67361680252091671</v>
      </c>
      <c r="O50" s="484">
        <f t="shared" si="7"/>
        <v>0.67981558575254253</v>
      </c>
      <c r="P50" s="484">
        <f t="shared" si="7"/>
        <v>0.67876526468935272</v>
      </c>
      <c r="Q50" s="484">
        <f t="shared" si="7"/>
        <v>0.68526478215631359</v>
      </c>
      <c r="R50" s="484">
        <f t="shared" si="7"/>
        <v>0.69005494182103511</v>
      </c>
      <c r="S50" s="484">
        <f t="shared" si="7"/>
        <v>0.69332493939886752</v>
      </c>
      <c r="T50" s="484">
        <f t="shared" si="7"/>
        <v>0.70236705538591093</v>
      </c>
      <c r="U50" s="484">
        <f t="shared" si="7"/>
        <v>0.71216685373854949</v>
      </c>
      <c r="V50" s="484">
        <f t="shared" si="7"/>
        <v>0.7048101087752543</v>
      </c>
      <c r="W50" s="484">
        <f t="shared" si="7"/>
        <v>0.7027895225220897</v>
      </c>
      <c r="X50" s="484">
        <f t="shared" si="7"/>
        <v>0.70272955557586125</v>
      </c>
      <c r="Y50" s="484">
        <f t="shared" si="7"/>
        <v>0.70191520444608013</v>
      </c>
      <c r="Z50" s="484">
        <f t="shared" si="7"/>
        <v>0.70269567425124235</v>
      </c>
      <c r="AA50" s="484">
        <f t="shared" si="7"/>
        <v>0.70255295291921882</v>
      </c>
      <c r="AB50" s="484">
        <f t="shared" si="7"/>
        <v>0.70240063687579879</v>
      </c>
      <c r="AC50" s="484">
        <f t="shared" si="7"/>
        <v>0.7016828325294453</v>
      </c>
      <c r="AD50" s="484">
        <f t="shared" si="7"/>
        <v>0.70109095877017125</v>
      </c>
      <c r="AE50" s="484">
        <f t="shared" si="7"/>
        <v>0.70047689724079309</v>
      </c>
      <c r="AF50" s="484">
        <f t="shared" si="7"/>
        <v>0.69988502348151915</v>
      </c>
      <c r="AG50" s="484">
        <f t="shared" si="7"/>
        <v>0.69937230609126644</v>
      </c>
      <c r="AH50" s="484">
        <f t="shared" si="7"/>
        <v>0.69870157579770231</v>
      </c>
      <c r="AI50" s="484">
        <f t="shared" si="7"/>
        <v>0.69860083132803874</v>
      </c>
      <c r="AJ50" s="484">
        <f t="shared" si="7"/>
        <v>0.6985786435579342</v>
      </c>
      <c r="AK50"/>
      <c r="AM50" s="255" t="s">
        <v>752</v>
      </c>
      <c r="AN50" s="255">
        <v>69.795000000000002</v>
      </c>
      <c r="AO50" s="255">
        <v>71.028000000000006</v>
      </c>
      <c r="AP50" s="255">
        <v>72.849999999999994</v>
      </c>
      <c r="AQ50" s="255">
        <v>70.155000000000001</v>
      </c>
      <c r="AR50" s="255">
        <v>80.11</v>
      </c>
    </row>
    <row r="51" spans="1:44" s="255" customFormat="1">
      <c r="A51" s="254" t="s">
        <v>76</v>
      </c>
      <c r="B51" s="505">
        <f t="shared" si="2"/>
        <v>41.933</v>
      </c>
      <c r="C51" s="505">
        <f t="shared" si="3"/>
        <v>43.914999999999999</v>
      </c>
      <c r="D51" s="505">
        <f t="shared" si="4"/>
        <v>45.344000000000001</v>
      </c>
      <c r="E51" s="505">
        <f t="shared" si="5"/>
        <v>44.003</v>
      </c>
      <c r="F51" s="505">
        <f t="shared" si="6"/>
        <v>51.344000000000001</v>
      </c>
      <c r="G51" s="484">
        <f t="shared" ref="G51:AJ51" si="8">G38*$AM38</f>
        <v>46.273102837413312</v>
      </c>
      <c r="H51" s="484">
        <f t="shared" si="8"/>
        <v>55.015615608582976</v>
      </c>
      <c r="I51" s="484">
        <f t="shared" si="8"/>
        <v>49.113365570929211</v>
      </c>
      <c r="J51" s="484">
        <f t="shared" si="8"/>
        <v>46.810998919602447</v>
      </c>
      <c r="K51" s="484">
        <f t="shared" si="8"/>
        <v>50.504186886851208</v>
      </c>
      <c r="L51" s="484">
        <f t="shared" si="8"/>
        <v>55.11152669786788</v>
      </c>
      <c r="M51" s="484">
        <f t="shared" si="8"/>
        <v>52.640950897031253</v>
      </c>
      <c r="N51" s="484">
        <f t="shared" si="8"/>
        <v>52.004229574682967</v>
      </c>
      <c r="O51" s="484">
        <f t="shared" si="8"/>
        <v>52.861481469690546</v>
      </c>
      <c r="P51" s="484">
        <f t="shared" si="8"/>
        <v>54.467001031294224</v>
      </c>
      <c r="Q51" s="484">
        <f t="shared" si="8"/>
        <v>55.293588155854849</v>
      </c>
      <c r="R51" s="484">
        <f t="shared" si="8"/>
        <v>56.455269854088414</v>
      </c>
      <c r="S51" s="484">
        <f t="shared" si="8"/>
        <v>58.618043054718548</v>
      </c>
      <c r="T51" s="484">
        <f t="shared" si="8"/>
        <v>59.949945136941977</v>
      </c>
      <c r="U51" s="484">
        <f t="shared" si="8"/>
        <v>60.673224411192088</v>
      </c>
      <c r="V51" s="484">
        <f t="shared" si="8"/>
        <v>61.655881399291175</v>
      </c>
      <c r="W51" s="484">
        <f t="shared" si="8"/>
        <v>62.615404820621443</v>
      </c>
      <c r="X51" s="484">
        <f t="shared" si="8"/>
        <v>63.736230558322781</v>
      </c>
      <c r="Y51" s="484">
        <f t="shared" si="8"/>
        <v>64.260044663962034</v>
      </c>
      <c r="Z51" s="484">
        <f t="shared" si="8"/>
        <v>65.259811405952888</v>
      </c>
      <c r="AA51" s="484">
        <f t="shared" si="8"/>
        <v>65.689093810822413</v>
      </c>
      <c r="AB51" s="484">
        <f t="shared" si="8"/>
        <v>66.408727837584053</v>
      </c>
      <c r="AC51" s="484">
        <f t="shared" si="8"/>
        <v>66.928187910390605</v>
      </c>
      <c r="AD51" s="484">
        <f t="shared" si="8"/>
        <v>67.647706815599506</v>
      </c>
      <c r="AE51" s="484">
        <f t="shared" si="8"/>
        <v>68.784488101494915</v>
      </c>
      <c r="AF51" s="484">
        <f t="shared" si="8"/>
        <v>69.800636605940085</v>
      </c>
      <c r="AG51" s="484">
        <f t="shared" si="8"/>
        <v>71.411584246511481</v>
      </c>
      <c r="AH51" s="484">
        <f t="shared" si="8"/>
        <v>73.197330451664016</v>
      </c>
      <c r="AI51" s="484">
        <f t="shared" si="8"/>
        <v>74.581895296465987</v>
      </c>
      <c r="AJ51" s="484">
        <f t="shared" si="8"/>
        <v>75.658691237979539</v>
      </c>
      <c r="AK51"/>
      <c r="AM51" s="255" t="s">
        <v>68</v>
      </c>
      <c r="AN51" s="255">
        <v>24.395</v>
      </c>
      <c r="AO51" s="255">
        <v>23.050999999999998</v>
      </c>
      <c r="AP51" s="255">
        <v>24.1</v>
      </c>
      <c r="AQ51" s="255">
        <v>23.067</v>
      </c>
      <c r="AR51" s="255">
        <v>23.923999999999999</v>
      </c>
    </row>
    <row r="52" spans="1:44" s="255" customFormat="1">
      <c r="A52" s="254" t="s">
        <v>71</v>
      </c>
      <c r="B52" s="506">
        <f>AN55</f>
        <v>16.734999999999999</v>
      </c>
      <c r="C52" s="506">
        <f t="shared" ref="C52:F52" si="9">AO55</f>
        <v>17.077999999999999</v>
      </c>
      <c r="D52" s="506">
        <f t="shared" si="9"/>
        <v>15.371</v>
      </c>
      <c r="E52" s="506">
        <f t="shared" si="9"/>
        <v>16.782</v>
      </c>
      <c r="F52" s="506">
        <f t="shared" si="9"/>
        <v>18.638999999999999</v>
      </c>
      <c r="G52" s="484">
        <f>G39*$AM40</f>
        <v>17.196390716688974</v>
      </c>
      <c r="H52" s="484">
        <f t="shared" ref="H52:AJ52" si="10">H39*$AM40</f>
        <v>17.037613515304567</v>
      </c>
      <c r="I52" s="484">
        <f t="shared" si="10"/>
        <v>16.76553146887084</v>
      </c>
      <c r="J52" s="484">
        <f t="shared" si="10"/>
        <v>16.815288126750684</v>
      </c>
      <c r="K52" s="484">
        <f t="shared" si="10"/>
        <v>17.45365346514193</v>
      </c>
      <c r="L52" s="484">
        <f t="shared" si="10"/>
        <v>18.193102670670854</v>
      </c>
      <c r="M52" s="484">
        <f t="shared" si="10"/>
        <v>18.911862296520823</v>
      </c>
      <c r="N52" s="484">
        <f t="shared" si="10"/>
        <v>19.46995147146415</v>
      </c>
      <c r="O52" s="484">
        <f t="shared" si="10"/>
        <v>19.567454230028119</v>
      </c>
      <c r="P52" s="484">
        <f t="shared" si="10"/>
        <v>19.567454719830515</v>
      </c>
      <c r="Q52" s="484">
        <f t="shared" si="10"/>
        <v>19.567454719830515</v>
      </c>
      <c r="R52" s="484">
        <f t="shared" si="10"/>
        <v>19.56745455656305</v>
      </c>
      <c r="S52" s="484">
        <f t="shared" si="10"/>
        <v>19.567454719830515</v>
      </c>
      <c r="T52" s="484">
        <f t="shared" si="10"/>
        <v>19.567454230028119</v>
      </c>
      <c r="U52" s="484">
        <f t="shared" si="10"/>
        <v>19.567493822388339</v>
      </c>
      <c r="V52" s="484">
        <f t="shared" si="10"/>
        <v>19.56745455656305</v>
      </c>
      <c r="W52" s="484">
        <f t="shared" si="10"/>
        <v>19.567454393295584</v>
      </c>
      <c r="X52" s="484">
        <f t="shared" si="10"/>
        <v>19.567454393295584</v>
      </c>
      <c r="Y52" s="484">
        <f t="shared" si="10"/>
        <v>19.567454719830515</v>
      </c>
      <c r="Z52" s="484">
        <f t="shared" si="10"/>
        <v>19.567454393295584</v>
      </c>
      <c r="AA52" s="484">
        <f t="shared" si="10"/>
        <v>19.567454393295584</v>
      </c>
      <c r="AB52" s="484">
        <f t="shared" si="10"/>
        <v>19.56745455656305</v>
      </c>
      <c r="AC52" s="484">
        <f t="shared" si="10"/>
        <v>19.567454148394386</v>
      </c>
      <c r="AD52" s="484">
        <f t="shared" si="10"/>
        <v>19.567454393295584</v>
      </c>
      <c r="AE52" s="484">
        <f t="shared" si="10"/>
        <v>19.567454719830515</v>
      </c>
      <c r="AF52" s="484">
        <f t="shared" si="10"/>
        <v>19.567454719830515</v>
      </c>
      <c r="AG52" s="484">
        <f t="shared" si="10"/>
        <v>19.567454719830515</v>
      </c>
      <c r="AH52" s="484">
        <f t="shared" si="10"/>
        <v>19.567454719830515</v>
      </c>
      <c r="AI52" s="484">
        <f t="shared" si="10"/>
        <v>19.567454393295584</v>
      </c>
      <c r="AJ52" s="484">
        <f t="shared" si="10"/>
        <v>19.567454393295584</v>
      </c>
      <c r="AK52"/>
      <c r="AM52" s="255" t="s">
        <v>69</v>
      </c>
      <c r="AN52" s="255">
        <v>1.8720000000000001</v>
      </c>
      <c r="AO52" s="255">
        <v>2.2509999999999999</v>
      </c>
      <c r="AP52" s="255">
        <v>2.3050000000000002</v>
      </c>
      <c r="AQ52" s="255">
        <v>1.8580000000000001</v>
      </c>
      <c r="AR52" s="255">
        <v>3.2810000000000001</v>
      </c>
    </row>
    <row r="53" spans="1:44" s="255" customFormat="1">
      <c r="A53" s="254" t="s">
        <v>326</v>
      </c>
      <c r="B53" s="507"/>
      <c r="C53" s="507"/>
      <c r="D53" s="507"/>
      <c r="E53" s="507"/>
      <c r="F53" s="507"/>
      <c r="G53" s="484"/>
      <c r="H53" s="484"/>
      <c r="I53" s="484"/>
      <c r="J53" s="484"/>
      <c r="K53" s="484"/>
      <c r="L53" s="484"/>
      <c r="M53" s="484"/>
      <c r="N53" s="484"/>
      <c r="O53" s="484"/>
      <c r="P53" s="484"/>
      <c r="Q53" s="484"/>
      <c r="R53" s="484"/>
      <c r="S53" s="484"/>
      <c r="T53" s="484"/>
      <c r="U53" s="484"/>
      <c r="V53" s="484"/>
      <c r="W53" s="484"/>
      <c r="X53" s="484"/>
      <c r="Y53" s="484"/>
      <c r="Z53" s="484"/>
      <c r="AA53" s="484"/>
      <c r="AB53" s="484"/>
      <c r="AC53" s="484"/>
      <c r="AD53" s="484"/>
      <c r="AE53" s="484"/>
      <c r="AF53" s="484"/>
      <c r="AG53" s="484"/>
      <c r="AH53" s="484"/>
      <c r="AI53" s="484"/>
      <c r="AJ53" s="484"/>
      <c r="AK53"/>
      <c r="AM53" s="255" t="s">
        <v>745</v>
      </c>
      <c r="AN53" s="255">
        <v>41.933</v>
      </c>
      <c r="AO53" s="255">
        <v>43.914999999999999</v>
      </c>
      <c r="AP53" s="255">
        <v>45.344000000000001</v>
      </c>
      <c r="AQ53" s="255">
        <v>44.003</v>
      </c>
      <c r="AR53" s="255">
        <v>51.344000000000001</v>
      </c>
    </row>
    <row r="54" spans="1:44" s="255" customFormat="1">
      <c r="A54" s="254" t="s">
        <v>628</v>
      </c>
      <c r="B54" s="506">
        <f>AN56</f>
        <v>3.6760000000000002</v>
      </c>
      <c r="C54" s="506">
        <f t="shared" ref="C54:F54" si="11">AO56</f>
        <v>3.8069999999999999</v>
      </c>
      <c r="D54" s="506">
        <f t="shared" si="11"/>
        <v>3.774</v>
      </c>
      <c r="E54" s="506">
        <f t="shared" si="11"/>
        <v>3.6</v>
      </c>
      <c r="F54" s="506">
        <f t="shared" si="11"/>
        <v>3.577</v>
      </c>
      <c r="G54" s="484">
        <f>EIA_RE_aeo2014!G79</f>
        <v>3.9897868608181803</v>
      </c>
      <c r="H54" s="484">
        <f>EIA_RE_aeo2014!H79</f>
        <v>3.6630783112394116</v>
      </c>
      <c r="I54" s="484">
        <f>EIA_RE_aeo2014!I79</f>
        <v>4.22160496998558</v>
      </c>
      <c r="J54" s="484">
        <f>EIA_RE_aeo2014!J79</f>
        <v>4.3372485527905065</v>
      </c>
      <c r="K54" s="484">
        <f>EIA_RE_aeo2014!K79</f>
        <v>4.4753936129391123</v>
      </c>
      <c r="L54" s="484">
        <f>EIA_RE_aeo2014!L79</f>
        <v>4.6806631260264346</v>
      </c>
      <c r="M54" s="484">
        <f>EIA_RE_aeo2014!M79</f>
        <v>4.9763832850877847</v>
      </c>
      <c r="N54" s="484">
        <f>EIA_RE_aeo2014!N79</f>
        <v>5.1370876694297261</v>
      </c>
      <c r="O54" s="484">
        <f>EIA_RE_aeo2014!O79</f>
        <v>5.2878017324113475</v>
      </c>
      <c r="P54" s="484">
        <f>EIA_RE_aeo2014!P79</f>
        <v>5.479664702030683</v>
      </c>
      <c r="Q54" s="484">
        <f>EIA_RE_aeo2014!Q79</f>
        <v>5.7757993175052285</v>
      </c>
      <c r="R54" s="484">
        <f>EIA_RE_aeo2014!R79</f>
        <v>5.9767038991348551</v>
      </c>
      <c r="S54" s="484">
        <f>EIA_RE_aeo2014!S79</f>
        <v>6.5604319644334819</v>
      </c>
      <c r="T54" s="484">
        <f>EIA_RE_aeo2014!T79</f>
        <v>6.7849518833786489</v>
      </c>
      <c r="U54" s="484">
        <f>EIA_RE_aeo2014!U79</f>
        <v>7.4813110800718912</v>
      </c>
      <c r="V54" s="484">
        <f>EIA_RE_aeo2014!V79</f>
        <v>7.6890566691522189</v>
      </c>
      <c r="W54" s="484">
        <f>EIA_RE_aeo2014!W79</f>
        <v>7.8302636236066068</v>
      </c>
      <c r="X54" s="484">
        <f>EIA_RE_aeo2014!X79</f>
        <v>7.9702189169435966</v>
      </c>
      <c r="Y54" s="484">
        <f>EIA_RE_aeo2014!Y79</f>
        <v>8.7672049709096012</v>
      </c>
      <c r="Z54" s="484">
        <f>EIA_RE_aeo2014!Z79</f>
        <v>8.8973947834895917</v>
      </c>
      <c r="AA54" s="484">
        <f>EIA_RE_aeo2014!AA79</f>
        <v>8.9974266065486237</v>
      </c>
      <c r="AB54" s="484">
        <f>EIA_RE_aeo2014!AB79</f>
        <v>9.078752266324237</v>
      </c>
      <c r="AC54" s="484">
        <f>EIA_RE_aeo2014!AC79</f>
        <v>9.1793907726652364</v>
      </c>
      <c r="AD54" s="484">
        <f>EIA_RE_aeo2014!AD79</f>
        <v>9.2951332744340647</v>
      </c>
      <c r="AE54" s="484">
        <f>EIA_RE_aeo2014!AE79</f>
        <v>9.3997666651277694</v>
      </c>
      <c r="AF54" s="484">
        <f>EIA_RE_aeo2014!AF79</f>
        <v>9.5413041473292814</v>
      </c>
      <c r="AG54" s="484">
        <f>EIA_RE_aeo2014!AG79</f>
        <v>9.6897051037657391</v>
      </c>
      <c r="AH54" s="484">
        <f>EIA_RE_aeo2014!AH79</f>
        <v>9.8643209473635398</v>
      </c>
      <c r="AI54" s="484">
        <f>EIA_RE_aeo2014!AI79</f>
        <v>10.042318327227491</v>
      </c>
      <c r="AJ54" s="484">
        <f>EIA_RE_aeo2014!AJ79</f>
        <v>10.202536070655633</v>
      </c>
      <c r="AK54"/>
      <c r="AM54" s="255" t="s">
        <v>753</v>
      </c>
      <c r="AN54" s="255">
        <v>1.595</v>
      </c>
      <c r="AO54" s="255">
        <v>1.8109999999999999</v>
      </c>
      <c r="AP54" s="255">
        <v>1.101</v>
      </c>
      <c r="AQ54" s="255">
        <v>1.2270000000000001</v>
      </c>
      <c r="AR54" s="255">
        <v>1.5609999999999999</v>
      </c>
    </row>
    <row r="55" spans="1:44" s="255" customFormat="1">
      <c r="A55" s="254" t="s">
        <v>629</v>
      </c>
      <c r="B55" s="506">
        <f>AN58</f>
        <v>0.71499999999999997</v>
      </c>
      <c r="C55" s="506">
        <f t="shared" ref="C55:F55" si="12">AO58</f>
        <v>0.66600000000000004</v>
      </c>
      <c r="D55" s="506">
        <f t="shared" si="12"/>
        <v>0.45800000000000002</v>
      </c>
      <c r="E55" s="506">
        <f t="shared" si="12"/>
        <v>0.45600000000000002</v>
      </c>
      <c r="F55" s="506">
        <f t="shared" si="12"/>
        <v>0.55900000000000005</v>
      </c>
      <c r="G55" s="484">
        <f>G40*$AM43</f>
        <v>0.4496922512433581</v>
      </c>
      <c r="H55" s="484">
        <f t="shared" ref="H55:AJ55" si="13">H40*$AM43</f>
        <v>0.4423709153953152</v>
      </c>
      <c r="I55" s="484">
        <f t="shared" si="13"/>
        <v>-0.41045515891670048</v>
      </c>
      <c r="J55" s="484">
        <f t="shared" si="13"/>
        <v>-0.40953290213524801</v>
      </c>
      <c r="K55" s="484">
        <f t="shared" si="13"/>
        <v>-0.40953251365303178</v>
      </c>
      <c r="L55" s="484">
        <f t="shared" si="13"/>
        <v>-0.40908070883549624</v>
      </c>
      <c r="M55" s="484">
        <f t="shared" si="13"/>
        <v>-0.40908070883549624</v>
      </c>
      <c r="N55" s="484">
        <f t="shared" si="13"/>
        <v>-0.40888025201189498</v>
      </c>
      <c r="O55" s="484">
        <f t="shared" si="13"/>
        <v>-0.40866075955969583</v>
      </c>
      <c r="P55" s="484">
        <f t="shared" si="13"/>
        <v>-0.40784378145885564</v>
      </c>
      <c r="Q55" s="484">
        <f t="shared" si="13"/>
        <v>-0.40736633681504558</v>
      </c>
      <c r="R55" s="484">
        <f t="shared" si="13"/>
        <v>-0.40693978334156838</v>
      </c>
      <c r="S55" s="484">
        <f t="shared" si="13"/>
        <v>-0.40692463253513333</v>
      </c>
      <c r="T55" s="484">
        <f t="shared" si="13"/>
        <v>-0.40690870476426583</v>
      </c>
      <c r="U55" s="484">
        <f t="shared" si="13"/>
        <v>-0.40514266460904969</v>
      </c>
      <c r="V55" s="484">
        <f t="shared" si="13"/>
        <v>-0.40405530288567748</v>
      </c>
      <c r="W55" s="484">
        <f t="shared" si="13"/>
        <v>-0.40308914761378523</v>
      </c>
      <c r="X55" s="484">
        <f t="shared" si="13"/>
        <v>-0.40113780144140276</v>
      </c>
      <c r="Y55" s="484">
        <f t="shared" si="13"/>
        <v>-0.4000143108719163</v>
      </c>
      <c r="Z55" s="484">
        <f t="shared" si="13"/>
        <v>-0.39957105266313908</v>
      </c>
      <c r="AA55" s="484">
        <f t="shared" si="13"/>
        <v>-0.39918528982237145</v>
      </c>
      <c r="AB55" s="484">
        <f t="shared" si="13"/>
        <v>-0.39895880469027928</v>
      </c>
      <c r="AC55" s="484">
        <f t="shared" si="13"/>
        <v>-0.3987672829576524</v>
      </c>
      <c r="AD55" s="484">
        <f t="shared" si="13"/>
        <v>-0.39847242495549473</v>
      </c>
      <c r="AE55" s="484">
        <f t="shared" si="13"/>
        <v>-0.39827779536513758</v>
      </c>
      <c r="AF55" s="484">
        <f t="shared" si="13"/>
        <v>-0.39807228827272462</v>
      </c>
      <c r="AG55" s="484">
        <f t="shared" si="13"/>
        <v>-0.39768302909201042</v>
      </c>
      <c r="AH55" s="484">
        <f t="shared" si="13"/>
        <v>-0.39745615547770197</v>
      </c>
      <c r="AI55" s="484">
        <f t="shared" si="13"/>
        <v>-0.39723938240101692</v>
      </c>
      <c r="AJ55" s="484">
        <f t="shared" si="13"/>
        <v>-0.39683691482494915</v>
      </c>
      <c r="AK55"/>
      <c r="AM55" s="255" t="s">
        <v>225</v>
      </c>
      <c r="AN55" s="255">
        <v>16.734999999999999</v>
      </c>
      <c r="AO55" s="255">
        <v>17.077999999999999</v>
      </c>
      <c r="AP55" s="255">
        <v>15.371</v>
      </c>
      <c r="AQ55" s="255">
        <v>16.782</v>
      </c>
      <c r="AR55" s="255">
        <v>18.638999999999999</v>
      </c>
    </row>
    <row r="56" spans="1:44" s="255" customFormat="1">
      <c r="A56" s="254" t="s">
        <v>82</v>
      </c>
      <c r="B56" s="506">
        <f>AN59</f>
        <v>90.921999999999997</v>
      </c>
      <c r="C56" s="506">
        <f t="shared" ref="C56" si="14">AO59</f>
        <v>92.578000000000003</v>
      </c>
      <c r="D56" s="506">
        <f t="shared" ref="D56" si="15">AP59</f>
        <v>92.453000000000003</v>
      </c>
      <c r="E56" s="506">
        <f t="shared" ref="E56" si="16">AQ59</f>
        <v>90.994</v>
      </c>
      <c r="F56" s="506">
        <f t="shared" ref="F56" si="17">AR59</f>
        <v>102.88500000000001</v>
      </c>
      <c r="G56" s="532">
        <f>G58</f>
        <v>93.268560024526721</v>
      </c>
      <c r="H56" s="532">
        <f t="shared" ref="H56:AJ56" si="18">H58</f>
        <v>97.491004911933501</v>
      </c>
      <c r="I56" s="532">
        <f t="shared" si="18"/>
        <v>92.145676863238663</v>
      </c>
      <c r="J56" s="532">
        <f t="shared" si="18"/>
        <v>90.667034160436444</v>
      </c>
      <c r="K56" s="532">
        <f t="shared" si="18"/>
        <v>93.953172017554181</v>
      </c>
      <c r="L56" s="532">
        <f t="shared" si="18"/>
        <v>98.639274356128809</v>
      </c>
      <c r="M56" s="532">
        <f t="shared" si="18"/>
        <v>97.79120745660353</v>
      </c>
      <c r="N56" s="532">
        <f t="shared" si="18"/>
        <v>98.263905740122695</v>
      </c>
      <c r="O56" s="532">
        <f t="shared" si="18"/>
        <v>99.571220012364165</v>
      </c>
      <c r="P56" s="532">
        <f t="shared" si="18"/>
        <v>101.31317776516855</v>
      </c>
      <c r="Q56" s="532">
        <f t="shared" si="18"/>
        <v>102.62323241717132</v>
      </c>
      <c r="R56" s="532">
        <f t="shared" si="18"/>
        <v>104.15937587256526</v>
      </c>
      <c r="S56" s="532">
        <f t="shared" si="18"/>
        <v>106.9185520575295</v>
      </c>
      <c r="T56" s="532">
        <f t="shared" si="18"/>
        <v>108.76722693983852</v>
      </c>
      <c r="U56" s="532">
        <f t="shared" si="18"/>
        <v>110.41633264577133</v>
      </c>
      <c r="V56" s="532">
        <f t="shared" si="18"/>
        <v>111.58456423199797</v>
      </c>
      <c r="W56" s="532">
        <f t="shared" si="18"/>
        <v>112.68893600856735</v>
      </c>
      <c r="X56" s="532">
        <f t="shared" si="18"/>
        <v>113.94843370838852</v>
      </c>
      <c r="Y56" s="532">
        <f t="shared" si="18"/>
        <v>115.18696715333587</v>
      </c>
      <c r="Z56" s="532">
        <f t="shared" si="18"/>
        <v>116.33642279680446</v>
      </c>
      <c r="AA56" s="532">
        <f t="shared" si="18"/>
        <v>116.85607509621435</v>
      </c>
      <c r="AB56" s="532">
        <f t="shared" si="18"/>
        <v>117.64967143299525</v>
      </c>
      <c r="AC56" s="532">
        <f t="shared" si="18"/>
        <v>118.24688605867364</v>
      </c>
      <c r="AD56" s="532">
        <f t="shared" si="18"/>
        <v>119.06351821358527</v>
      </c>
      <c r="AE56" s="532">
        <f t="shared" si="18"/>
        <v>120.28458049203788</v>
      </c>
      <c r="AF56" s="532">
        <f t="shared" si="18"/>
        <v>121.422100053153</v>
      </c>
      <c r="AG56" s="532">
        <f t="shared" si="18"/>
        <v>123.16279076858049</v>
      </c>
      <c r="AH56" s="532">
        <f t="shared" si="18"/>
        <v>125.10400462463109</v>
      </c>
      <c r="AI56" s="532">
        <f t="shared" si="18"/>
        <v>126.66650654530025</v>
      </c>
      <c r="AJ56" s="532">
        <f t="shared" si="18"/>
        <v>127.90361111169815</v>
      </c>
      <c r="AK56"/>
      <c r="AM56" s="255" t="s">
        <v>379</v>
      </c>
      <c r="AN56" s="255">
        <v>3.6760000000000002</v>
      </c>
      <c r="AO56" s="255">
        <v>3.8069999999999999</v>
      </c>
      <c r="AP56" s="255">
        <v>3.774</v>
      </c>
      <c r="AQ56" s="255">
        <v>3.6</v>
      </c>
      <c r="AR56" s="255">
        <v>3.577</v>
      </c>
    </row>
    <row r="57" spans="1:44" s="255" customFormat="1">
      <c r="B57" s="488"/>
      <c r="C57" s="488"/>
      <c r="D57" s="488"/>
      <c r="E57" s="488"/>
      <c r="F57" s="488"/>
      <c r="G57" s="489"/>
      <c r="H57" s="489"/>
      <c r="I57" s="489"/>
      <c r="J57" s="489"/>
      <c r="K57" s="489"/>
      <c r="L57" s="489"/>
      <c r="M57" s="489"/>
      <c r="N57" s="489"/>
      <c r="O57" s="489"/>
      <c r="P57" s="489"/>
      <c r="Q57" s="489"/>
      <c r="R57" s="489"/>
      <c r="S57" s="489"/>
      <c r="T57" s="489"/>
      <c r="U57" s="489"/>
      <c r="V57" s="489"/>
      <c r="W57" s="489"/>
      <c r="X57" s="489"/>
      <c r="Y57" s="489"/>
      <c r="Z57" s="489"/>
      <c r="AA57" s="489"/>
      <c r="AB57" s="489"/>
      <c r="AC57" s="489"/>
      <c r="AD57" s="489"/>
      <c r="AE57" s="489"/>
      <c r="AF57" s="489"/>
      <c r="AG57" s="489"/>
      <c r="AH57" s="489"/>
      <c r="AI57" s="489"/>
      <c r="AJ57" s="489"/>
      <c r="AK57" s="489"/>
      <c r="AM57" s="255" t="s">
        <v>754</v>
      </c>
      <c r="AN57" s="255">
        <v>0</v>
      </c>
      <c r="AO57" s="255">
        <v>0</v>
      </c>
      <c r="AP57" s="255">
        <v>0</v>
      </c>
      <c r="AQ57" s="255">
        <v>0</v>
      </c>
      <c r="AR57" s="255">
        <v>0</v>
      </c>
    </row>
    <row r="58" spans="1:44" s="255" customFormat="1">
      <c r="A58" s="254" t="s">
        <v>83</v>
      </c>
      <c r="B58" s="483">
        <f>SUM(B49:B52,B54,B55)</f>
        <v>89.326000000000008</v>
      </c>
      <c r="C58" s="483">
        <f t="shared" ref="C58:AJ58" si="19">SUM(C49:C52,C54,C55)</f>
        <v>90.768000000000001</v>
      </c>
      <c r="D58" s="483">
        <f t="shared" si="19"/>
        <v>91.35199999999999</v>
      </c>
      <c r="E58" s="483">
        <f t="shared" si="19"/>
        <v>89.765999999999991</v>
      </c>
      <c r="F58" s="483">
        <f t="shared" si="19"/>
        <v>101.324</v>
      </c>
      <c r="G58" s="483">
        <f t="shared" si="19"/>
        <v>93.268560024526721</v>
      </c>
      <c r="H58" s="483">
        <f t="shared" si="19"/>
        <v>97.491004911933501</v>
      </c>
      <c r="I58" s="483">
        <f t="shared" si="19"/>
        <v>92.145676863238663</v>
      </c>
      <c r="J58" s="483">
        <f t="shared" si="19"/>
        <v>90.667034160436444</v>
      </c>
      <c r="K58" s="483">
        <f t="shared" si="19"/>
        <v>93.953172017554181</v>
      </c>
      <c r="L58" s="483">
        <f t="shared" si="19"/>
        <v>98.639274356128809</v>
      </c>
      <c r="M58" s="483">
        <f t="shared" si="19"/>
        <v>97.79120745660353</v>
      </c>
      <c r="N58" s="483">
        <f t="shared" si="19"/>
        <v>98.263905740122695</v>
      </c>
      <c r="O58" s="483">
        <f t="shared" si="19"/>
        <v>99.571220012364165</v>
      </c>
      <c r="P58" s="483">
        <f t="shared" si="19"/>
        <v>101.31317776516855</v>
      </c>
      <c r="Q58" s="483">
        <f t="shared" si="19"/>
        <v>102.62323241717132</v>
      </c>
      <c r="R58" s="483">
        <f t="shared" si="19"/>
        <v>104.15937587256526</v>
      </c>
      <c r="S58" s="483">
        <f t="shared" si="19"/>
        <v>106.9185520575295</v>
      </c>
      <c r="T58" s="483">
        <f t="shared" si="19"/>
        <v>108.76722693983852</v>
      </c>
      <c r="U58" s="483">
        <f t="shared" si="19"/>
        <v>110.41633264577133</v>
      </c>
      <c r="V58" s="483">
        <f t="shared" si="19"/>
        <v>111.58456423199797</v>
      </c>
      <c r="W58" s="483">
        <f t="shared" si="19"/>
        <v>112.68893600856735</v>
      </c>
      <c r="X58" s="483">
        <f t="shared" si="19"/>
        <v>113.94843370838852</v>
      </c>
      <c r="Y58" s="483">
        <f t="shared" si="19"/>
        <v>115.18696715333587</v>
      </c>
      <c r="Z58" s="483">
        <f t="shared" si="19"/>
        <v>116.33642279680446</v>
      </c>
      <c r="AA58" s="483">
        <f t="shared" si="19"/>
        <v>116.85607509621435</v>
      </c>
      <c r="AB58" s="483">
        <f t="shared" si="19"/>
        <v>117.64967143299525</v>
      </c>
      <c r="AC58" s="483">
        <f t="shared" si="19"/>
        <v>118.24688605867364</v>
      </c>
      <c r="AD58" s="483">
        <f t="shared" si="19"/>
        <v>119.06351821358527</v>
      </c>
      <c r="AE58" s="483">
        <f t="shared" si="19"/>
        <v>120.28458049203788</v>
      </c>
      <c r="AF58" s="483">
        <f t="shared" si="19"/>
        <v>121.422100053153</v>
      </c>
      <c r="AG58" s="483">
        <f t="shared" si="19"/>
        <v>123.16279076858049</v>
      </c>
      <c r="AH58" s="483">
        <f t="shared" si="19"/>
        <v>125.10400462463109</v>
      </c>
      <c r="AI58" s="483">
        <f t="shared" si="19"/>
        <v>126.66650654530025</v>
      </c>
      <c r="AJ58" s="483">
        <f t="shared" si="19"/>
        <v>127.90361111169815</v>
      </c>
      <c r="AK58" s="490">
        <v>8.9999999999999993E-3</v>
      </c>
      <c r="AM58" s="255" t="s">
        <v>744</v>
      </c>
      <c r="AN58" s="255">
        <v>0.71499999999999997</v>
      </c>
      <c r="AO58" s="255">
        <v>0.66600000000000004</v>
      </c>
      <c r="AP58" s="255">
        <v>0.45800000000000002</v>
      </c>
      <c r="AQ58" s="255">
        <v>0.45600000000000002</v>
      </c>
      <c r="AR58" s="255">
        <v>0.55900000000000005</v>
      </c>
    </row>
    <row r="59" spans="1:44">
      <c r="A59" s="6" t="s">
        <v>84</v>
      </c>
      <c r="B59" s="366">
        <v>3906.17822265625</v>
      </c>
      <c r="C59" s="366">
        <v>4003.6083984375</v>
      </c>
      <c r="D59" s="366">
        <v>4006.09130859375</v>
      </c>
      <c r="E59" s="366">
        <v>3992.21752929688</v>
      </c>
      <c r="F59" s="366">
        <v>4046.56079101563</v>
      </c>
      <c r="G59" s="248">
        <v>3975.9853520000001</v>
      </c>
      <c r="H59" s="248">
        <v>3914.8715820000002</v>
      </c>
      <c r="I59" s="248">
        <v>3921.3237300000001</v>
      </c>
      <c r="J59" s="248">
        <v>3939.0678710000002</v>
      </c>
      <c r="K59" s="248">
        <v>4009.0505370000001</v>
      </c>
      <c r="L59" s="248">
        <v>4063.0170899999998</v>
      </c>
      <c r="M59" s="248">
        <v>4119.9077150000003</v>
      </c>
      <c r="N59" s="248">
        <v>4166.5869140000004</v>
      </c>
      <c r="O59" s="248">
        <v>4198.9038090000004</v>
      </c>
      <c r="P59" s="248">
        <v>4219.6909180000002</v>
      </c>
      <c r="Q59" s="248">
        <v>4252.6411129999997</v>
      </c>
      <c r="R59" s="248">
        <v>4292.3344729999999</v>
      </c>
      <c r="S59" s="248">
        <v>4339.8535160000001</v>
      </c>
      <c r="T59" s="248">
        <v>4382.0117190000001</v>
      </c>
      <c r="U59" s="248">
        <v>4415.9643550000001</v>
      </c>
      <c r="V59" s="248">
        <v>4450.7382809999999</v>
      </c>
      <c r="W59" s="248">
        <v>4486.6025390000004</v>
      </c>
      <c r="X59" s="248">
        <v>4519.0146480000003</v>
      </c>
      <c r="Y59" s="248">
        <v>4546.845703</v>
      </c>
      <c r="Z59" s="248">
        <v>4573.2431640000004</v>
      </c>
      <c r="AA59" s="248">
        <v>4595.8320309999999</v>
      </c>
      <c r="AB59" s="248">
        <v>4620.3847660000001</v>
      </c>
      <c r="AC59" s="248">
        <v>4650.2163090000004</v>
      </c>
      <c r="AD59" s="248">
        <v>4684.017578</v>
      </c>
      <c r="AE59" s="248">
        <v>4715.7373049999997</v>
      </c>
      <c r="AF59" s="248">
        <v>4746.6293949999999</v>
      </c>
      <c r="AG59" s="248">
        <v>4780.0688479999999</v>
      </c>
      <c r="AH59" s="248">
        <v>4817.2851559999999</v>
      </c>
      <c r="AI59" s="248">
        <v>4853.5073240000002</v>
      </c>
      <c r="AJ59" s="248">
        <v>4888.0634769999997</v>
      </c>
      <c r="AK59" s="249">
        <v>8.0000000000000002E-3</v>
      </c>
      <c r="AM59" s="5" t="s">
        <v>58</v>
      </c>
      <c r="AN59" s="5">
        <v>90.921999999999997</v>
      </c>
      <c r="AO59" s="5">
        <v>92.578000000000003</v>
      </c>
      <c r="AP59" s="5">
        <v>92.453000000000003</v>
      </c>
      <c r="AQ59" s="5">
        <v>90.994</v>
      </c>
      <c r="AR59" s="5">
        <v>102.88500000000001</v>
      </c>
    </row>
    <row r="60" spans="1:44" s="274" customFormat="1">
      <c r="A60" s="273" t="s">
        <v>331</v>
      </c>
      <c r="B60" s="367"/>
      <c r="C60" s="367"/>
      <c r="D60" s="367"/>
      <c r="E60" s="367">
        <f>E49/SUM(E49,E51)</f>
        <v>0.34392425823766221</v>
      </c>
      <c r="F60" s="367">
        <f t="shared" ref="F60:AJ60" si="20">F49/SUM(F49,F51)</f>
        <v>0.31785087952383484</v>
      </c>
      <c r="G60" s="324">
        <f t="shared" si="20"/>
        <v>0.33295636961472436</v>
      </c>
      <c r="H60" s="324">
        <f t="shared" si="20"/>
        <v>0.26561464836573695</v>
      </c>
      <c r="I60" s="324">
        <f t="shared" si="20"/>
        <v>0.30227056860535773</v>
      </c>
      <c r="J60" s="324">
        <f t="shared" si="20"/>
        <v>0.31890007972222018</v>
      </c>
      <c r="K60" s="324">
        <f t="shared" si="20"/>
        <v>0.29141766192667806</v>
      </c>
      <c r="L60" s="324">
        <f t="shared" si="20"/>
        <v>0.2658476442326011</v>
      </c>
      <c r="M60" s="324">
        <f t="shared" si="20"/>
        <v>0.28525503679323161</v>
      </c>
      <c r="N60" s="324">
        <f t="shared" si="20"/>
        <v>0.2914195358526715</v>
      </c>
      <c r="O60" s="324">
        <f t="shared" si="20"/>
        <v>0.28992387755573523</v>
      </c>
      <c r="P60" s="324">
        <f t="shared" si="20"/>
        <v>0.28328307202631242</v>
      </c>
      <c r="Q60" s="324">
        <f t="shared" si="20"/>
        <v>0.28192084937324924</v>
      </c>
      <c r="R60" s="324">
        <f t="shared" si="20"/>
        <v>0.27928310071566964</v>
      </c>
      <c r="S60" s="324">
        <f t="shared" si="20"/>
        <v>0.271864130349255</v>
      </c>
      <c r="T60" s="324">
        <f t="shared" si="20"/>
        <v>0.2699657750679515</v>
      </c>
      <c r="U60" s="324">
        <f t="shared" si="20"/>
        <v>0.26952977871589667</v>
      </c>
      <c r="V60" s="324">
        <f t="shared" si="20"/>
        <v>0.2662398682360263</v>
      </c>
      <c r="W60" s="324">
        <f t="shared" si="20"/>
        <v>0.26327465873751793</v>
      </c>
      <c r="X60" s="324">
        <f t="shared" si="20"/>
        <v>0.25982062581726212</v>
      </c>
      <c r="Y60" s="324">
        <f t="shared" si="20"/>
        <v>0.25754196645261962</v>
      </c>
      <c r="Z60" s="324">
        <f t="shared" si="20"/>
        <v>0.25475656869151536</v>
      </c>
      <c r="AA60" s="324">
        <f t="shared" si="20"/>
        <v>0.25342974734534918</v>
      </c>
      <c r="AB60" s="324">
        <f t="shared" si="20"/>
        <v>0.25131103963917728</v>
      </c>
      <c r="AC60" s="324">
        <f t="shared" si="20"/>
        <v>0.24965981281169214</v>
      </c>
      <c r="AD60" s="324">
        <f t="shared" si="20"/>
        <v>0.24750859830895622</v>
      </c>
      <c r="AE60" s="324">
        <f t="shared" si="20"/>
        <v>0.24425240698843956</v>
      </c>
      <c r="AF60" s="324">
        <f t="shared" si="20"/>
        <v>0.241392488732807</v>
      </c>
      <c r="AG60" s="324">
        <f t="shared" si="20"/>
        <v>0.23708785149444062</v>
      </c>
      <c r="AH60" s="324">
        <f t="shared" si="20"/>
        <v>0.23249894530890877</v>
      </c>
      <c r="AI60" s="324">
        <f t="shared" si="20"/>
        <v>0.22917050014804766</v>
      </c>
      <c r="AJ60" s="324">
        <f t="shared" si="20"/>
        <v>0.22664583289246193</v>
      </c>
      <c r="AK60" s="324"/>
      <c r="AL60" s="274" t="s">
        <v>0</v>
      </c>
    </row>
    <row r="61" spans="1:44" s="265" customFormat="1">
      <c r="A61" s="262" t="s">
        <v>107</v>
      </c>
      <c r="B61" s="358">
        <f>B54/B58</f>
        <v>4.1152631932472067E-2</v>
      </c>
      <c r="C61" s="358">
        <f t="shared" ref="C61:AJ61" si="21">C54/C58</f>
        <v>4.1942094130089896E-2</v>
      </c>
      <c r="D61" s="358">
        <f t="shared" si="21"/>
        <v>4.1312724406690607E-2</v>
      </c>
      <c r="E61" s="358">
        <f t="shared" si="21"/>
        <v>4.0104271104872677E-2</v>
      </c>
      <c r="F61" s="358">
        <f t="shared" si="21"/>
        <v>3.5302593659942365E-2</v>
      </c>
      <c r="G61" s="309">
        <f t="shared" si="21"/>
        <v>4.2777403872955588E-2</v>
      </c>
      <c r="H61" s="309">
        <f t="shared" si="21"/>
        <v>3.757350039163488E-2</v>
      </c>
      <c r="I61" s="309">
        <f t="shared" si="21"/>
        <v>4.5814465894598914E-2</v>
      </c>
      <c r="J61" s="309">
        <f t="shared" si="21"/>
        <v>4.7837106319323197E-2</v>
      </c>
      <c r="K61" s="309">
        <f t="shared" si="21"/>
        <v>4.763430033105142E-2</v>
      </c>
      <c r="L61" s="309">
        <f t="shared" si="21"/>
        <v>4.7452327245710406E-2</v>
      </c>
      <c r="M61" s="309">
        <f t="shared" si="21"/>
        <v>5.0887839658755998E-2</v>
      </c>
      <c r="N61" s="309">
        <f t="shared" si="21"/>
        <v>5.227848039152562E-2</v>
      </c>
      <c r="O61" s="309">
        <f t="shared" si="21"/>
        <v>5.3105724041090784E-2</v>
      </c>
      <c r="P61" s="309">
        <f t="shared" si="21"/>
        <v>5.408639648765011E-2</v>
      </c>
      <c r="Q61" s="309">
        <f t="shared" si="21"/>
        <v>5.6281596101223554E-2</v>
      </c>
      <c r="R61" s="309">
        <f t="shared" si="21"/>
        <v>5.738037357719105E-2</v>
      </c>
      <c r="S61" s="309">
        <f t="shared" si="21"/>
        <v>6.1359154591838473E-2</v>
      </c>
      <c r="T61" s="309">
        <f t="shared" si="21"/>
        <v>6.238048053878905E-2</v>
      </c>
      <c r="U61" s="309">
        <f t="shared" si="21"/>
        <v>6.7755475125883979E-2</v>
      </c>
      <c r="V61" s="309">
        <f t="shared" si="21"/>
        <v>6.8907888130169404E-2</v>
      </c>
      <c r="W61" s="309">
        <f t="shared" si="21"/>
        <v>6.9485646958378403E-2</v>
      </c>
      <c r="X61" s="309">
        <f t="shared" si="21"/>
        <v>6.9945840039720125E-2</v>
      </c>
      <c r="Y61" s="309">
        <f t="shared" si="21"/>
        <v>7.6112820639150744E-2</v>
      </c>
      <c r="Z61" s="309">
        <f t="shared" si="21"/>
        <v>7.6479872507597732E-2</v>
      </c>
      <c r="AA61" s="309">
        <f t="shared" si="21"/>
        <v>7.6995796745188666E-2</v>
      </c>
      <c r="AB61" s="309">
        <f t="shared" si="21"/>
        <v>7.7167680587147569E-2</v>
      </c>
      <c r="AC61" s="309">
        <f t="shared" si="21"/>
        <v>7.7629027525599775E-2</v>
      </c>
      <c r="AD61" s="309">
        <f t="shared" si="21"/>
        <v>7.8068693197522868E-2</v>
      </c>
      <c r="AE61" s="309">
        <f t="shared" si="21"/>
        <v>7.8146065162109271E-2</v>
      </c>
      <c r="AF61" s="309">
        <f t="shared" si="21"/>
        <v>7.8579633717029584E-2</v>
      </c>
      <c r="AG61" s="309">
        <f t="shared" si="21"/>
        <v>7.8673965109904251E-2</v>
      </c>
      <c r="AH61" s="309">
        <f t="shared" si="21"/>
        <v>7.8848962325074962E-2</v>
      </c>
      <c r="AI61" s="309">
        <f t="shared" si="21"/>
        <v>7.9281560699205167E-2</v>
      </c>
      <c r="AJ61" s="309">
        <f t="shared" si="21"/>
        <v>7.976738093614702E-2</v>
      </c>
      <c r="AK61" s="309"/>
    </row>
    <row r="62" spans="1:44" s="275" customFormat="1">
      <c r="A62" s="264" t="s">
        <v>108</v>
      </c>
      <c r="B62" s="368">
        <f>(B54-EIA_RE_aeo2014!B73)/B56</f>
        <v>3.2588372451111944E-2</v>
      </c>
      <c r="C62" s="368">
        <f>(C54-EIA_RE_aeo2014!C73)/C56</f>
        <v>3.2189072997904467E-2</v>
      </c>
      <c r="D62" s="368">
        <f>(D54-EIA_RE_aeo2014!D73)/D56</f>
        <v>2.9312191059240909E-2</v>
      </c>
      <c r="E62" s="368">
        <f>(E54-EIA_RE_aeo2014!E73)/E56</f>
        <v>2.5979734927577641E-2</v>
      </c>
      <c r="F62" s="368">
        <f>(F54-EIA_RE_aeo2014!F73)/F56</f>
        <v>2.3987947708606697E-2</v>
      </c>
      <c r="G62" s="325">
        <f>(G54-EIA_RE_aeo2014!G73)/G56</f>
        <v>2.9400970317994577E-2</v>
      </c>
      <c r="H62" s="325">
        <f>(H54-EIA_RE_aeo2014!H73)/H56</f>
        <v>2.7161687648708993E-2</v>
      </c>
      <c r="I62" s="325">
        <f>(I54-EIA_RE_aeo2014!I73)/I56</f>
        <v>3.1831225453591142E-2</v>
      </c>
      <c r="J62" s="325">
        <f>(J54-EIA_RE_aeo2014!J73)/J56</f>
        <v>3.3284095876829727E-2</v>
      </c>
      <c r="K62" s="325">
        <f>(K54-EIA_RE_aeo2014!K73)/K56</f>
        <v>3.3299233666265346E-2</v>
      </c>
      <c r="L62" s="325">
        <f>(L54-EIA_RE_aeo2014!L73)/L56</f>
        <v>3.3558737112624831E-2</v>
      </c>
      <c r="M62" s="325">
        <f>(M54-EIA_RE_aeo2014!M73)/M56</f>
        <v>3.6709815306320358E-2</v>
      </c>
      <c r="N62" s="325">
        <f>(N54-EIA_RE_aeo2014!N73)/N56</f>
        <v>3.8168666469718816E-2</v>
      </c>
      <c r="O62" s="325">
        <f>(O54-EIA_RE_aeo2014!O73)/O56</f>
        <v>3.9181160429865559E-2</v>
      </c>
      <c r="P62" s="325">
        <f>(P54-EIA_RE_aeo2014!P73)/P56</f>
        <v>4.0401252503352261E-2</v>
      </c>
      <c r="Q62" s="325">
        <f>(Q54-EIA_RE_aeo2014!Q73)/Q56</f>
        <v>4.277114893998752E-2</v>
      </c>
      <c r="R62" s="325">
        <f>(R54-EIA_RE_aeo2014!R73)/R56</f>
        <v>4.4069187966663377E-2</v>
      </c>
      <c r="S62" s="325">
        <f>(S54-EIA_RE_aeo2014!S73)/S56</f>
        <v>4.8319889190554542E-2</v>
      </c>
      <c r="T62" s="325">
        <f>(T54-EIA_RE_aeo2014!T73)/T56</f>
        <v>4.9562843651441778E-2</v>
      </c>
      <c r="U62" s="325">
        <f>(U54-EIA_RE_aeo2014!U73)/U56</f>
        <v>5.5129268739427438E-2</v>
      </c>
      <c r="V62" s="325">
        <f>(V54-EIA_RE_aeo2014!V73)/V56</f>
        <v>5.6387801915140277E-2</v>
      </c>
      <c r="W62" s="325">
        <f>(W54-EIA_RE_aeo2014!W73)/W56</f>
        <v>5.7072760676102015E-2</v>
      </c>
      <c r="X62" s="325">
        <f>(X54-EIA_RE_aeo2014!X73)/X56</f>
        <v>5.7583380782768707E-2</v>
      </c>
      <c r="Y62" s="325">
        <f>(Y54-EIA_RE_aeo2014!Y73)/Y56</f>
        <v>6.3799434124116761E-2</v>
      </c>
      <c r="Z62" s="325">
        <f>(Z54-EIA_RE_aeo2014!Z73)/Z56</f>
        <v>6.41955059463971E-2</v>
      </c>
      <c r="AA62" s="325">
        <f>(AA54-EIA_RE_aeo2014!AK73)/AA56</f>
        <v>7.6995796745188666E-2</v>
      </c>
      <c r="AB62" s="325">
        <f>(AB54-EIA_RE_aeo2014!AL73)/AB56</f>
        <v>7.7167680587147569E-2</v>
      </c>
      <c r="AC62" s="325">
        <f>(AC54-EIA_RE_aeo2014!AM73)/AC56</f>
        <v>7.7629027525599775E-2</v>
      </c>
      <c r="AD62" s="325">
        <f>(AD54-EIA_RE_aeo2014!AN73)/AD56</f>
        <v>7.2080292966303722E-2</v>
      </c>
      <c r="AE62" s="325">
        <f>(AE54-EIA_RE_aeo2014!AO73)/AE56</f>
        <v>7.1270703443948369E-2</v>
      </c>
      <c r="AF62" s="325">
        <f>(AF54-EIA_RE_aeo2014!AP73)/AF56</f>
        <v>6.9816813772931849E-2</v>
      </c>
      <c r="AG62" s="325">
        <f>(AG54-EIA_RE_aeo2014!AQ73)/AG56</f>
        <v>6.8638466626255806E-2</v>
      </c>
      <c r="AH62" s="325">
        <f>(AH54-EIA_RE_aeo2014!AR73)/AH56</f>
        <v>6.9984338020461334E-2</v>
      </c>
      <c r="AI62" s="325">
        <f>(AI54-EIA_RE_aeo2014!AS73)/AI56</f>
        <v>7.9281560699205167E-2</v>
      </c>
      <c r="AJ62" s="325">
        <f>(AJ54-EIA_RE_aeo2014!AT73)/AJ56</f>
        <v>7.976738093614702E-2</v>
      </c>
      <c r="AK62" s="325"/>
    </row>
    <row r="63" spans="1:44" s="475" customFormat="1">
      <c r="A63" s="475" t="s">
        <v>109</v>
      </c>
      <c r="C63" s="476"/>
      <c r="D63" s="476"/>
      <c r="E63" s="476"/>
      <c r="F63" s="476">
        <v>42094.619140625</v>
      </c>
      <c r="G63" s="477">
        <v>102605.04540000002</v>
      </c>
      <c r="H63" s="477">
        <v>163360.96875</v>
      </c>
      <c r="I63" s="477">
        <v>225974.68357199998</v>
      </c>
      <c r="J63" s="477">
        <v>289591.77345600002</v>
      </c>
      <c r="K63" s="477">
        <v>358569.27243000007</v>
      </c>
      <c r="L63" s="477">
        <v>428005.66654200002</v>
      </c>
      <c r="M63" s="477">
        <v>499509.19281199999</v>
      </c>
      <c r="N63" s="477">
        <v>571413.594774</v>
      </c>
      <c r="O63" s="477">
        <v>642582.21966400009</v>
      </c>
      <c r="P63" s="477">
        <v>712804.27253000019</v>
      </c>
      <c r="Q63" s="477">
        <v>785931.55672200024</v>
      </c>
      <c r="R63" s="477">
        <v>861455.63087200013</v>
      </c>
      <c r="S63" s="477">
        <v>939930.84375000035</v>
      </c>
      <c r="T63" s="477">
        <v>1018634.9062500005</v>
      </c>
      <c r="U63" s="477">
        <v>1096613.15925</v>
      </c>
      <c r="V63" s="478"/>
      <c r="W63" s="478"/>
      <c r="X63" s="478"/>
      <c r="Y63" s="478"/>
      <c r="Z63" s="478"/>
      <c r="AA63" s="478"/>
      <c r="AB63" s="478"/>
      <c r="AC63" s="478"/>
      <c r="AD63" s="478"/>
      <c r="AE63" s="478"/>
      <c r="AF63" s="478"/>
      <c r="AG63" s="478"/>
      <c r="AH63" s="478"/>
      <c r="AI63" s="478"/>
      <c r="AJ63" s="478"/>
      <c r="AK63" s="478"/>
    </row>
    <row r="64" spans="1:44" s="479" customFormat="1">
      <c r="A64" s="479" t="s">
        <v>110</v>
      </c>
      <c r="C64" s="480"/>
      <c r="D64" s="480"/>
      <c r="E64" s="480"/>
      <c r="F64" s="480"/>
      <c r="G64" s="481">
        <f>G63/1000/G58</f>
        <v>1.1001032435047577</v>
      </c>
      <c r="H64" s="481">
        <f t="shared" ref="H64:O64" si="22">H63/1000/H58</f>
        <v>1.6756517065094241</v>
      </c>
      <c r="I64" s="481">
        <f t="shared" si="22"/>
        <v>2.4523633800790074</v>
      </c>
      <c r="J64" s="481">
        <f t="shared" si="22"/>
        <v>3.1940139670121308</v>
      </c>
      <c r="K64" s="481">
        <f t="shared" si="22"/>
        <v>3.8164679779305919</v>
      </c>
      <c r="L64" s="481">
        <f t="shared" si="22"/>
        <v>4.339099910616957</v>
      </c>
      <c r="M64" s="481">
        <f t="shared" si="22"/>
        <v>5.1079151776877838</v>
      </c>
      <c r="N64" s="481">
        <f t="shared" si="22"/>
        <v>5.8150914160201435</v>
      </c>
      <c r="O64" s="481">
        <f t="shared" si="22"/>
        <v>6.4534934852079546</v>
      </c>
      <c r="P64" s="481">
        <f t="shared" ref="P64" si="23">P63/1000/P58</f>
        <v>7.0356521062066832</v>
      </c>
      <c r="Q64" s="481">
        <f t="shared" ref="Q64" si="24">Q63/1000/Q58</f>
        <v>7.6584174773128177</v>
      </c>
      <c r="R64" s="481">
        <f t="shared" ref="R64" si="25">R63/1000/R58</f>
        <v>8.2705529257966734</v>
      </c>
      <c r="S64" s="481">
        <f t="shared" ref="S64" si="26">S63/1000/S58</f>
        <v>8.7910921506330659</v>
      </c>
      <c r="T64" s="481">
        <f t="shared" ref="T64" si="27">T63/1000/T58</f>
        <v>9.3652742182480129</v>
      </c>
      <c r="U64" s="481">
        <f t="shared" ref="U64" si="28">U63/1000/U58</f>
        <v>9.9316209203222225</v>
      </c>
      <c r="V64" s="481"/>
      <c r="W64" s="481"/>
      <c r="X64" s="481"/>
      <c r="Y64" s="481"/>
      <c r="Z64" s="481"/>
      <c r="AA64" s="481"/>
      <c r="AB64" s="481"/>
      <c r="AC64" s="481"/>
      <c r="AD64" s="481"/>
      <c r="AE64" s="481"/>
      <c r="AF64" s="481"/>
      <c r="AG64" s="481"/>
      <c r="AH64" s="481"/>
      <c r="AI64" s="481"/>
      <c r="AJ64" s="481"/>
      <c r="AK64" s="481"/>
    </row>
    <row r="65" spans="1:38" s="479" customFormat="1">
      <c r="A65" s="479" t="s">
        <v>113</v>
      </c>
      <c r="D65" s="480"/>
      <c r="E65" s="480"/>
      <c r="F65" s="480"/>
      <c r="G65" s="481"/>
      <c r="H65" s="481">
        <f t="shared" ref="H65:U65" si="29">(H64-G64)/G64</f>
        <v>0.52317677127381113</v>
      </c>
      <c r="I65" s="481">
        <f t="shared" si="29"/>
        <v>0.46352811300360469</v>
      </c>
      <c r="J65" s="481">
        <f t="shared" si="29"/>
        <v>0.30242279466317495</v>
      </c>
      <c r="K65" s="481">
        <f t="shared" si="29"/>
        <v>0.19488143049691836</v>
      </c>
      <c r="L65" s="481">
        <f t="shared" si="29"/>
        <v>0.13694125974816967</v>
      </c>
      <c r="M65" s="481">
        <f t="shared" si="29"/>
        <v>0.17718312159387739</v>
      </c>
      <c r="N65" s="481">
        <f t="shared" si="29"/>
        <v>0.13844713816341786</v>
      </c>
      <c r="O65" s="481">
        <f t="shared" si="29"/>
        <v>0.10978366865034332</v>
      </c>
      <c r="P65" s="481">
        <f t="shared" si="29"/>
        <v>9.0208291421242426E-2</v>
      </c>
      <c r="Q65" s="481">
        <f t="shared" si="29"/>
        <v>8.8515657355591221E-2</v>
      </c>
      <c r="R65" s="481">
        <f t="shared" si="29"/>
        <v>7.9929757067597404E-2</v>
      </c>
      <c r="S65" s="481">
        <f t="shared" si="29"/>
        <v>6.2938866301523705E-2</v>
      </c>
      <c r="T65" s="481">
        <f t="shared" si="29"/>
        <v>6.5314076769585311E-2</v>
      </c>
      <c r="U65" s="481">
        <f t="shared" si="29"/>
        <v>6.0473050641773697E-2</v>
      </c>
      <c r="V65" s="481"/>
      <c r="W65" s="481"/>
      <c r="X65" s="481"/>
      <c r="Y65" s="481"/>
      <c r="Z65" s="481"/>
      <c r="AA65" s="481"/>
      <c r="AB65" s="481"/>
      <c r="AC65" s="481"/>
      <c r="AD65" s="481"/>
      <c r="AE65" s="481"/>
      <c r="AF65" s="481"/>
      <c r="AG65" s="481"/>
      <c r="AH65" s="481"/>
      <c r="AI65" s="481"/>
      <c r="AJ65" s="481"/>
      <c r="AK65" s="481"/>
    </row>
    <row r="66" spans="1:38" s="265" customFormat="1">
      <c r="A66" s="265" t="s">
        <v>129</v>
      </c>
      <c r="B66" s="369">
        <f>B52/B58</f>
        <v>0.18734746882206746</v>
      </c>
      <c r="C66" s="369">
        <f t="shared" ref="C66:AJ66" si="30">C52/C58</f>
        <v>0.18815000881367883</v>
      </c>
      <c r="D66" s="369">
        <f t="shared" si="30"/>
        <v>0.16826123128119802</v>
      </c>
      <c r="E66" s="369">
        <f t="shared" si="30"/>
        <v>0.1869527438005481</v>
      </c>
      <c r="F66" s="369">
        <f t="shared" si="30"/>
        <v>0.18395444317239745</v>
      </c>
      <c r="G66" s="326">
        <f t="shared" si="30"/>
        <v>0.1843749995943634</v>
      </c>
      <c r="H66" s="326">
        <f t="shared" si="30"/>
        <v>0.17476087697213857</v>
      </c>
      <c r="I66" s="326">
        <f t="shared" si="30"/>
        <v>0.18194593647354732</v>
      </c>
      <c r="J66" s="326">
        <f t="shared" si="30"/>
        <v>0.18546198497014715</v>
      </c>
      <c r="K66" s="326">
        <f t="shared" si="30"/>
        <v>0.18576970942376372</v>
      </c>
      <c r="L66" s="326">
        <f t="shared" si="30"/>
        <v>0.18444075941785809</v>
      </c>
      <c r="M66" s="326">
        <f t="shared" si="30"/>
        <v>0.19339021153730285</v>
      </c>
      <c r="N66" s="326">
        <f t="shared" si="30"/>
        <v>0.19813940149047285</v>
      </c>
      <c r="O66" s="326">
        <f t="shared" si="30"/>
        <v>0.19651716859146998</v>
      </c>
      <c r="P66" s="326">
        <f t="shared" si="30"/>
        <v>0.1931382980127764</v>
      </c>
      <c r="Q66" s="326">
        <f t="shared" si="30"/>
        <v>0.19067275760996602</v>
      </c>
      <c r="R66" s="326">
        <f t="shared" si="30"/>
        <v>0.1878607124192356</v>
      </c>
      <c r="S66" s="326">
        <f t="shared" si="30"/>
        <v>0.18301271709424091</v>
      </c>
      <c r="T66" s="326">
        <f t="shared" si="30"/>
        <v>0.17990211555960048</v>
      </c>
      <c r="U66" s="326">
        <f t="shared" si="30"/>
        <v>0.17721557448537234</v>
      </c>
      <c r="V66" s="326">
        <f t="shared" si="30"/>
        <v>0.17535986891412611</v>
      </c>
      <c r="W66" s="326">
        <f t="shared" si="30"/>
        <v>0.17364130931015212</v>
      </c>
      <c r="X66" s="326">
        <f t="shared" si="30"/>
        <v>0.17172201281302116</v>
      </c>
      <c r="Y66" s="326">
        <f t="shared" si="30"/>
        <v>0.16987559620163012</v>
      </c>
      <c r="Z66" s="326">
        <f t="shared" si="30"/>
        <v>0.16819714688556733</v>
      </c>
      <c r="AA66" s="326">
        <f t="shared" si="30"/>
        <v>0.1674491837688761</v>
      </c>
      <c r="AB66" s="326">
        <f t="shared" si="30"/>
        <v>0.16631967023985492</v>
      </c>
      <c r="AC66" s="326">
        <f t="shared" si="30"/>
        <v>0.16547965701764944</v>
      </c>
      <c r="AD66" s="326">
        <f t="shared" si="30"/>
        <v>0.16434466818118026</v>
      </c>
      <c r="AE66" s="326">
        <f t="shared" si="30"/>
        <v>0.16267633506961238</v>
      </c>
      <c r="AF66" s="326">
        <f t="shared" si="30"/>
        <v>0.16115233315240624</v>
      </c>
      <c r="AG66" s="326">
        <f t="shared" si="30"/>
        <v>0.1588747266745297</v>
      </c>
      <c r="AH66" s="326">
        <f t="shared" si="30"/>
        <v>0.15640949926856282</v>
      </c>
      <c r="AI66" s="326">
        <f t="shared" si="30"/>
        <v>0.15448009838573701</v>
      </c>
      <c r="AJ66" s="326">
        <f t="shared" si="30"/>
        <v>0.15298594170423646</v>
      </c>
      <c r="AK66" s="326"/>
    </row>
    <row r="67" spans="1:38">
      <c r="A67" s="6" t="s">
        <v>85</v>
      </c>
      <c r="B67"/>
      <c r="C67"/>
      <c r="D67"/>
      <c r="E67"/>
      <c r="F67"/>
      <c r="G67"/>
      <c r="H67"/>
      <c r="I67"/>
      <c r="J67"/>
      <c r="K67"/>
      <c r="L67"/>
      <c r="M67"/>
      <c r="N67"/>
      <c r="O67"/>
      <c r="P67"/>
      <c r="Q67"/>
      <c r="R67"/>
      <c r="S67"/>
      <c r="T67"/>
      <c r="U67"/>
      <c r="V67"/>
      <c r="W67"/>
      <c r="X67"/>
      <c r="Y67"/>
      <c r="Z67"/>
      <c r="AA67"/>
      <c r="AB67"/>
      <c r="AC67"/>
      <c r="AD67"/>
      <c r="AE67"/>
      <c r="AF67"/>
      <c r="AG67"/>
      <c r="AH67"/>
      <c r="AI67"/>
      <c r="AJ67"/>
      <c r="AK67"/>
      <c r="AL67"/>
    </row>
    <row r="68" spans="1:38">
      <c r="B68"/>
      <c r="C68"/>
      <c r="D68"/>
      <c r="E68"/>
      <c r="F68"/>
      <c r="G68"/>
      <c r="H68"/>
      <c r="I68"/>
      <c r="J68"/>
      <c r="K68"/>
      <c r="L68"/>
      <c r="M68"/>
      <c r="N68"/>
      <c r="O68"/>
      <c r="P68"/>
      <c r="Q68"/>
      <c r="R68"/>
      <c r="S68"/>
      <c r="T68"/>
      <c r="U68"/>
      <c r="V68"/>
      <c r="W68"/>
      <c r="X68"/>
      <c r="Y68"/>
      <c r="Z68"/>
      <c r="AA68"/>
      <c r="AB68"/>
      <c r="AC68"/>
      <c r="AD68"/>
      <c r="AE68"/>
      <c r="AF68"/>
      <c r="AG68"/>
      <c r="AH68"/>
      <c r="AI68"/>
      <c r="AJ68"/>
      <c r="AK68"/>
      <c r="AL68"/>
    </row>
    <row r="69" spans="1:38">
      <c r="A69" s="6" t="s">
        <v>86</v>
      </c>
      <c r="B69"/>
      <c r="C69"/>
      <c r="D69"/>
      <c r="E69"/>
      <c r="F69"/>
      <c r="G69"/>
      <c r="H69"/>
      <c r="I69"/>
      <c r="J69"/>
      <c r="K69"/>
      <c r="L69"/>
      <c r="M69"/>
      <c r="N69"/>
      <c r="O69"/>
      <c r="P69"/>
      <c r="Q69"/>
      <c r="R69"/>
      <c r="S69"/>
      <c r="T69"/>
      <c r="U69"/>
      <c r="V69"/>
      <c r="W69"/>
      <c r="X69"/>
      <c r="Y69"/>
      <c r="Z69"/>
      <c r="AA69"/>
      <c r="AB69"/>
      <c r="AC69"/>
      <c r="AD69"/>
      <c r="AE69"/>
      <c r="AF69"/>
      <c r="AG69"/>
      <c r="AH69"/>
      <c r="AI69"/>
      <c r="AJ69"/>
      <c r="AK69"/>
      <c r="AL69"/>
    </row>
    <row r="70" spans="1:38">
      <c r="A70" s="6" t="s">
        <v>87</v>
      </c>
      <c r="B70"/>
      <c r="C70"/>
      <c r="D70"/>
      <c r="E70"/>
      <c r="F70"/>
      <c r="G70"/>
      <c r="H70"/>
      <c r="I70"/>
      <c r="J70"/>
      <c r="K70"/>
      <c r="L70"/>
      <c r="M70"/>
      <c r="N70"/>
      <c r="O70"/>
      <c r="P70"/>
      <c r="Q70"/>
      <c r="R70"/>
      <c r="S70"/>
      <c r="T70"/>
      <c r="U70"/>
      <c r="V70"/>
      <c r="W70"/>
      <c r="X70"/>
      <c r="Y70"/>
      <c r="Z70"/>
      <c r="AA70"/>
      <c r="AB70"/>
      <c r="AC70"/>
      <c r="AD70"/>
      <c r="AE70"/>
      <c r="AF70"/>
      <c r="AG70"/>
      <c r="AH70"/>
      <c r="AI70"/>
      <c r="AJ70"/>
      <c r="AK70"/>
      <c r="AL70"/>
    </row>
    <row r="71" spans="1:38">
      <c r="A71" s="6" t="s">
        <v>88</v>
      </c>
      <c r="B71"/>
      <c r="C71"/>
      <c r="D71"/>
      <c r="E71"/>
      <c r="F71"/>
      <c r="G71"/>
      <c r="H71"/>
      <c r="I71"/>
      <c r="J71"/>
      <c r="K71"/>
      <c r="L71"/>
      <c r="M71"/>
      <c r="N71"/>
      <c r="O71"/>
      <c r="P71"/>
      <c r="Q71"/>
      <c r="R71"/>
      <c r="S71"/>
      <c r="T71"/>
      <c r="U71"/>
      <c r="V71"/>
      <c r="W71"/>
      <c r="X71"/>
      <c r="Y71"/>
      <c r="Z71"/>
      <c r="AA71"/>
      <c r="AB71"/>
      <c r="AC71"/>
      <c r="AD71"/>
      <c r="AE71"/>
      <c r="AF71"/>
      <c r="AG71"/>
      <c r="AH71"/>
      <c r="AI71"/>
      <c r="AJ71"/>
      <c r="AK71"/>
      <c r="AL71"/>
    </row>
    <row r="72" spans="1:38">
      <c r="A72" s="6" t="s">
        <v>89</v>
      </c>
      <c r="B72"/>
      <c r="C72"/>
      <c r="D72"/>
      <c r="E72"/>
      <c r="F72"/>
      <c r="G72"/>
      <c r="H72"/>
      <c r="I72"/>
      <c r="J72"/>
      <c r="K72"/>
      <c r="L72"/>
      <c r="M72"/>
      <c r="N72"/>
      <c r="O72"/>
      <c r="P72"/>
      <c r="Q72"/>
      <c r="R72"/>
      <c r="S72"/>
      <c r="T72"/>
      <c r="U72"/>
      <c r="V72"/>
      <c r="W72"/>
      <c r="X72"/>
      <c r="Y72"/>
      <c r="Z72"/>
      <c r="AA72"/>
      <c r="AB72"/>
      <c r="AC72"/>
      <c r="AD72"/>
      <c r="AE72"/>
      <c r="AF72"/>
      <c r="AG72"/>
      <c r="AH72"/>
      <c r="AI72"/>
      <c r="AJ72"/>
      <c r="AK72"/>
      <c r="AL72"/>
    </row>
    <row r="73" spans="1:38">
      <c r="A73" s="6" t="s">
        <v>90</v>
      </c>
      <c r="B73"/>
      <c r="C73"/>
      <c r="D73"/>
      <c r="E73"/>
      <c r="F73"/>
      <c r="G73"/>
      <c r="H73"/>
      <c r="I73"/>
      <c r="J73"/>
      <c r="K73"/>
      <c r="L73"/>
      <c r="M73"/>
      <c r="N73"/>
      <c r="O73"/>
      <c r="P73"/>
      <c r="Q73"/>
      <c r="R73"/>
      <c r="S73"/>
      <c r="T73"/>
      <c r="U73"/>
      <c r="V73"/>
      <c r="W73"/>
      <c r="X73"/>
      <c r="Y73"/>
      <c r="Z73"/>
      <c r="AA73"/>
      <c r="AB73"/>
      <c r="AC73"/>
      <c r="AD73"/>
      <c r="AE73"/>
      <c r="AF73"/>
      <c r="AG73"/>
      <c r="AH73"/>
      <c r="AI73"/>
      <c r="AJ73"/>
      <c r="AK73"/>
      <c r="AL73"/>
    </row>
    <row r="74" spans="1:38">
      <c r="A74" s="6" t="s">
        <v>91</v>
      </c>
      <c r="B74"/>
      <c r="C74"/>
      <c r="D74"/>
      <c r="E74"/>
      <c r="F74"/>
      <c r="G74"/>
      <c r="H74"/>
      <c r="I74"/>
      <c r="J74"/>
      <c r="K74"/>
      <c r="L74"/>
      <c r="M74"/>
      <c r="N74"/>
      <c r="O74"/>
      <c r="P74"/>
      <c r="Q74"/>
      <c r="R74"/>
      <c r="S74"/>
      <c r="T74"/>
      <c r="U74"/>
      <c r="V74"/>
      <c r="W74"/>
      <c r="X74"/>
      <c r="Y74"/>
      <c r="Z74"/>
      <c r="AA74"/>
      <c r="AB74"/>
      <c r="AC74"/>
      <c r="AD74"/>
      <c r="AE74"/>
      <c r="AF74"/>
      <c r="AG74"/>
      <c r="AH74"/>
      <c r="AI74"/>
      <c r="AJ74"/>
      <c r="AK74"/>
      <c r="AL74"/>
    </row>
    <row r="75" spans="1:38">
      <c r="A75" s="6" t="s">
        <v>92</v>
      </c>
      <c r="B75"/>
      <c r="C75"/>
      <c r="D75"/>
      <c r="E75"/>
      <c r="F75"/>
      <c r="G75"/>
      <c r="H75"/>
      <c r="I75"/>
      <c r="J75"/>
      <c r="K75"/>
      <c r="L75"/>
      <c r="M75"/>
      <c r="N75"/>
      <c r="O75"/>
      <c r="P75"/>
      <c r="Q75"/>
      <c r="R75"/>
      <c r="S75"/>
      <c r="T75"/>
      <c r="U75"/>
      <c r="V75"/>
      <c r="W75"/>
      <c r="X75"/>
      <c r="Y75"/>
      <c r="Z75"/>
      <c r="AA75"/>
      <c r="AB75"/>
      <c r="AC75"/>
      <c r="AD75"/>
      <c r="AE75"/>
      <c r="AF75"/>
      <c r="AG75"/>
      <c r="AH75"/>
      <c r="AI75"/>
      <c r="AJ75"/>
      <c r="AK75"/>
      <c r="AL75"/>
    </row>
    <row r="76" spans="1:38">
      <c r="A76" s="6" t="s">
        <v>93</v>
      </c>
      <c r="B76"/>
      <c r="C76"/>
      <c r="D76"/>
      <c r="E76"/>
      <c r="F76"/>
      <c r="G76"/>
      <c r="H76"/>
      <c r="I76"/>
      <c r="J76"/>
      <c r="K76"/>
      <c r="L76"/>
      <c r="M76"/>
      <c r="N76"/>
      <c r="O76"/>
      <c r="P76"/>
      <c r="Q76"/>
      <c r="R76"/>
      <c r="S76"/>
      <c r="T76"/>
      <c r="U76"/>
      <c r="V76"/>
      <c r="W76"/>
      <c r="X76"/>
      <c r="Y76"/>
      <c r="Z76"/>
      <c r="AA76"/>
      <c r="AB76"/>
      <c r="AC76"/>
      <c r="AD76"/>
      <c r="AE76"/>
      <c r="AF76"/>
      <c r="AG76"/>
      <c r="AH76"/>
      <c r="AI76"/>
      <c r="AJ76"/>
      <c r="AK76"/>
      <c r="AL76"/>
    </row>
    <row r="77" spans="1:38">
      <c r="B77"/>
      <c r="C77"/>
      <c r="D77"/>
      <c r="E77"/>
      <c r="F77"/>
      <c r="G77"/>
      <c r="H77"/>
      <c r="I77"/>
      <c r="J77"/>
      <c r="K77"/>
      <c r="L77"/>
      <c r="M77"/>
      <c r="N77"/>
      <c r="O77"/>
      <c r="P77"/>
      <c r="Q77"/>
      <c r="R77"/>
      <c r="S77"/>
      <c r="T77"/>
      <c r="U77"/>
      <c r="V77"/>
      <c r="W77"/>
      <c r="X77"/>
      <c r="Y77"/>
      <c r="Z77"/>
      <c r="AA77"/>
      <c r="AB77"/>
      <c r="AC77"/>
      <c r="AD77"/>
      <c r="AE77"/>
      <c r="AF77"/>
      <c r="AG77"/>
      <c r="AH77"/>
      <c r="AI77"/>
      <c r="AJ77"/>
      <c r="AK77"/>
      <c r="AL77"/>
    </row>
    <row r="78" spans="1:38">
      <c r="A78" s="6" t="s">
        <v>94</v>
      </c>
      <c r="B78"/>
      <c r="C78"/>
      <c r="D78"/>
      <c r="E78"/>
      <c r="F78"/>
      <c r="G78"/>
      <c r="H78"/>
      <c r="I78"/>
      <c r="J78"/>
      <c r="K78"/>
      <c r="L78"/>
      <c r="M78"/>
      <c r="N78"/>
      <c r="O78"/>
      <c r="P78"/>
      <c r="Q78"/>
      <c r="R78"/>
      <c r="S78"/>
      <c r="T78"/>
      <c r="U78"/>
      <c r="V78"/>
      <c r="W78"/>
      <c r="X78"/>
      <c r="Y78"/>
      <c r="Z78"/>
      <c r="AA78"/>
      <c r="AB78"/>
      <c r="AC78"/>
      <c r="AD78"/>
      <c r="AE78"/>
      <c r="AF78"/>
      <c r="AG78"/>
      <c r="AH78"/>
      <c r="AI78"/>
      <c r="AJ78"/>
      <c r="AK78"/>
      <c r="AL78"/>
    </row>
    <row r="79" spans="1:38">
      <c r="A79" s="6" t="s">
        <v>593</v>
      </c>
      <c r="B79"/>
      <c r="C79"/>
      <c r="D79"/>
      <c r="E79"/>
      <c r="F79"/>
      <c r="G79"/>
      <c r="H79"/>
      <c r="I79"/>
      <c r="J79"/>
      <c r="K79"/>
      <c r="L79"/>
      <c r="M79"/>
      <c r="N79"/>
      <c r="O79"/>
      <c r="P79"/>
      <c r="Q79"/>
      <c r="R79"/>
      <c r="S79"/>
      <c r="T79"/>
      <c r="U79"/>
      <c r="V79"/>
      <c r="W79"/>
      <c r="X79"/>
      <c r="Y79"/>
      <c r="Z79"/>
      <c r="AA79"/>
      <c r="AB79"/>
      <c r="AC79"/>
      <c r="AD79"/>
      <c r="AE79"/>
      <c r="AF79"/>
      <c r="AG79"/>
      <c r="AH79"/>
      <c r="AI79"/>
      <c r="AJ79"/>
      <c r="AK79"/>
      <c r="AL79"/>
    </row>
    <row r="80" spans="1:38">
      <c r="A80" s="6" t="s">
        <v>95</v>
      </c>
      <c r="B80"/>
      <c r="C80"/>
      <c r="D80"/>
      <c r="E80"/>
      <c r="F80"/>
      <c r="G80"/>
      <c r="H80"/>
      <c r="I80"/>
      <c r="J80"/>
      <c r="K80"/>
      <c r="L80"/>
      <c r="M80"/>
      <c r="N80"/>
      <c r="O80"/>
      <c r="P80"/>
      <c r="Q80"/>
      <c r="R80"/>
      <c r="S80"/>
      <c r="T80"/>
      <c r="U80"/>
      <c r="V80"/>
      <c r="W80"/>
      <c r="X80"/>
      <c r="Y80"/>
      <c r="Z80"/>
      <c r="AA80"/>
      <c r="AB80"/>
      <c r="AC80"/>
      <c r="AD80"/>
      <c r="AE80"/>
      <c r="AF80"/>
      <c r="AG80"/>
      <c r="AH80"/>
      <c r="AI80"/>
      <c r="AJ80"/>
      <c r="AK80"/>
      <c r="AL80"/>
    </row>
    <row r="81" spans="1:38">
      <c r="A81" s="6" t="s">
        <v>96</v>
      </c>
      <c r="B81"/>
      <c r="C81"/>
      <c r="D81"/>
      <c r="E81"/>
      <c r="F81"/>
      <c r="G81"/>
      <c r="H81"/>
      <c r="I81"/>
      <c r="J81"/>
      <c r="K81"/>
      <c r="L81"/>
      <c r="M81"/>
      <c r="N81"/>
      <c r="O81"/>
      <c r="P81"/>
      <c r="Q81"/>
      <c r="R81"/>
      <c r="S81"/>
      <c r="T81"/>
      <c r="U81"/>
      <c r="V81"/>
      <c r="W81"/>
      <c r="X81"/>
      <c r="Y81"/>
      <c r="Z81"/>
      <c r="AA81"/>
      <c r="AB81"/>
      <c r="AC81"/>
      <c r="AD81"/>
      <c r="AE81"/>
      <c r="AF81"/>
      <c r="AG81"/>
      <c r="AH81"/>
      <c r="AI81"/>
      <c r="AJ81"/>
      <c r="AK81"/>
      <c r="AL81"/>
    </row>
    <row r="82" spans="1:38">
      <c r="A82" s="6" t="s">
        <v>97</v>
      </c>
      <c r="B82"/>
      <c r="C82"/>
      <c r="D82"/>
      <c r="E82"/>
      <c r="F82"/>
      <c r="G82"/>
      <c r="H82"/>
      <c r="I82"/>
      <c r="J82"/>
      <c r="K82"/>
      <c r="L82"/>
      <c r="M82"/>
      <c r="N82"/>
      <c r="O82"/>
      <c r="P82"/>
      <c r="Q82"/>
      <c r="R82"/>
      <c r="S82"/>
      <c r="T82"/>
      <c r="U82"/>
      <c r="V82"/>
      <c r="W82"/>
      <c r="X82"/>
      <c r="Y82"/>
      <c r="Z82"/>
      <c r="AA82"/>
      <c r="AB82"/>
      <c r="AC82"/>
      <c r="AD82"/>
      <c r="AE82"/>
      <c r="AF82"/>
      <c r="AG82"/>
      <c r="AH82"/>
      <c r="AI82"/>
      <c r="AJ82"/>
      <c r="AK82"/>
      <c r="AL82"/>
    </row>
    <row r="83" spans="1:38">
      <c r="A83" s="6" t="s">
        <v>98</v>
      </c>
      <c r="B83"/>
      <c r="C83"/>
      <c r="D83"/>
      <c r="E83"/>
      <c r="F83"/>
      <c r="G83"/>
      <c r="H83"/>
      <c r="I83"/>
      <c r="J83"/>
      <c r="K83"/>
      <c r="L83"/>
      <c r="M83"/>
      <c r="N83"/>
      <c r="O83"/>
      <c r="P83"/>
      <c r="Q83"/>
      <c r="R83"/>
      <c r="S83"/>
      <c r="T83"/>
      <c r="U83"/>
      <c r="V83"/>
      <c r="W83"/>
      <c r="X83"/>
      <c r="Y83"/>
      <c r="Z83"/>
      <c r="AA83"/>
      <c r="AB83"/>
      <c r="AC83"/>
      <c r="AD83"/>
      <c r="AE83"/>
      <c r="AF83"/>
      <c r="AG83"/>
      <c r="AH83"/>
      <c r="AI83"/>
      <c r="AJ83"/>
      <c r="AK83"/>
      <c r="AL83"/>
    </row>
    <row r="84" spans="1:38">
      <c r="A84" s="6" t="s">
        <v>99</v>
      </c>
      <c r="B84"/>
      <c r="C84"/>
      <c r="D84"/>
      <c r="E84"/>
      <c r="F84"/>
      <c r="G84"/>
      <c r="H84"/>
      <c r="I84"/>
      <c r="J84"/>
      <c r="K84"/>
      <c r="L84"/>
      <c r="M84"/>
      <c r="N84"/>
      <c r="O84"/>
      <c r="P84"/>
      <c r="Q84"/>
      <c r="R84"/>
      <c r="S84"/>
      <c r="T84"/>
      <c r="U84"/>
      <c r="V84"/>
      <c r="W84"/>
      <c r="X84"/>
      <c r="Y84"/>
      <c r="Z84"/>
      <c r="AA84"/>
      <c r="AB84"/>
      <c r="AC84"/>
      <c r="AD84"/>
      <c r="AE84"/>
      <c r="AF84"/>
      <c r="AG84"/>
      <c r="AH84"/>
      <c r="AI84"/>
      <c r="AJ84"/>
      <c r="AK84"/>
      <c r="AL84"/>
    </row>
    <row r="85" spans="1:38">
      <c r="A85" s="6" t="s">
        <v>100</v>
      </c>
      <c r="B85"/>
      <c r="C85"/>
      <c r="D85"/>
      <c r="E85"/>
      <c r="F85"/>
      <c r="G85"/>
      <c r="H85"/>
      <c r="I85"/>
      <c r="J85"/>
      <c r="K85"/>
      <c r="L85"/>
      <c r="M85"/>
      <c r="N85"/>
      <c r="O85"/>
      <c r="P85"/>
      <c r="Q85"/>
      <c r="R85"/>
      <c r="S85"/>
      <c r="T85"/>
      <c r="U85"/>
      <c r="V85"/>
      <c r="W85"/>
      <c r="X85"/>
      <c r="Y85"/>
      <c r="Z85"/>
      <c r="AA85"/>
      <c r="AB85"/>
      <c r="AC85"/>
      <c r="AD85"/>
      <c r="AE85"/>
      <c r="AF85"/>
      <c r="AG85"/>
      <c r="AH85"/>
      <c r="AI85"/>
      <c r="AJ85"/>
      <c r="AK85"/>
      <c r="AL85"/>
    </row>
    <row r="86" spans="1:38">
      <c r="A86" s="6" t="s">
        <v>95</v>
      </c>
      <c r="B86"/>
      <c r="C86"/>
      <c r="D86"/>
      <c r="E86"/>
      <c r="F86"/>
      <c r="G86"/>
      <c r="H86"/>
      <c r="I86"/>
      <c r="J86"/>
      <c r="K86"/>
      <c r="L86"/>
      <c r="M86"/>
      <c r="N86"/>
      <c r="O86"/>
      <c r="P86"/>
      <c r="Q86"/>
      <c r="R86"/>
      <c r="S86"/>
      <c r="T86"/>
      <c r="U86"/>
      <c r="V86"/>
      <c r="W86"/>
      <c r="X86"/>
      <c r="Y86"/>
      <c r="Z86"/>
      <c r="AA86"/>
      <c r="AB86"/>
      <c r="AC86"/>
      <c r="AD86"/>
      <c r="AE86"/>
      <c r="AF86"/>
      <c r="AG86"/>
      <c r="AH86"/>
      <c r="AI86"/>
      <c r="AJ86"/>
      <c r="AK86"/>
      <c r="AL86"/>
    </row>
    <row r="87" spans="1:38">
      <c r="A87" s="6" t="s">
        <v>96</v>
      </c>
      <c r="B87"/>
      <c r="C87"/>
      <c r="D87"/>
      <c r="E87"/>
      <c r="F87"/>
      <c r="G87"/>
      <c r="H87"/>
      <c r="I87"/>
      <c r="J87"/>
      <c r="K87"/>
      <c r="L87"/>
      <c r="M87"/>
      <c r="N87"/>
      <c r="O87"/>
      <c r="P87"/>
      <c r="Q87"/>
      <c r="R87"/>
      <c r="S87"/>
      <c r="T87"/>
      <c r="U87"/>
      <c r="V87"/>
      <c r="W87"/>
      <c r="X87"/>
      <c r="Y87"/>
      <c r="Z87"/>
      <c r="AA87"/>
      <c r="AB87"/>
      <c r="AC87"/>
      <c r="AD87"/>
      <c r="AE87"/>
      <c r="AF87"/>
      <c r="AG87"/>
      <c r="AH87"/>
      <c r="AI87"/>
      <c r="AJ87"/>
      <c r="AK87"/>
      <c r="AL87"/>
    </row>
    <row r="88" spans="1:38">
      <c r="A88" s="6" t="s">
        <v>97</v>
      </c>
      <c r="B88"/>
      <c r="C88"/>
      <c r="D88"/>
      <c r="E88"/>
      <c r="F88"/>
      <c r="G88"/>
      <c r="H88"/>
      <c r="I88"/>
      <c r="J88"/>
      <c r="K88"/>
      <c r="L88"/>
      <c r="M88"/>
      <c r="N88"/>
      <c r="O88"/>
      <c r="P88"/>
      <c r="Q88"/>
      <c r="R88"/>
      <c r="S88"/>
      <c r="T88"/>
      <c r="U88"/>
      <c r="V88"/>
      <c r="W88"/>
      <c r="X88"/>
      <c r="Y88"/>
      <c r="Z88"/>
      <c r="AA88"/>
      <c r="AB88"/>
      <c r="AC88"/>
      <c r="AD88"/>
      <c r="AE88"/>
      <c r="AF88"/>
      <c r="AG88"/>
      <c r="AH88"/>
      <c r="AI88"/>
      <c r="AJ88"/>
      <c r="AK88"/>
      <c r="AL88"/>
    </row>
    <row r="89" spans="1:38">
      <c r="A89" s="6" t="s">
        <v>98</v>
      </c>
      <c r="B89"/>
      <c r="C89"/>
      <c r="D89"/>
      <c r="E89"/>
      <c r="F89"/>
      <c r="G89"/>
      <c r="H89"/>
      <c r="I89"/>
      <c r="J89"/>
      <c r="K89"/>
      <c r="L89"/>
      <c r="M89"/>
      <c r="N89"/>
      <c r="O89"/>
      <c r="P89"/>
      <c r="Q89"/>
      <c r="R89"/>
      <c r="S89"/>
      <c r="T89"/>
      <c r="U89"/>
      <c r="V89"/>
      <c r="W89"/>
      <c r="X89"/>
      <c r="Y89"/>
      <c r="Z89"/>
      <c r="AA89"/>
      <c r="AB89"/>
      <c r="AC89"/>
      <c r="AD89"/>
      <c r="AE89"/>
      <c r="AF89"/>
      <c r="AG89"/>
      <c r="AH89"/>
      <c r="AI89"/>
      <c r="AJ89"/>
      <c r="AK89"/>
      <c r="AL89"/>
    </row>
    <row r="90" spans="1:38">
      <c r="A90" s="6" t="s">
        <v>99</v>
      </c>
      <c r="B90"/>
      <c r="C90"/>
      <c r="D90"/>
      <c r="E90"/>
      <c r="F90"/>
      <c r="G90"/>
      <c r="H90"/>
      <c r="I90"/>
      <c r="J90"/>
      <c r="K90"/>
      <c r="L90"/>
      <c r="M90"/>
      <c r="N90"/>
      <c r="O90"/>
      <c r="P90"/>
      <c r="Q90"/>
      <c r="R90"/>
      <c r="S90"/>
      <c r="T90"/>
      <c r="U90"/>
      <c r="V90"/>
      <c r="W90"/>
      <c r="X90"/>
      <c r="Y90"/>
      <c r="Z90"/>
      <c r="AA90"/>
      <c r="AB90"/>
      <c r="AC90"/>
      <c r="AD90"/>
      <c r="AE90"/>
      <c r="AF90"/>
      <c r="AG90"/>
      <c r="AH90"/>
      <c r="AI90"/>
      <c r="AJ90"/>
      <c r="AK90"/>
      <c r="AL90"/>
    </row>
    <row r="91" spans="1:38">
      <c r="B91"/>
      <c r="C91"/>
      <c r="D91"/>
      <c r="E91"/>
      <c r="F91"/>
      <c r="G91"/>
      <c r="H91"/>
      <c r="I91"/>
      <c r="J91"/>
      <c r="K91"/>
      <c r="L91"/>
      <c r="M91"/>
      <c r="N91"/>
      <c r="O91"/>
      <c r="P91"/>
      <c r="Q91"/>
      <c r="R91"/>
      <c r="S91"/>
      <c r="T91"/>
      <c r="U91"/>
      <c r="V91"/>
      <c r="W91"/>
      <c r="X91"/>
      <c r="Y91"/>
      <c r="Z91"/>
      <c r="AA91"/>
      <c r="AB91"/>
      <c r="AC91"/>
      <c r="AD91"/>
      <c r="AE91"/>
      <c r="AF91"/>
      <c r="AG91"/>
      <c r="AH91"/>
      <c r="AI91"/>
      <c r="AJ91"/>
      <c r="AK91"/>
      <c r="AL91"/>
    </row>
    <row r="92" spans="1:38">
      <c r="A92" s="6" t="s">
        <v>101</v>
      </c>
      <c r="B92"/>
      <c r="C92"/>
      <c r="D92"/>
      <c r="E92"/>
      <c r="F92"/>
      <c r="G92"/>
      <c r="H92"/>
      <c r="I92"/>
      <c r="J92"/>
      <c r="K92"/>
      <c r="L92"/>
      <c r="M92"/>
      <c r="N92"/>
      <c r="O92"/>
      <c r="P92"/>
      <c r="Q92"/>
      <c r="R92"/>
      <c r="S92"/>
      <c r="T92"/>
      <c r="U92"/>
      <c r="V92"/>
      <c r="W92"/>
      <c r="X92"/>
      <c r="Y92"/>
      <c r="Z92"/>
      <c r="AA92"/>
      <c r="AB92"/>
      <c r="AC92"/>
      <c r="AD92"/>
      <c r="AE92"/>
      <c r="AF92"/>
      <c r="AG92"/>
      <c r="AH92"/>
      <c r="AI92"/>
      <c r="AJ92"/>
      <c r="AK92"/>
      <c r="AL92"/>
    </row>
    <row r="93" spans="1:38">
      <c r="A93" s="6" t="s">
        <v>593</v>
      </c>
      <c r="B93"/>
      <c r="C93"/>
      <c r="D93"/>
      <c r="E93"/>
      <c r="F93"/>
      <c r="G93"/>
      <c r="H93"/>
      <c r="I93"/>
      <c r="J93"/>
      <c r="K93"/>
      <c r="L93"/>
      <c r="M93"/>
      <c r="N93"/>
      <c r="O93"/>
      <c r="P93"/>
      <c r="Q93"/>
      <c r="R93"/>
      <c r="S93"/>
      <c r="T93"/>
      <c r="U93"/>
      <c r="V93"/>
      <c r="W93"/>
      <c r="X93"/>
      <c r="Y93"/>
      <c r="Z93"/>
      <c r="AA93"/>
      <c r="AB93"/>
      <c r="AC93"/>
      <c r="AD93"/>
      <c r="AE93"/>
      <c r="AF93"/>
      <c r="AG93"/>
      <c r="AH93"/>
      <c r="AI93"/>
      <c r="AJ93"/>
      <c r="AK93"/>
      <c r="AL93"/>
    </row>
    <row r="94" spans="1:38">
      <c r="A94" s="6" t="s">
        <v>102</v>
      </c>
      <c r="B94"/>
      <c r="C94"/>
      <c r="D94"/>
      <c r="E94"/>
      <c r="F94"/>
      <c r="G94"/>
      <c r="H94"/>
      <c r="I94"/>
      <c r="J94"/>
      <c r="K94"/>
      <c r="L94"/>
      <c r="M94"/>
      <c r="N94"/>
      <c r="O94"/>
      <c r="P94"/>
      <c r="Q94"/>
      <c r="R94"/>
      <c r="S94"/>
      <c r="T94"/>
      <c r="U94"/>
      <c r="V94"/>
      <c r="W94"/>
      <c r="X94"/>
      <c r="Y94"/>
      <c r="Z94"/>
      <c r="AA94"/>
      <c r="AB94"/>
      <c r="AC94"/>
      <c r="AD94"/>
      <c r="AE94"/>
      <c r="AF94"/>
      <c r="AG94"/>
      <c r="AH94"/>
      <c r="AI94"/>
      <c r="AJ94"/>
      <c r="AK94"/>
      <c r="AL94"/>
    </row>
    <row r="95" spans="1:38">
      <c r="A95" s="6" t="s">
        <v>103</v>
      </c>
      <c r="B95"/>
      <c r="C95"/>
      <c r="D95"/>
      <c r="E95"/>
      <c r="F95"/>
      <c r="G95"/>
      <c r="H95"/>
      <c r="I95"/>
      <c r="J95"/>
      <c r="K95"/>
      <c r="L95"/>
      <c r="M95"/>
      <c r="N95"/>
      <c r="O95"/>
      <c r="P95"/>
      <c r="Q95"/>
      <c r="R95"/>
      <c r="S95"/>
      <c r="T95"/>
      <c r="U95"/>
      <c r="V95"/>
      <c r="W95"/>
      <c r="X95"/>
      <c r="Y95"/>
      <c r="Z95"/>
      <c r="AA95"/>
      <c r="AB95"/>
      <c r="AC95"/>
      <c r="AD95"/>
      <c r="AE95"/>
      <c r="AF95"/>
      <c r="AG95"/>
      <c r="AH95"/>
      <c r="AI95"/>
      <c r="AJ95"/>
      <c r="AK95"/>
      <c r="AL95"/>
    </row>
    <row r="96" spans="1:38">
      <c r="A96" s="6" t="s">
        <v>104</v>
      </c>
      <c r="B96"/>
      <c r="C96"/>
      <c r="D96"/>
      <c r="E96"/>
      <c r="F96"/>
      <c r="G96"/>
      <c r="H96"/>
      <c r="I96"/>
      <c r="J96"/>
      <c r="K96"/>
      <c r="L96"/>
      <c r="M96"/>
      <c r="N96"/>
      <c r="O96"/>
      <c r="P96"/>
      <c r="Q96"/>
      <c r="R96"/>
      <c r="S96"/>
      <c r="T96"/>
      <c r="U96"/>
      <c r="V96"/>
      <c r="W96"/>
      <c r="X96"/>
      <c r="Y96"/>
      <c r="Z96"/>
      <c r="AA96"/>
      <c r="AB96"/>
      <c r="AC96"/>
      <c r="AD96"/>
      <c r="AE96"/>
      <c r="AF96"/>
      <c r="AG96"/>
      <c r="AH96"/>
      <c r="AI96"/>
      <c r="AJ96"/>
      <c r="AK96"/>
      <c r="AL96"/>
    </row>
    <row r="97" spans="1:38">
      <c r="A97" s="6" t="s">
        <v>100</v>
      </c>
      <c r="B97"/>
      <c r="C97"/>
      <c r="D97"/>
      <c r="E97"/>
      <c r="F97"/>
      <c r="G97"/>
      <c r="H97"/>
      <c r="I97"/>
      <c r="J97"/>
      <c r="K97"/>
      <c r="L97"/>
      <c r="M97"/>
      <c r="N97"/>
      <c r="O97"/>
      <c r="P97"/>
      <c r="Q97"/>
      <c r="R97"/>
      <c r="S97"/>
      <c r="T97"/>
      <c r="U97"/>
      <c r="V97"/>
      <c r="W97"/>
      <c r="X97"/>
      <c r="Y97"/>
      <c r="Z97"/>
      <c r="AA97"/>
      <c r="AB97"/>
      <c r="AC97"/>
      <c r="AD97"/>
      <c r="AE97"/>
      <c r="AF97"/>
      <c r="AG97"/>
      <c r="AH97"/>
      <c r="AI97"/>
      <c r="AJ97"/>
      <c r="AK97"/>
      <c r="AL97"/>
    </row>
    <row r="98" spans="1:38">
      <c r="A98" s="6" t="s">
        <v>102</v>
      </c>
      <c r="B98"/>
      <c r="C98"/>
      <c r="D98"/>
      <c r="E98"/>
      <c r="F98"/>
      <c r="G98"/>
      <c r="H98"/>
      <c r="I98"/>
      <c r="J98"/>
      <c r="K98"/>
      <c r="L98"/>
      <c r="M98"/>
      <c r="N98"/>
      <c r="O98"/>
      <c r="P98"/>
      <c r="Q98"/>
      <c r="R98"/>
      <c r="S98"/>
      <c r="T98"/>
      <c r="U98"/>
      <c r="V98"/>
      <c r="W98"/>
      <c r="X98"/>
      <c r="Y98"/>
      <c r="Z98"/>
      <c r="AA98"/>
      <c r="AB98"/>
      <c r="AC98"/>
      <c r="AD98"/>
      <c r="AE98"/>
      <c r="AF98"/>
      <c r="AG98"/>
      <c r="AH98"/>
      <c r="AI98"/>
      <c r="AJ98"/>
      <c r="AK98"/>
      <c r="AL98"/>
    </row>
    <row r="99" spans="1:38">
      <c r="A99" s="6" t="s">
        <v>103</v>
      </c>
      <c r="B99"/>
      <c r="C99"/>
      <c r="D99"/>
      <c r="E99"/>
      <c r="F99"/>
      <c r="G99"/>
      <c r="H99"/>
      <c r="I99"/>
      <c r="J99"/>
      <c r="K99"/>
      <c r="L99"/>
      <c r="M99"/>
      <c r="N99"/>
      <c r="O99"/>
      <c r="P99"/>
      <c r="Q99"/>
      <c r="R99"/>
      <c r="S99"/>
      <c r="T99"/>
      <c r="U99"/>
      <c r="V99"/>
      <c r="W99"/>
      <c r="X99"/>
      <c r="Y99"/>
      <c r="Z99"/>
      <c r="AA99"/>
      <c r="AB99"/>
      <c r="AC99"/>
      <c r="AD99"/>
      <c r="AE99"/>
      <c r="AF99"/>
      <c r="AG99"/>
      <c r="AH99"/>
      <c r="AI99"/>
      <c r="AJ99"/>
      <c r="AK99"/>
      <c r="AL99"/>
    </row>
    <row r="100" spans="1:38">
      <c r="A100" s="6" t="s">
        <v>104</v>
      </c>
      <c r="B100"/>
      <c r="C100"/>
      <c r="D100"/>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row>
    <row r="101" spans="1:38">
      <c r="B101"/>
      <c r="C101"/>
      <c r="D101"/>
      <c r="E101"/>
      <c r="F101"/>
      <c r="G101"/>
      <c r="H101"/>
      <c r="I101"/>
      <c r="J101"/>
      <c r="K101"/>
      <c r="L101"/>
      <c r="M101"/>
      <c r="N101"/>
      <c r="O101"/>
      <c r="P101"/>
      <c r="Q101"/>
      <c r="R101"/>
      <c r="S101"/>
      <c r="T101"/>
      <c r="U101"/>
      <c r="V101"/>
      <c r="W101"/>
      <c r="X101"/>
      <c r="Y101"/>
      <c r="Z101"/>
      <c r="AA101"/>
      <c r="AB101"/>
      <c r="AC101"/>
      <c r="AD101"/>
      <c r="AE101"/>
      <c r="AF101"/>
      <c r="AG101"/>
      <c r="AH101"/>
      <c r="AI101"/>
      <c r="AJ101"/>
      <c r="AK101"/>
      <c r="AL101"/>
    </row>
    <row r="102" spans="1:38">
      <c r="A102" s="6" t="s">
        <v>105</v>
      </c>
      <c r="B102"/>
      <c r="C102"/>
      <c r="D102"/>
      <c r="E102"/>
      <c r="F102"/>
      <c r="G102"/>
      <c r="H102"/>
      <c r="I102"/>
      <c r="J102"/>
      <c r="K102"/>
      <c r="L102"/>
      <c r="M102"/>
      <c r="N102"/>
      <c r="O102"/>
      <c r="P102"/>
      <c r="Q102"/>
      <c r="R102"/>
      <c r="S102"/>
      <c r="T102"/>
      <c r="U102"/>
      <c r="V102"/>
      <c r="W102"/>
      <c r="X102"/>
      <c r="Y102"/>
      <c r="Z102"/>
      <c r="AA102"/>
      <c r="AB102"/>
      <c r="AC102"/>
      <c r="AD102"/>
      <c r="AE102"/>
      <c r="AF102"/>
      <c r="AG102"/>
      <c r="AH102"/>
      <c r="AI102"/>
      <c r="AJ102"/>
      <c r="AK102"/>
      <c r="AL102"/>
    </row>
    <row r="103" spans="1:38">
      <c r="A103" s="6" t="s">
        <v>631</v>
      </c>
      <c r="B103"/>
      <c r="C103"/>
      <c r="D103"/>
      <c r="E103"/>
      <c r="F103"/>
      <c r="G103"/>
      <c r="H103"/>
      <c r="I103"/>
      <c r="J103"/>
      <c r="K103"/>
      <c r="L103"/>
      <c r="M103"/>
      <c r="N103"/>
      <c r="O103"/>
      <c r="P103"/>
      <c r="Q103"/>
      <c r="R103"/>
      <c r="S103"/>
      <c r="T103"/>
      <c r="U103"/>
      <c r="V103"/>
      <c r="W103"/>
      <c r="X103"/>
      <c r="Y103"/>
      <c r="Z103"/>
      <c r="AA103"/>
      <c r="AB103"/>
      <c r="AC103"/>
      <c r="AD103"/>
      <c r="AE103"/>
      <c r="AF103"/>
      <c r="AG103"/>
      <c r="AH103"/>
      <c r="AI103"/>
      <c r="AJ103"/>
      <c r="AK103"/>
      <c r="AL103"/>
    </row>
    <row r="104" spans="1:38">
      <c r="A104" s="6" t="s">
        <v>106</v>
      </c>
      <c r="B104"/>
      <c r="C104"/>
      <c r="D104"/>
      <c r="E104"/>
      <c r="F104"/>
      <c r="G104"/>
      <c r="H104"/>
      <c r="I104"/>
      <c r="J104"/>
      <c r="K104"/>
      <c r="L104"/>
      <c r="M104"/>
      <c r="N104"/>
      <c r="O104"/>
      <c r="P104"/>
      <c r="Q104"/>
      <c r="R104"/>
      <c r="S104"/>
      <c r="T104"/>
      <c r="U104"/>
      <c r="V104"/>
      <c r="W104"/>
      <c r="X104"/>
      <c r="Y104"/>
      <c r="Z104"/>
      <c r="AA104"/>
      <c r="AB104"/>
      <c r="AC104"/>
      <c r="AD104"/>
      <c r="AE104"/>
      <c r="AF104"/>
      <c r="AG104"/>
      <c r="AH104"/>
      <c r="AI104"/>
      <c r="AJ104"/>
      <c r="AK104"/>
      <c r="AL104"/>
    </row>
    <row r="105" spans="1:38">
      <c r="A105" s="6" t="s">
        <v>630</v>
      </c>
      <c r="B105"/>
      <c r="C105"/>
      <c r="D105"/>
      <c r="E105"/>
      <c r="F105"/>
      <c r="G105"/>
      <c r="H105"/>
      <c r="I105"/>
      <c r="J105"/>
      <c r="K105"/>
      <c r="L105"/>
      <c r="M105"/>
      <c r="N105"/>
      <c r="O105"/>
      <c r="P105"/>
      <c r="Q105"/>
      <c r="R105"/>
      <c r="S105"/>
      <c r="T105"/>
      <c r="U105"/>
      <c r="V105"/>
      <c r="W105"/>
      <c r="X105"/>
      <c r="Y105"/>
      <c r="Z105"/>
      <c r="AA105"/>
      <c r="AB105"/>
      <c r="AC105"/>
      <c r="AD105"/>
      <c r="AE105"/>
      <c r="AF105"/>
      <c r="AG105"/>
      <c r="AH105"/>
      <c r="AI105"/>
      <c r="AJ105"/>
      <c r="AK105"/>
      <c r="AL105"/>
    </row>
    <row r="109" spans="1:38">
      <c r="A109" s="570" t="s">
        <v>632</v>
      </c>
      <c r="B109" s="570"/>
      <c r="C109" s="570"/>
      <c r="D109" s="570"/>
      <c r="E109" s="570"/>
      <c r="F109" s="570"/>
      <c r="G109" s="570"/>
      <c r="H109" s="570"/>
      <c r="I109" s="570"/>
      <c r="J109" s="570"/>
      <c r="K109" s="570"/>
      <c r="L109" s="570"/>
      <c r="M109" s="570"/>
      <c r="N109" s="570"/>
      <c r="O109" s="570"/>
      <c r="P109" s="570"/>
      <c r="Q109" s="570"/>
      <c r="R109" s="570"/>
      <c r="S109" s="570"/>
      <c r="T109" s="570"/>
      <c r="U109" s="570"/>
      <c r="V109" s="570"/>
      <c r="W109" s="570"/>
      <c r="X109" s="570"/>
      <c r="Y109" s="570"/>
      <c r="Z109" s="570"/>
      <c r="AA109" s="570"/>
      <c r="AB109" s="570"/>
      <c r="AC109" s="570"/>
      <c r="AD109" s="570"/>
      <c r="AE109" s="570"/>
      <c r="AF109" s="570"/>
    </row>
    <row r="110" spans="1:38">
      <c r="A110" s="569" t="s">
        <v>633</v>
      </c>
      <c r="B110" s="569"/>
      <c r="C110" s="569"/>
      <c r="D110" s="569"/>
      <c r="E110" s="569"/>
      <c r="F110" s="569"/>
      <c r="G110" s="569"/>
      <c r="H110" s="569"/>
      <c r="I110" s="569"/>
      <c r="J110" s="569"/>
      <c r="K110" s="569"/>
      <c r="L110" s="569"/>
      <c r="M110" s="569"/>
      <c r="N110" s="569"/>
      <c r="O110" s="569"/>
      <c r="P110" s="569"/>
      <c r="Q110" s="569"/>
      <c r="R110" s="569"/>
      <c r="S110" s="569"/>
      <c r="T110" s="569"/>
      <c r="U110" s="569"/>
      <c r="V110" s="569"/>
      <c r="W110" s="569"/>
      <c r="X110" s="569"/>
      <c r="Y110" s="569"/>
      <c r="Z110" s="569"/>
      <c r="AA110" s="569"/>
      <c r="AB110" s="569"/>
      <c r="AC110" s="569"/>
      <c r="AD110" s="569"/>
      <c r="AE110" s="569"/>
      <c r="AF110" s="569"/>
    </row>
    <row r="111" spans="1:38">
      <c r="A111" s="569" t="s">
        <v>634</v>
      </c>
      <c r="B111" s="569"/>
      <c r="C111" s="569"/>
      <c r="D111" s="569"/>
      <c r="E111" s="569"/>
      <c r="F111" s="569"/>
      <c r="G111" s="569"/>
      <c r="H111" s="569"/>
      <c r="I111" s="569"/>
      <c r="J111" s="569"/>
      <c r="K111" s="569"/>
      <c r="L111" s="569"/>
      <c r="M111" s="569"/>
      <c r="N111" s="569"/>
      <c r="O111" s="569"/>
      <c r="P111" s="569"/>
      <c r="Q111" s="569"/>
      <c r="R111" s="569"/>
      <c r="S111" s="569"/>
      <c r="T111" s="569"/>
      <c r="U111" s="569"/>
      <c r="V111" s="569"/>
      <c r="W111" s="569"/>
      <c r="X111" s="569"/>
      <c r="Y111" s="569"/>
      <c r="Z111" s="569"/>
      <c r="AA111" s="569"/>
      <c r="AB111" s="569"/>
      <c r="AC111" s="569"/>
      <c r="AD111" s="569"/>
      <c r="AE111" s="569"/>
      <c r="AF111" s="569"/>
    </row>
    <row r="112" spans="1:38">
      <c r="A112" s="569" t="s">
        <v>635</v>
      </c>
      <c r="B112" s="569"/>
      <c r="C112" s="569"/>
      <c r="D112" s="569"/>
      <c r="E112" s="569"/>
      <c r="F112" s="569"/>
      <c r="G112" s="569"/>
      <c r="H112" s="569"/>
      <c r="I112" s="569"/>
      <c r="J112" s="569"/>
      <c r="K112" s="569"/>
      <c r="L112" s="569"/>
      <c r="M112" s="569"/>
      <c r="N112" s="569"/>
      <c r="O112" s="569"/>
      <c r="P112" s="569"/>
      <c r="Q112" s="569"/>
      <c r="R112" s="569"/>
      <c r="S112" s="569"/>
      <c r="T112" s="569"/>
      <c r="U112" s="569"/>
      <c r="V112" s="569"/>
      <c r="W112" s="569"/>
      <c r="X112" s="569"/>
      <c r="Y112" s="569"/>
      <c r="Z112" s="569"/>
      <c r="AA112" s="569"/>
      <c r="AB112" s="569"/>
      <c r="AC112" s="569"/>
      <c r="AD112" s="569"/>
      <c r="AE112" s="569"/>
      <c r="AF112" s="569"/>
    </row>
    <row r="113" spans="1:32">
      <c r="A113" s="569" t="s">
        <v>636</v>
      </c>
      <c r="B113" s="569"/>
      <c r="C113" s="569"/>
      <c r="D113" s="569"/>
      <c r="E113" s="569"/>
      <c r="F113" s="569"/>
      <c r="G113" s="569"/>
      <c r="H113" s="569"/>
      <c r="I113" s="569"/>
      <c r="J113" s="569"/>
      <c r="K113" s="569"/>
      <c r="L113" s="569"/>
      <c r="M113" s="569"/>
      <c r="N113" s="569"/>
      <c r="O113" s="569"/>
      <c r="P113" s="569"/>
      <c r="Q113" s="569"/>
      <c r="R113" s="569"/>
      <c r="S113" s="569"/>
      <c r="T113" s="569"/>
      <c r="U113" s="569"/>
      <c r="V113" s="569"/>
      <c r="W113" s="569"/>
      <c r="X113" s="569"/>
      <c r="Y113" s="569"/>
      <c r="Z113" s="569"/>
      <c r="AA113" s="569"/>
      <c r="AB113" s="569"/>
      <c r="AC113" s="569"/>
      <c r="AD113" s="569"/>
      <c r="AE113" s="569"/>
      <c r="AF113" s="569"/>
    </row>
    <row r="114" spans="1:32">
      <c r="A114" s="569" t="s">
        <v>637</v>
      </c>
      <c r="B114" s="569"/>
      <c r="C114" s="569"/>
      <c r="D114" s="569"/>
      <c r="E114" s="569"/>
      <c r="F114" s="569"/>
      <c r="G114" s="569"/>
      <c r="H114" s="569"/>
      <c r="I114" s="569"/>
      <c r="J114" s="569"/>
      <c r="K114" s="569"/>
      <c r="L114" s="569"/>
      <c r="M114" s="569"/>
      <c r="N114" s="569"/>
      <c r="O114" s="569"/>
      <c r="P114" s="569"/>
      <c r="Q114" s="569"/>
      <c r="R114" s="569"/>
      <c r="S114" s="569"/>
      <c r="T114" s="569"/>
      <c r="U114" s="569"/>
      <c r="V114" s="569"/>
      <c r="W114" s="569"/>
      <c r="X114" s="569"/>
      <c r="Y114" s="569"/>
      <c r="Z114" s="569"/>
      <c r="AA114" s="569"/>
      <c r="AB114" s="569"/>
      <c r="AC114" s="569"/>
      <c r="AD114" s="569"/>
      <c r="AE114" s="569"/>
      <c r="AF114" s="569"/>
    </row>
    <row r="115" spans="1:32">
      <c r="A115" s="569" t="s">
        <v>638</v>
      </c>
      <c r="B115" s="569"/>
      <c r="C115" s="569"/>
      <c r="D115" s="569"/>
      <c r="E115" s="569"/>
      <c r="F115" s="569"/>
      <c r="G115" s="569"/>
      <c r="H115" s="569"/>
      <c r="I115" s="569"/>
      <c r="J115" s="569"/>
      <c r="K115" s="569"/>
      <c r="L115" s="569"/>
      <c r="M115" s="569"/>
      <c r="N115" s="569"/>
      <c r="O115" s="569"/>
      <c r="P115" s="569"/>
      <c r="Q115" s="569"/>
      <c r="R115" s="569"/>
      <c r="S115" s="569"/>
      <c r="T115" s="569"/>
      <c r="U115" s="569"/>
      <c r="V115" s="569"/>
      <c r="W115" s="569"/>
      <c r="X115" s="569"/>
      <c r="Y115" s="569"/>
      <c r="Z115" s="569"/>
      <c r="AA115" s="569"/>
      <c r="AB115" s="569"/>
      <c r="AC115" s="569"/>
      <c r="AD115" s="569"/>
      <c r="AE115" s="569"/>
      <c r="AF115" s="569"/>
    </row>
    <row r="116" spans="1:32">
      <c r="A116" s="569" t="s">
        <v>639</v>
      </c>
      <c r="B116" s="569"/>
      <c r="C116" s="569"/>
      <c r="D116" s="569"/>
      <c r="E116" s="569"/>
      <c r="F116" s="569"/>
      <c r="G116" s="569"/>
      <c r="H116" s="569"/>
      <c r="I116" s="569"/>
      <c r="J116" s="569"/>
      <c r="K116" s="569"/>
      <c r="L116" s="569"/>
      <c r="M116" s="569"/>
      <c r="N116" s="569"/>
      <c r="O116" s="569"/>
      <c r="P116" s="569"/>
      <c r="Q116" s="569"/>
      <c r="R116" s="569"/>
      <c r="S116" s="569"/>
      <c r="T116" s="569"/>
      <c r="U116" s="569"/>
      <c r="V116" s="569"/>
      <c r="W116" s="569"/>
      <c r="X116" s="569"/>
      <c r="Y116" s="569"/>
      <c r="Z116" s="569"/>
      <c r="AA116" s="569"/>
      <c r="AB116" s="569"/>
      <c r="AC116" s="569"/>
      <c r="AD116" s="569"/>
      <c r="AE116" s="569"/>
      <c r="AF116" s="569"/>
    </row>
    <row r="117" spans="1:32">
      <c r="A117" s="569" t="s">
        <v>640</v>
      </c>
      <c r="B117" s="569"/>
      <c r="C117" s="569"/>
      <c r="D117" s="569"/>
      <c r="E117" s="569"/>
      <c r="F117" s="569"/>
      <c r="G117" s="569"/>
      <c r="H117" s="569"/>
      <c r="I117" s="569"/>
      <c r="J117" s="569"/>
      <c r="K117" s="569"/>
      <c r="L117" s="569"/>
      <c r="M117" s="569"/>
      <c r="N117" s="569"/>
      <c r="O117" s="569"/>
      <c r="P117" s="569"/>
      <c r="Q117" s="569"/>
      <c r="R117" s="569"/>
      <c r="S117" s="569"/>
      <c r="T117" s="569"/>
      <c r="U117" s="569"/>
      <c r="V117" s="569"/>
      <c r="W117" s="569"/>
      <c r="X117" s="569"/>
      <c r="Y117" s="569"/>
      <c r="Z117" s="569"/>
      <c r="AA117" s="569"/>
      <c r="AB117" s="569"/>
      <c r="AC117" s="569"/>
      <c r="AD117" s="569"/>
      <c r="AE117" s="569"/>
      <c r="AF117" s="569"/>
    </row>
    <row r="118" spans="1:32">
      <c r="A118" s="569" t="s">
        <v>641</v>
      </c>
      <c r="B118" s="569"/>
      <c r="C118" s="569"/>
      <c r="D118" s="569"/>
      <c r="E118" s="569"/>
      <c r="F118" s="569"/>
      <c r="G118" s="569"/>
      <c r="H118" s="569"/>
      <c r="I118" s="569"/>
      <c r="J118" s="569"/>
      <c r="K118" s="569"/>
      <c r="L118" s="569"/>
      <c r="M118" s="569"/>
      <c r="N118" s="569"/>
      <c r="O118" s="569"/>
      <c r="P118" s="569"/>
      <c r="Q118" s="569"/>
      <c r="R118" s="569"/>
      <c r="S118" s="569"/>
      <c r="T118" s="569"/>
      <c r="U118" s="569"/>
      <c r="V118" s="569"/>
      <c r="W118" s="569"/>
      <c r="X118" s="569"/>
      <c r="Y118" s="569"/>
      <c r="Z118" s="569"/>
      <c r="AA118" s="569"/>
      <c r="AB118" s="569"/>
      <c r="AC118" s="569"/>
      <c r="AD118" s="569"/>
      <c r="AE118" s="569"/>
      <c r="AF118" s="569"/>
    </row>
    <row r="119" spans="1:32">
      <c r="A119" s="569" t="s">
        <v>642</v>
      </c>
      <c r="B119" s="569"/>
      <c r="C119" s="569"/>
      <c r="D119" s="569"/>
      <c r="E119" s="569"/>
      <c r="F119" s="569"/>
      <c r="G119" s="569"/>
      <c r="H119" s="569"/>
      <c r="I119" s="569"/>
      <c r="J119" s="569"/>
      <c r="K119" s="569"/>
      <c r="L119" s="569"/>
      <c r="M119" s="569"/>
      <c r="N119" s="569"/>
      <c r="O119" s="569"/>
      <c r="P119" s="569"/>
      <c r="Q119" s="569"/>
      <c r="R119" s="569"/>
      <c r="S119" s="569"/>
      <c r="T119" s="569"/>
      <c r="U119" s="569"/>
      <c r="V119" s="569"/>
      <c r="W119" s="569"/>
      <c r="X119" s="569"/>
      <c r="Y119" s="569"/>
      <c r="Z119" s="569"/>
      <c r="AA119" s="569"/>
      <c r="AB119" s="569"/>
      <c r="AC119" s="569"/>
      <c r="AD119" s="569"/>
      <c r="AE119" s="569"/>
      <c r="AF119" s="569"/>
    </row>
    <row r="120" spans="1:32">
      <c r="A120" s="569" t="s">
        <v>643</v>
      </c>
      <c r="B120" s="569"/>
      <c r="C120" s="569"/>
      <c r="D120" s="569"/>
      <c r="E120" s="569"/>
      <c r="F120" s="569"/>
      <c r="G120" s="569"/>
      <c r="H120" s="569"/>
      <c r="I120" s="569"/>
      <c r="J120" s="569"/>
      <c r="K120" s="569"/>
      <c r="L120" s="569"/>
      <c r="M120" s="569"/>
      <c r="N120" s="569"/>
      <c r="O120" s="569"/>
      <c r="P120" s="569"/>
      <c r="Q120" s="569"/>
      <c r="R120" s="569"/>
      <c r="S120" s="569"/>
      <c r="T120" s="569"/>
      <c r="U120" s="569"/>
      <c r="V120" s="569"/>
      <c r="W120" s="569"/>
      <c r="X120" s="569"/>
      <c r="Y120" s="569"/>
      <c r="Z120" s="569"/>
      <c r="AA120" s="569"/>
      <c r="AB120" s="569"/>
      <c r="AC120" s="569"/>
      <c r="AD120" s="569"/>
      <c r="AE120" s="569"/>
      <c r="AF120" s="569"/>
    </row>
    <row r="121" spans="1:32">
      <c r="A121" s="569" t="s">
        <v>644</v>
      </c>
      <c r="B121" s="569"/>
      <c r="C121" s="569"/>
      <c r="D121" s="569"/>
      <c r="E121" s="569"/>
      <c r="F121" s="569"/>
      <c r="G121" s="569"/>
      <c r="H121" s="569"/>
      <c r="I121" s="569"/>
      <c r="J121" s="569"/>
      <c r="K121" s="569"/>
      <c r="L121" s="569"/>
      <c r="M121" s="569"/>
      <c r="N121" s="569"/>
      <c r="O121" s="569"/>
      <c r="P121" s="569"/>
      <c r="Q121" s="569"/>
      <c r="R121" s="569"/>
      <c r="S121" s="569"/>
      <c r="T121" s="569"/>
      <c r="U121" s="569"/>
      <c r="V121" s="569"/>
      <c r="W121" s="569"/>
      <c r="X121" s="569"/>
      <c r="Y121" s="569"/>
      <c r="Z121" s="569"/>
      <c r="AA121" s="569"/>
      <c r="AB121" s="569"/>
      <c r="AC121" s="569"/>
      <c r="AD121" s="569"/>
      <c r="AE121" s="569"/>
      <c r="AF121" s="569"/>
    </row>
    <row r="122" spans="1:32">
      <c r="A122" s="569" t="s">
        <v>645</v>
      </c>
      <c r="B122" s="569"/>
      <c r="C122" s="569"/>
      <c r="D122" s="569"/>
      <c r="E122" s="569"/>
      <c r="F122" s="569"/>
      <c r="G122" s="569"/>
      <c r="H122" s="569"/>
      <c r="I122" s="569"/>
      <c r="J122" s="569"/>
      <c r="K122" s="569"/>
      <c r="L122" s="569"/>
      <c r="M122" s="569"/>
      <c r="N122" s="569"/>
      <c r="O122" s="569"/>
      <c r="P122" s="569"/>
      <c r="Q122" s="569"/>
      <c r="R122" s="569"/>
      <c r="S122" s="569"/>
      <c r="T122" s="569"/>
      <c r="U122" s="569"/>
      <c r="V122" s="569"/>
      <c r="W122" s="569"/>
      <c r="X122" s="569"/>
      <c r="Y122" s="569"/>
      <c r="Z122" s="569"/>
      <c r="AA122" s="569"/>
      <c r="AB122" s="569"/>
      <c r="AC122" s="569"/>
      <c r="AD122" s="569"/>
      <c r="AE122" s="569"/>
      <c r="AF122" s="569"/>
    </row>
    <row r="123" spans="1:32">
      <c r="A123" s="569" t="s">
        <v>646</v>
      </c>
      <c r="B123" s="569"/>
      <c r="C123" s="569"/>
      <c r="D123" s="569"/>
      <c r="E123" s="569"/>
      <c r="F123" s="569"/>
      <c r="G123" s="569"/>
      <c r="H123" s="569"/>
      <c r="I123" s="569"/>
      <c r="J123" s="569"/>
      <c r="K123" s="569"/>
      <c r="L123" s="569"/>
      <c r="M123" s="569"/>
      <c r="N123" s="569"/>
      <c r="O123" s="569"/>
      <c r="P123" s="569"/>
      <c r="Q123" s="569"/>
      <c r="R123" s="569"/>
      <c r="S123" s="569"/>
      <c r="T123" s="569"/>
      <c r="U123" s="569"/>
      <c r="V123" s="569"/>
      <c r="W123" s="569"/>
      <c r="X123" s="569"/>
      <c r="Y123" s="569"/>
      <c r="Z123" s="569"/>
      <c r="AA123" s="569"/>
      <c r="AB123" s="569"/>
      <c r="AC123" s="569"/>
      <c r="AD123" s="569"/>
      <c r="AE123" s="569"/>
      <c r="AF123" s="569"/>
    </row>
    <row r="124" spans="1:32">
      <c r="A124" s="569" t="s">
        <v>647</v>
      </c>
      <c r="B124" s="569"/>
      <c r="C124" s="569"/>
      <c r="D124" s="569"/>
      <c r="E124" s="569"/>
      <c r="F124" s="569"/>
      <c r="G124" s="569"/>
      <c r="H124" s="569"/>
      <c r="I124" s="569"/>
      <c r="J124" s="569"/>
      <c r="K124" s="569"/>
      <c r="L124" s="569"/>
      <c r="M124" s="569"/>
      <c r="N124" s="569"/>
      <c r="O124" s="569"/>
      <c r="P124" s="569"/>
      <c r="Q124" s="569"/>
      <c r="R124" s="569"/>
      <c r="S124" s="569"/>
      <c r="T124" s="569"/>
      <c r="U124" s="569"/>
      <c r="V124" s="569"/>
      <c r="W124" s="569"/>
      <c r="X124" s="569"/>
      <c r="Y124" s="569"/>
      <c r="Z124" s="569"/>
      <c r="AA124" s="569"/>
      <c r="AB124" s="569"/>
      <c r="AC124" s="569"/>
      <c r="AD124" s="569"/>
      <c r="AE124" s="569"/>
      <c r="AF124" s="569"/>
    </row>
    <row r="125" spans="1:32">
      <c r="A125" s="569" t="s">
        <v>640</v>
      </c>
      <c r="B125" s="569"/>
      <c r="C125" s="569"/>
      <c r="D125" s="569"/>
      <c r="E125" s="569"/>
      <c r="F125" s="569"/>
      <c r="G125" s="569"/>
      <c r="H125" s="569"/>
      <c r="I125" s="569"/>
      <c r="J125" s="569"/>
      <c r="K125" s="569"/>
      <c r="L125" s="569"/>
      <c r="M125" s="569"/>
      <c r="N125" s="569"/>
      <c r="O125" s="569"/>
      <c r="P125" s="569"/>
      <c r="Q125" s="569"/>
      <c r="R125" s="569"/>
      <c r="S125" s="569"/>
      <c r="T125" s="569"/>
      <c r="U125" s="569"/>
      <c r="V125" s="569"/>
      <c r="W125" s="569"/>
      <c r="X125" s="569"/>
      <c r="Y125" s="569"/>
      <c r="Z125" s="569"/>
      <c r="AA125" s="569"/>
      <c r="AB125" s="569"/>
      <c r="AC125" s="569"/>
      <c r="AD125" s="569"/>
      <c r="AE125" s="569"/>
      <c r="AF125" s="569"/>
    </row>
    <row r="126" spans="1:32">
      <c r="A126" s="569" t="s">
        <v>648</v>
      </c>
      <c r="B126" s="569"/>
      <c r="C126" s="569"/>
      <c r="D126" s="569"/>
      <c r="E126" s="569"/>
      <c r="F126" s="569"/>
      <c r="G126" s="569"/>
      <c r="H126" s="569"/>
      <c r="I126" s="569"/>
      <c r="J126" s="569"/>
      <c r="K126" s="569"/>
      <c r="L126" s="569"/>
      <c r="M126" s="569"/>
      <c r="N126" s="569"/>
      <c r="O126" s="569"/>
      <c r="P126" s="569"/>
      <c r="Q126" s="569"/>
      <c r="R126" s="569"/>
      <c r="S126" s="569"/>
      <c r="T126" s="569"/>
      <c r="U126" s="569"/>
      <c r="V126" s="569"/>
      <c r="W126" s="569"/>
      <c r="X126" s="569"/>
      <c r="Y126" s="569"/>
      <c r="Z126" s="569"/>
      <c r="AA126" s="569"/>
      <c r="AB126" s="569"/>
      <c r="AC126" s="569"/>
      <c r="AD126" s="569"/>
      <c r="AE126" s="569"/>
      <c r="AF126" s="569"/>
    </row>
    <row r="127" spans="1:32">
      <c r="A127" s="569" t="s">
        <v>649</v>
      </c>
      <c r="B127" s="569"/>
      <c r="C127" s="569"/>
      <c r="D127" s="569"/>
      <c r="E127" s="569"/>
      <c r="F127" s="569"/>
      <c r="G127" s="569"/>
      <c r="H127" s="569"/>
      <c r="I127" s="569"/>
      <c r="J127" s="569"/>
      <c r="K127" s="569"/>
      <c r="L127" s="569"/>
      <c r="M127" s="569"/>
      <c r="N127" s="569"/>
      <c r="O127" s="569"/>
      <c r="P127" s="569"/>
      <c r="Q127" s="569"/>
      <c r="R127" s="569"/>
      <c r="S127" s="569"/>
      <c r="T127" s="569"/>
      <c r="U127" s="569"/>
      <c r="V127" s="569"/>
      <c r="W127" s="569"/>
      <c r="X127" s="569"/>
      <c r="Y127" s="569"/>
      <c r="Z127" s="569"/>
      <c r="AA127" s="569"/>
      <c r="AB127" s="569"/>
      <c r="AC127" s="569"/>
      <c r="AD127" s="569"/>
      <c r="AE127" s="569"/>
      <c r="AF127" s="569"/>
    </row>
    <row r="128" spans="1:32">
      <c r="A128" s="569" t="s">
        <v>650</v>
      </c>
      <c r="B128" s="569"/>
      <c r="C128" s="569"/>
      <c r="D128" s="569"/>
      <c r="E128" s="569"/>
      <c r="F128" s="569"/>
      <c r="G128" s="569"/>
      <c r="H128" s="569"/>
      <c r="I128" s="569"/>
      <c r="J128" s="569"/>
      <c r="K128" s="569"/>
      <c r="L128" s="569"/>
      <c r="M128" s="569"/>
      <c r="N128" s="569"/>
      <c r="O128" s="569"/>
      <c r="P128" s="569"/>
      <c r="Q128" s="569"/>
      <c r="R128" s="569"/>
      <c r="S128" s="569"/>
      <c r="T128" s="569"/>
      <c r="U128" s="569"/>
      <c r="V128" s="569"/>
      <c r="W128" s="569"/>
      <c r="X128" s="569"/>
      <c r="Y128" s="569"/>
      <c r="Z128" s="569"/>
      <c r="AA128" s="569"/>
      <c r="AB128" s="569"/>
      <c r="AC128" s="569"/>
      <c r="AD128" s="569"/>
      <c r="AE128" s="569"/>
      <c r="AF128" s="569"/>
    </row>
    <row r="129" spans="1:32">
      <c r="A129" s="569" t="s">
        <v>620</v>
      </c>
      <c r="B129" s="569"/>
      <c r="C129" s="569"/>
      <c r="D129" s="569"/>
      <c r="E129" s="569"/>
      <c r="F129" s="569"/>
      <c r="G129" s="569"/>
      <c r="H129" s="569"/>
      <c r="I129" s="569"/>
      <c r="J129" s="569"/>
      <c r="K129" s="569"/>
      <c r="L129" s="569"/>
      <c r="M129" s="569"/>
      <c r="N129" s="569"/>
      <c r="O129" s="569"/>
      <c r="P129" s="569"/>
      <c r="Q129" s="569"/>
      <c r="R129" s="569"/>
      <c r="S129" s="569"/>
      <c r="T129" s="569"/>
      <c r="U129" s="569"/>
      <c r="V129" s="569"/>
      <c r="W129" s="569"/>
      <c r="X129" s="569"/>
      <c r="Y129" s="569"/>
      <c r="Z129" s="569"/>
      <c r="AA129" s="569"/>
      <c r="AB129" s="569"/>
      <c r="AC129" s="569"/>
      <c r="AD129" s="569"/>
      <c r="AE129" s="569"/>
      <c r="AF129" s="569"/>
    </row>
    <row r="130" spans="1:32">
      <c r="A130" s="569" t="s">
        <v>621</v>
      </c>
      <c r="B130" s="569"/>
      <c r="C130" s="569"/>
      <c r="D130" s="569"/>
      <c r="E130" s="569"/>
      <c r="F130" s="569"/>
      <c r="G130" s="569"/>
      <c r="H130" s="569"/>
      <c r="I130" s="569"/>
      <c r="J130" s="569"/>
      <c r="K130" s="569"/>
      <c r="L130" s="569"/>
      <c r="M130" s="569"/>
      <c r="N130" s="569"/>
      <c r="O130" s="569"/>
      <c r="P130" s="569"/>
      <c r="Q130" s="569"/>
      <c r="R130" s="569"/>
      <c r="S130" s="569"/>
      <c r="T130" s="569"/>
      <c r="U130" s="569"/>
      <c r="V130" s="569"/>
      <c r="W130" s="569"/>
      <c r="X130" s="569"/>
      <c r="Y130" s="569"/>
      <c r="Z130" s="569"/>
      <c r="AA130" s="569"/>
      <c r="AB130" s="569"/>
      <c r="AC130" s="569"/>
      <c r="AD130" s="569"/>
      <c r="AE130" s="569"/>
      <c r="AF130" s="569"/>
    </row>
    <row r="131" spans="1:32">
      <c r="A131" s="569" t="s">
        <v>622</v>
      </c>
      <c r="B131" s="569"/>
      <c r="C131" s="569"/>
      <c r="D131" s="569"/>
      <c r="E131" s="569"/>
      <c r="F131" s="569"/>
      <c r="G131" s="569"/>
      <c r="H131" s="569"/>
      <c r="I131" s="569"/>
      <c r="J131" s="569"/>
      <c r="K131" s="569"/>
      <c r="L131" s="569"/>
      <c r="M131" s="569"/>
      <c r="N131" s="569"/>
      <c r="O131" s="569"/>
      <c r="P131" s="569"/>
      <c r="Q131" s="569"/>
      <c r="R131" s="569"/>
      <c r="S131" s="569"/>
      <c r="T131" s="569"/>
      <c r="U131" s="569"/>
      <c r="V131" s="569"/>
      <c r="W131" s="569"/>
      <c r="X131" s="569"/>
      <c r="Y131" s="569"/>
      <c r="Z131" s="569"/>
      <c r="AA131" s="569"/>
      <c r="AB131" s="569"/>
      <c r="AC131" s="569"/>
      <c r="AD131" s="569"/>
      <c r="AE131" s="569"/>
      <c r="AF131" s="569"/>
    </row>
    <row r="132" spans="1:32">
      <c r="A132" s="569" t="s">
        <v>651</v>
      </c>
      <c r="B132" s="569"/>
      <c r="C132" s="569"/>
      <c r="D132" s="569"/>
      <c r="E132" s="569"/>
      <c r="F132" s="569"/>
      <c r="G132" s="569"/>
      <c r="H132" s="569"/>
      <c r="I132" s="569"/>
      <c r="J132" s="569"/>
      <c r="K132" s="569"/>
      <c r="L132" s="569"/>
      <c r="M132" s="569"/>
      <c r="N132" s="569"/>
      <c r="O132" s="569"/>
      <c r="P132" s="569"/>
      <c r="Q132" s="569"/>
      <c r="R132" s="569"/>
      <c r="S132" s="569"/>
      <c r="T132" s="569"/>
      <c r="U132" s="569"/>
      <c r="V132" s="569"/>
      <c r="W132" s="569"/>
      <c r="X132" s="569"/>
      <c r="Y132" s="569"/>
      <c r="Z132" s="569"/>
      <c r="AA132" s="569"/>
      <c r="AB132" s="569"/>
      <c r="AC132" s="569"/>
      <c r="AD132" s="569"/>
      <c r="AE132" s="569"/>
      <c r="AF132" s="569"/>
    </row>
    <row r="133" spans="1:32">
      <c r="A133" s="569" t="s">
        <v>652</v>
      </c>
      <c r="B133" s="569"/>
      <c r="C133" s="569"/>
      <c r="D133" s="569"/>
      <c r="E133" s="569"/>
      <c r="F133" s="569"/>
      <c r="G133" s="569"/>
      <c r="H133" s="569"/>
      <c r="I133" s="569"/>
      <c r="J133" s="569"/>
      <c r="K133" s="569"/>
      <c r="L133" s="569"/>
      <c r="M133" s="569"/>
      <c r="N133" s="569"/>
      <c r="O133" s="569"/>
      <c r="P133" s="569"/>
      <c r="Q133" s="569"/>
      <c r="R133" s="569"/>
      <c r="S133" s="569"/>
      <c r="T133" s="569"/>
      <c r="U133" s="569"/>
      <c r="V133" s="569"/>
      <c r="W133" s="569"/>
      <c r="X133" s="569"/>
      <c r="Y133" s="569"/>
      <c r="Z133" s="569"/>
      <c r="AA133" s="569"/>
      <c r="AB133" s="569"/>
      <c r="AC133" s="569"/>
      <c r="AD133" s="569"/>
      <c r="AE133" s="569"/>
      <c r="AF133" s="569"/>
    </row>
    <row r="134" spans="1:32">
      <c r="A134" s="569" t="s">
        <v>653</v>
      </c>
      <c r="B134" s="569"/>
      <c r="C134" s="569"/>
      <c r="D134" s="569"/>
      <c r="E134" s="569"/>
      <c r="F134" s="569"/>
      <c r="G134" s="569"/>
      <c r="H134" s="569"/>
      <c r="I134" s="569"/>
      <c r="J134" s="569"/>
      <c r="K134" s="569"/>
      <c r="L134" s="569"/>
      <c r="M134" s="569"/>
      <c r="N134" s="569"/>
      <c r="O134" s="569"/>
      <c r="P134" s="569"/>
      <c r="Q134" s="569"/>
      <c r="R134" s="569"/>
      <c r="S134" s="569"/>
      <c r="T134" s="569"/>
      <c r="U134" s="569"/>
      <c r="V134" s="569"/>
      <c r="W134" s="569"/>
      <c r="X134" s="569"/>
      <c r="Y134" s="569"/>
      <c r="Z134" s="569"/>
      <c r="AA134" s="569"/>
      <c r="AB134" s="569"/>
      <c r="AC134" s="569"/>
      <c r="AD134" s="569"/>
      <c r="AE134" s="569"/>
      <c r="AF134" s="569"/>
    </row>
    <row r="135" spans="1:32">
      <c r="A135" s="569" t="s">
        <v>654</v>
      </c>
      <c r="B135" s="569"/>
      <c r="C135" s="569"/>
      <c r="D135" s="569"/>
      <c r="E135" s="569"/>
      <c r="F135" s="569"/>
      <c r="G135" s="569"/>
      <c r="H135" s="569"/>
      <c r="I135" s="569"/>
      <c r="J135" s="569"/>
      <c r="K135" s="569"/>
      <c r="L135" s="569"/>
      <c r="M135" s="569"/>
      <c r="N135" s="569"/>
      <c r="O135" s="569"/>
      <c r="P135" s="569"/>
      <c r="Q135" s="569"/>
      <c r="R135" s="569"/>
      <c r="S135" s="569"/>
      <c r="T135" s="569"/>
      <c r="U135" s="569"/>
      <c r="V135" s="569"/>
      <c r="W135" s="569"/>
      <c r="X135" s="569"/>
      <c r="Y135" s="569"/>
      <c r="Z135" s="569"/>
      <c r="AA135" s="569"/>
      <c r="AB135" s="569"/>
      <c r="AC135" s="569"/>
      <c r="AD135" s="569"/>
      <c r="AE135" s="569"/>
      <c r="AF135" s="569"/>
    </row>
    <row r="136" spans="1:32">
      <c r="A136" s="569" t="s">
        <v>655</v>
      </c>
      <c r="B136" s="569"/>
      <c r="C136" s="569"/>
      <c r="D136" s="569"/>
      <c r="E136" s="569"/>
      <c r="F136" s="569"/>
      <c r="G136" s="569"/>
      <c r="H136" s="569"/>
      <c r="I136" s="569"/>
      <c r="J136" s="569"/>
      <c r="K136" s="569"/>
      <c r="L136" s="569"/>
      <c r="M136" s="569"/>
      <c r="N136" s="569"/>
      <c r="O136" s="569"/>
      <c r="P136" s="569"/>
      <c r="Q136" s="569"/>
      <c r="R136" s="569"/>
      <c r="S136" s="569"/>
      <c r="T136" s="569"/>
      <c r="U136" s="569"/>
      <c r="V136" s="569"/>
      <c r="W136" s="569"/>
      <c r="X136" s="569"/>
      <c r="Y136" s="569"/>
      <c r="Z136" s="569"/>
      <c r="AA136" s="569"/>
      <c r="AB136" s="569"/>
      <c r="AC136" s="569"/>
      <c r="AD136" s="569"/>
      <c r="AE136" s="569"/>
      <c r="AF136" s="569"/>
    </row>
    <row r="137" spans="1:32">
      <c r="A137" s="569" t="s">
        <v>656</v>
      </c>
      <c r="B137" s="569"/>
      <c r="C137" s="569"/>
      <c r="D137" s="569"/>
      <c r="E137" s="569"/>
      <c r="F137" s="569"/>
      <c r="G137" s="569"/>
      <c r="H137" s="569"/>
      <c r="I137" s="569"/>
      <c r="J137" s="569"/>
      <c r="K137" s="569"/>
      <c r="L137" s="569"/>
      <c r="M137" s="569"/>
      <c r="N137" s="569"/>
      <c r="O137" s="569"/>
      <c r="P137" s="569"/>
      <c r="Q137" s="569"/>
      <c r="R137" s="569"/>
      <c r="S137" s="569"/>
      <c r="T137" s="569"/>
      <c r="U137" s="569"/>
      <c r="V137" s="569"/>
      <c r="W137" s="569"/>
      <c r="X137" s="569"/>
      <c r="Y137" s="569"/>
      <c r="Z137" s="569"/>
      <c r="AA137" s="569"/>
      <c r="AB137" s="569"/>
      <c r="AC137" s="569"/>
      <c r="AD137" s="569"/>
      <c r="AE137" s="569"/>
      <c r="AF137" s="569"/>
    </row>
  </sheetData>
  <mergeCells count="29">
    <mergeCell ref="A109:AF109"/>
    <mergeCell ref="A110:AF110"/>
    <mergeCell ref="A111:AF111"/>
    <mergeCell ref="A112:AF112"/>
    <mergeCell ref="A113:AF113"/>
    <mergeCell ref="A114:AF114"/>
    <mergeCell ref="A115:AF115"/>
    <mergeCell ref="A116:AF116"/>
    <mergeCell ref="A117:AF117"/>
    <mergeCell ref="A118:AF118"/>
    <mergeCell ref="A119:AF119"/>
    <mergeCell ref="A120:AF120"/>
    <mergeCell ref="A132:AF132"/>
    <mergeCell ref="A121:AF121"/>
    <mergeCell ref="A122:AF122"/>
    <mergeCell ref="A123:AF123"/>
    <mergeCell ref="A124:AF124"/>
    <mergeCell ref="A125:AF125"/>
    <mergeCell ref="A126:AF126"/>
    <mergeCell ref="A127:AF127"/>
    <mergeCell ref="A128:AF128"/>
    <mergeCell ref="A129:AF129"/>
    <mergeCell ref="A130:AF130"/>
    <mergeCell ref="A131:AF131"/>
    <mergeCell ref="A133:AF133"/>
    <mergeCell ref="A134:AF134"/>
    <mergeCell ref="A135:AF135"/>
    <mergeCell ref="A136:AF136"/>
    <mergeCell ref="A137:AF137"/>
  </mergeCells>
  <pageMargins left="0.5" right="0.5" top="0.5" bottom="0.5" header="0.5" footer="0.5"/>
  <pageSetup orientation="portrait"/>
  <headerFooter alignWithMargins="0"/>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enableFormatConditionsCalculation="0"/>
  <dimension ref="A1:AR122"/>
  <sheetViews>
    <sheetView topLeftCell="A60" zoomScale="125" zoomScaleNormal="125" zoomScalePageLayoutView="125" workbookViewId="0">
      <selection activeCell="F79" sqref="F79"/>
    </sheetView>
  </sheetViews>
  <sheetFormatPr baseColWidth="10" defaultColWidth="12.5" defaultRowHeight="16" x14ac:dyDescent="0"/>
  <cols>
    <col min="1" max="1" width="47.33203125" style="5" customWidth="1"/>
    <col min="2" max="2" width="23" style="251" bestFit="1" customWidth="1"/>
    <col min="3" max="6" width="12.5" style="251"/>
    <col min="7" max="37" width="12.5" style="299"/>
    <col min="38" max="16384" width="12.5" style="5"/>
  </cols>
  <sheetData>
    <row r="1" spans="1:37">
      <c r="A1" s="268" t="s">
        <v>4</v>
      </c>
    </row>
    <row r="2" spans="1:37">
      <c r="A2" s="272" t="s">
        <v>705</v>
      </c>
    </row>
    <row r="3" spans="1:37">
      <c r="A3" s="272" t="s">
        <v>657</v>
      </c>
    </row>
    <row r="4" spans="1:37">
      <c r="A4" s="272" t="s">
        <v>658</v>
      </c>
    </row>
    <row r="6" spans="1:37">
      <c r="A6" s="6" t="s">
        <v>5</v>
      </c>
    </row>
    <row r="7" spans="1:37">
      <c r="A7" s="6" t="s">
        <v>6</v>
      </c>
    </row>
    <row r="8" spans="1:37">
      <c r="A8" s="78" t="s">
        <v>281</v>
      </c>
    </row>
    <row r="10" spans="1:37">
      <c r="AK10" s="300" t="s">
        <v>715</v>
      </c>
    </row>
    <row r="11" spans="1:37">
      <c r="B11" s="469" t="s">
        <v>7</v>
      </c>
      <c r="C11" s="469" t="s">
        <v>8</v>
      </c>
      <c r="D11" s="469" t="s">
        <v>9</v>
      </c>
      <c r="E11" s="469" t="s">
        <v>10</v>
      </c>
      <c r="F11" s="469" t="s">
        <v>11</v>
      </c>
      <c r="G11" s="300" t="s">
        <v>12</v>
      </c>
      <c r="H11" s="300" t="s">
        <v>13</v>
      </c>
      <c r="I11" s="300" t="s">
        <v>14</v>
      </c>
      <c r="J11" s="300" t="s">
        <v>15</v>
      </c>
      <c r="K11" s="300" t="s">
        <v>16</v>
      </c>
      <c r="L11" s="300" t="s">
        <v>17</v>
      </c>
      <c r="M11" s="300" t="s">
        <v>18</v>
      </c>
      <c r="N11" s="300" t="s">
        <v>19</v>
      </c>
      <c r="O11" s="300" t="s">
        <v>20</v>
      </c>
      <c r="P11" s="300" t="s">
        <v>21</v>
      </c>
      <c r="Q11" s="300" t="s">
        <v>22</v>
      </c>
      <c r="R11" s="300" t="s">
        <v>23</v>
      </c>
      <c r="S11" s="300" t="s">
        <v>24</v>
      </c>
      <c r="T11" s="300" t="s">
        <v>25</v>
      </c>
      <c r="U11" s="300" t="s">
        <v>26</v>
      </c>
      <c r="V11" s="300" t="s">
        <v>27</v>
      </c>
      <c r="W11" s="300" t="s">
        <v>28</v>
      </c>
      <c r="X11" s="300" t="s">
        <v>29</v>
      </c>
      <c r="Y11" s="300" t="s">
        <v>30</v>
      </c>
      <c r="Z11" s="300" t="s">
        <v>31</v>
      </c>
      <c r="AA11" s="300" t="s">
        <v>582</v>
      </c>
      <c r="AB11" s="300" t="s">
        <v>583</v>
      </c>
      <c r="AC11" s="300" t="s">
        <v>584</v>
      </c>
      <c r="AD11" s="300" t="s">
        <v>585</v>
      </c>
      <c r="AE11" s="300" t="s">
        <v>586</v>
      </c>
      <c r="AF11" s="300" t="s">
        <v>587</v>
      </c>
      <c r="AG11" s="300" t="s">
        <v>588</v>
      </c>
      <c r="AH11" s="300" t="s">
        <v>589</v>
      </c>
      <c r="AI11" s="300" t="s">
        <v>590</v>
      </c>
      <c r="AJ11" s="300" t="s">
        <v>591</v>
      </c>
      <c r="AK11" s="300">
        <v>2040</v>
      </c>
    </row>
    <row r="12" spans="1:37">
      <c r="B12" s="470"/>
      <c r="C12" s="470"/>
      <c r="D12" s="470"/>
      <c r="E12" s="470"/>
      <c r="F12" s="470"/>
    </row>
    <row r="13" spans="1:37">
      <c r="B13" s="470"/>
      <c r="C13" s="470"/>
      <c r="D13" s="470"/>
      <c r="E13" s="470"/>
      <c r="F13" s="470"/>
    </row>
    <row r="14" spans="1:37">
      <c r="A14" s="6" t="s">
        <v>32</v>
      </c>
      <c r="B14" s="470"/>
      <c r="C14" s="470"/>
      <c r="D14" s="470"/>
      <c r="E14" s="470"/>
      <c r="F14" s="470"/>
    </row>
    <row r="15" spans="1:37">
      <c r="A15" s="6" t="s">
        <v>33</v>
      </c>
      <c r="B15" s="470"/>
      <c r="C15" s="470"/>
      <c r="D15" s="470"/>
      <c r="E15" s="470"/>
      <c r="F15" s="470"/>
    </row>
    <row r="16" spans="1:37">
      <c r="A16" s="6" t="s">
        <v>34</v>
      </c>
      <c r="B16"/>
      <c r="C16"/>
      <c r="D16"/>
      <c r="E16"/>
      <c r="F16"/>
      <c r="G16"/>
      <c r="H16"/>
      <c r="I16"/>
      <c r="J16"/>
      <c r="K16"/>
      <c r="L16"/>
      <c r="M16"/>
      <c r="N16"/>
      <c r="O16"/>
      <c r="P16"/>
      <c r="Q16"/>
      <c r="R16"/>
      <c r="S16"/>
      <c r="T16"/>
      <c r="U16"/>
      <c r="V16"/>
      <c r="W16"/>
      <c r="X16"/>
      <c r="Y16"/>
      <c r="Z16"/>
      <c r="AA16"/>
      <c r="AB16"/>
      <c r="AC16"/>
      <c r="AD16"/>
      <c r="AE16"/>
      <c r="AF16"/>
      <c r="AG16"/>
      <c r="AH16"/>
      <c r="AI16"/>
      <c r="AJ16"/>
      <c r="AK16"/>
    </row>
    <row r="17" spans="1:37">
      <c r="A17" s="6" t="s">
        <v>35</v>
      </c>
      <c r="B17"/>
      <c r="C17"/>
      <c r="D17"/>
      <c r="E17"/>
      <c r="F17"/>
      <c r="G17"/>
      <c r="H17"/>
      <c r="I17"/>
      <c r="J17"/>
      <c r="K17"/>
      <c r="L17"/>
      <c r="M17"/>
      <c r="N17"/>
      <c r="O17"/>
      <c r="P17"/>
      <c r="Q17"/>
      <c r="R17"/>
      <c r="S17"/>
      <c r="T17"/>
      <c r="U17"/>
      <c r="V17"/>
      <c r="W17"/>
      <c r="X17"/>
      <c r="Y17"/>
      <c r="Z17"/>
      <c r="AA17"/>
      <c r="AB17"/>
      <c r="AC17"/>
      <c r="AD17"/>
      <c r="AE17"/>
      <c r="AF17"/>
      <c r="AG17"/>
      <c r="AH17"/>
      <c r="AI17"/>
      <c r="AJ17"/>
      <c r="AK17"/>
    </row>
    <row r="18" spans="1:37">
      <c r="A18" s="6" t="s">
        <v>36</v>
      </c>
      <c r="B18"/>
      <c r="C18"/>
      <c r="D18"/>
      <c r="E18"/>
      <c r="F18"/>
      <c r="G18"/>
      <c r="H18"/>
      <c r="I18"/>
      <c r="J18"/>
      <c r="K18"/>
      <c r="L18"/>
      <c r="M18"/>
      <c r="N18"/>
      <c r="O18"/>
      <c r="P18"/>
      <c r="Q18"/>
      <c r="R18"/>
      <c r="S18"/>
      <c r="T18"/>
      <c r="U18"/>
      <c r="V18"/>
      <c r="W18"/>
      <c r="X18"/>
      <c r="Y18"/>
      <c r="Z18"/>
      <c r="AA18"/>
      <c r="AB18"/>
      <c r="AC18"/>
      <c r="AD18"/>
      <c r="AE18"/>
      <c r="AF18"/>
      <c r="AG18"/>
      <c r="AH18"/>
      <c r="AI18"/>
      <c r="AJ18"/>
      <c r="AK18"/>
    </row>
    <row r="19" spans="1:37">
      <c r="A19" s="6" t="s">
        <v>659</v>
      </c>
      <c r="B19"/>
      <c r="C19"/>
      <c r="D19"/>
      <c r="E19"/>
      <c r="F19"/>
      <c r="G19"/>
      <c r="H19"/>
      <c r="I19"/>
      <c r="J19"/>
      <c r="K19"/>
      <c r="L19"/>
      <c r="M19"/>
      <c r="N19"/>
      <c r="O19"/>
      <c r="P19"/>
      <c r="Q19"/>
      <c r="R19"/>
      <c r="S19"/>
      <c r="T19"/>
      <c r="U19"/>
      <c r="V19"/>
      <c r="W19"/>
      <c r="X19"/>
      <c r="Y19"/>
      <c r="Z19"/>
      <c r="AA19"/>
      <c r="AB19"/>
      <c r="AC19"/>
      <c r="AD19"/>
      <c r="AE19"/>
      <c r="AF19"/>
      <c r="AG19"/>
      <c r="AH19"/>
      <c r="AI19"/>
      <c r="AJ19"/>
      <c r="AK19"/>
    </row>
    <row r="20" spans="1:37">
      <c r="A20" s="6" t="s">
        <v>37</v>
      </c>
      <c r="B20"/>
      <c r="C20"/>
      <c r="D20"/>
      <c r="E20"/>
      <c r="F20"/>
      <c r="G20"/>
      <c r="H20"/>
      <c r="I20"/>
      <c r="J20"/>
      <c r="K20"/>
      <c r="L20"/>
      <c r="M20"/>
      <c r="N20"/>
      <c r="O20"/>
      <c r="P20"/>
      <c r="Q20"/>
      <c r="R20"/>
      <c r="S20"/>
      <c r="T20"/>
      <c r="U20"/>
      <c r="V20"/>
      <c r="W20"/>
      <c r="X20"/>
      <c r="Y20"/>
      <c r="Z20"/>
      <c r="AA20"/>
      <c r="AB20"/>
      <c r="AC20"/>
      <c r="AD20"/>
      <c r="AE20"/>
      <c r="AF20"/>
      <c r="AG20"/>
      <c r="AH20"/>
      <c r="AI20"/>
      <c r="AJ20"/>
      <c r="AK20"/>
    </row>
    <row r="21" spans="1:37">
      <c r="A21" s="6" t="s">
        <v>38</v>
      </c>
      <c r="B21"/>
      <c r="C21"/>
      <c r="D21"/>
      <c r="E21"/>
      <c r="F21"/>
      <c r="G21"/>
      <c r="H21"/>
      <c r="I21"/>
      <c r="J21"/>
      <c r="K21"/>
      <c r="L21"/>
      <c r="M21"/>
      <c r="N21"/>
      <c r="O21"/>
      <c r="P21"/>
      <c r="Q21"/>
      <c r="R21"/>
      <c r="S21"/>
      <c r="T21"/>
      <c r="U21"/>
      <c r="V21"/>
      <c r="W21"/>
      <c r="X21"/>
      <c r="Y21"/>
      <c r="Z21"/>
      <c r="AA21"/>
      <c r="AB21"/>
      <c r="AC21"/>
      <c r="AD21"/>
      <c r="AE21"/>
      <c r="AF21"/>
      <c r="AG21"/>
      <c r="AH21"/>
      <c r="AI21"/>
      <c r="AJ21"/>
      <c r="AK21"/>
    </row>
    <row r="22" spans="1:37">
      <c r="A22" s="6" t="s">
        <v>39</v>
      </c>
      <c r="B22"/>
      <c r="C22"/>
      <c r="D22"/>
      <c r="E22"/>
      <c r="F22"/>
      <c r="G22"/>
      <c r="H22"/>
      <c r="I22"/>
      <c r="J22"/>
      <c r="K22"/>
      <c r="L22"/>
      <c r="M22"/>
      <c r="N22"/>
      <c r="O22"/>
      <c r="P22"/>
      <c r="Q22"/>
      <c r="R22"/>
      <c r="S22"/>
      <c r="T22"/>
      <c r="U22"/>
      <c r="V22"/>
      <c r="W22"/>
      <c r="X22"/>
      <c r="Y22"/>
      <c r="Z22"/>
      <c r="AA22"/>
      <c r="AB22"/>
      <c r="AC22"/>
      <c r="AD22"/>
      <c r="AE22"/>
      <c r="AF22"/>
      <c r="AG22"/>
      <c r="AH22"/>
      <c r="AI22"/>
      <c r="AJ22"/>
      <c r="AK22"/>
    </row>
    <row r="23" spans="1:37">
      <c r="A23" s="6" t="s">
        <v>40</v>
      </c>
      <c r="B23"/>
      <c r="C23"/>
      <c r="D23"/>
      <c r="E23"/>
      <c r="F23"/>
      <c r="G23"/>
      <c r="H23"/>
      <c r="I23"/>
      <c r="J23"/>
      <c r="K23"/>
      <c r="L23"/>
      <c r="M23"/>
      <c r="N23"/>
      <c r="O23"/>
      <c r="P23"/>
      <c r="Q23"/>
      <c r="R23"/>
      <c r="S23"/>
      <c r="T23"/>
      <c r="U23"/>
      <c r="V23"/>
      <c r="W23"/>
      <c r="X23"/>
      <c r="Y23"/>
      <c r="Z23"/>
      <c r="AA23"/>
      <c r="AB23"/>
      <c r="AC23"/>
      <c r="AD23"/>
      <c r="AE23"/>
      <c r="AF23"/>
      <c r="AG23"/>
      <c r="AH23"/>
      <c r="AI23"/>
      <c r="AJ23"/>
      <c r="AK23"/>
    </row>
    <row r="24" spans="1:37">
      <c r="A24" s="6" t="s">
        <v>42</v>
      </c>
      <c r="B24"/>
      <c r="C24"/>
      <c r="D24"/>
      <c r="E24"/>
      <c r="F24"/>
      <c r="G24"/>
      <c r="H24"/>
      <c r="I24"/>
      <c r="J24"/>
      <c r="K24"/>
      <c r="L24"/>
      <c r="M24"/>
      <c r="N24"/>
      <c r="O24"/>
      <c r="P24"/>
      <c r="Q24"/>
      <c r="R24"/>
      <c r="S24"/>
      <c r="T24"/>
      <c r="U24"/>
      <c r="V24"/>
      <c r="W24"/>
      <c r="X24"/>
      <c r="Y24"/>
      <c r="Z24"/>
      <c r="AA24"/>
      <c r="AB24"/>
      <c r="AC24"/>
      <c r="AD24"/>
      <c r="AE24"/>
      <c r="AF24"/>
      <c r="AG24"/>
      <c r="AH24"/>
      <c r="AI24"/>
      <c r="AJ24"/>
      <c r="AK24"/>
    </row>
    <row r="25" spans="1:37">
      <c r="B25"/>
      <c r="C25"/>
      <c r="D25"/>
      <c r="E25"/>
      <c r="F25"/>
      <c r="G25"/>
      <c r="H25"/>
      <c r="I25"/>
      <c r="J25"/>
      <c r="K25"/>
      <c r="L25"/>
      <c r="M25"/>
      <c r="N25"/>
      <c r="O25"/>
      <c r="P25"/>
      <c r="Q25"/>
      <c r="R25"/>
      <c r="S25"/>
      <c r="T25"/>
      <c r="U25"/>
      <c r="V25"/>
      <c r="W25"/>
      <c r="X25"/>
      <c r="Y25"/>
      <c r="Z25"/>
      <c r="AA25"/>
      <c r="AB25"/>
      <c r="AC25"/>
      <c r="AD25"/>
      <c r="AE25"/>
      <c r="AF25"/>
      <c r="AG25"/>
      <c r="AH25"/>
      <c r="AI25"/>
      <c r="AJ25"/>
      <c r="AK25"/>
    </row>
    <row r="26" spans="1:37">
      <c r="A26" s="6" t="s">
        <v>43</v>
      </c>
      <c r="B26"/>
      <c r="C26"/>
      <c r="D26"/>
      <c r="E26"/>
      <c r="F26"/>
      <c r="G26"/>
      <c r="H26"/>
      <c r="I26"/>
      <c r="J26"/>
      <c r="K26"/>
      <c r="L26"/>
      <c r="M26"/>
      <c r="N26"/>
      <c r="O26"/>
      <c r="P26"/>
      <c r="Q26"/>
      <c r="R26"/>
      <c r="S26"/>
      <c r="T26"/>
      <c r="U26"/>
      <c r="V26"/>
      <c r="W26"/>
      <c r="X26"/>
      <c r="Y26"/>
      <c r="Z26"/>
      <c r="AA26"/>
      <c r="AB26"/>
      <c r="AC26"/>
      <c r="AD26"/>
      <c r="AE26"/>
      <c r="AF26"/>
      <c r="AG26"/>
      <c r="AH26"/>
      <c r="AI26"/>
      <c r="AJ26"/>
      <c r="AK26"/>
    </row>
    <row r="27" spans="1:37">
      <c r="A27" s="6" t="s">
        <v>34</v>
      </c>
      <c r="B27"/>
      <c r="C27"/>
      <c r="D27"/>
      <c r="E27"/>
      <c r="F27"/>
      <c r="G27"/>
      <c r="H27"/>
      <c r="I27"/>
      <c r="J27"/>
      <c r="K27"/>
      <c r="L27"/>
      <c r="M27"/>
      <c r="N27"/>
      <c r="O27"/>
      <c r="P27"/>
      <c r="Q27"/>
      <c r="R27"/>
      <c r="S27"/>
      <c r="T27"/>
      <c r="U27"/>
      <c r="V27"/>
      <c r="W27"/>
      <c r="X27"/>
      <c r="Y27"/>
      <c r="Z27"/>
      <c r="AA27"/>
      <c r="AB27"/>
      <c r="AC27"/>
      <c r="AD27"/>
      <c r="AE27"/>
      <c r="AF27"/>
      <c r="AG27"/>
      <c r="AH27"/>
      <c r="AI27"/>
      <c r="AJ27"/>
      <c r="AK27"/>
    </row>
    <row r="28" spans="1:37">
      <c r="A28" s="6" t="s">
        <v>35</v>
      </c>
      <c r="B28"/>
      <c r="C28"/>
      <c r="D28"/>
      <c r="E28"/>
      <c r="F28"/>
      <c r="G28"/>
      <c r="H28"/>
      <c r="I28"/>
      <c r="J28"/>
      <c r="K28"/>
      <c r="L28"/>
      <c r="M28"/>
      <c r="N28"/>
      <c r="O28"/>
      <c r="P28"/>
      <c r="Q28"/>
      <c r="R28"/>
      <c r="S28"/>
      <c r="T28"/>
      <c r="U28"/>
      <c r="V28"/>
      <c r="W28"/>
      <c r="X28"/>
      <c r="Y28"/>
      <c r="Z28"/>
      <c r="AA28"/>
      <c r="AB28"/>
      <c r="AC28"/>
      <c r="AD28"/>
      <c r="AE28"/>
      <c r="AF28"/>
      <c r="AG28"/>
      <c r="AH28"/>
      <c r="AI28"/>
      <c r="AJ28"/>
      <c r="AK28"/>
    </row>
    <row r="29" spans="1:37">
      <c r="A29" s="6" t="s">
        <v>660</v>
      </c>
      <c r="B29"/>
      <c r="C29"/>
      <c r="D29"/>
      <c r="E29"/>
      <c r="F29"/>
      <c r="G29"/>
      <c r="H29"/>
      <c r="I29"/>
      <c r="J29"/>
      <c r="K29"/>
      <c r="L29"/>
      <c r="M29"/>
      <c r="N29"/>
      <c r="O29"/>
      <c r="P29"/>
      <c r="Q29"/>
      <c r="R29"/>
      <c r="S29"/>
      <c r="T29"/>
      <c r="U29"/>
      <c r="V29"/>
      <c r="W29"/>
      <c r="X29"/>
      <c r="Y29"/>
      <c r="Z29"/>
      <c r="AA29"/>
      <c r="AB29"/>
      <c r="AC29"/>
      <c r="AD29"/>
      <c r="AE29"/>
      <c r="AF29"/>
      <c r="AG29"/>
      <c r="AH29"/>
      <c r="AI29"/>
      <c r="AJ29"/>
      <c r="AK29"/>
    </row>
    <row r="30" spans="1:37">
      <c r="A30" s="6" t="s">
        <v>661</v>
      </c>
      <c r="B30"/>
      <c r="C30"/>
      <c r="D30"/>
      <c r="E30"/>
      <c r="F30"/>
      <c r="G30"/>
      <c r="H30"/>
      <c r="I30"/>
      <c r="J30"/>
      <c r="K30"/>
      <c r="L30"/>
      <c r="M30"/>
      <c r="N30"/>
      <c r="O30"/>
      <c r="P30"/>
      <c r="Q30"/>
      <c r="R30"/>
      <c r="S30"/>
      <c r="T30"/>
      <c r="U30"/>
      <c r="V30"/>
      <c r="W30"/>
      <c r="X30"/>
      <c r="Y30"/>
      <c r="Z30"/>
      <c r="AA30"/>
      <c r="AB30"/>
      <c r="AC30"/>
      <c r="AD30"/>
      <c r="AE30"/>
      <c r="AF30"/>
      <c r="AG30"/>
      <c r="AH30"/>
      <c r="AI30"/>
      <c r="AJ30"/>
      <c r="AK30"/>
    </row>
    <row r="31" spans="1:37">
      <c r="A31" s="6" t="s">
        <v>44</v>
      </c>
      <c r="B31"/>
      <c r="C31"/>
      <c r="D31"/>
      <c r="E31"/>
      <c r="F31"/>
      <c r="G31"/>
      <c r="H31"/>
      <c r="I31"/>
      <c r="J31"/>
      <c r="K31"/>
      <c r="L31"/>
      <c r="M31"/>
      <c r="N31"/>
      <c r="O31"/>
      <c r="P31"/>
      <c r="Q31"/>
      <c r="R31"/>
      <c r="S31"/>
      <c r="T31"/>
      <c r="U31"/>
      <c r="V31"/>
      <c r="W31"/>
      <c r="X31"/>
      <c r="Y31"/>
      <c r="Z31"/>
      <c r="AA31"/>
      <c r="AB31"/>
      <c r="AC31"/>
      <c r="AD31"/>
      <c r="AE31"/>
      <c r="AF31"/>
      <c r="AG31"/>
      <c r="AH31"/>
      <c r="AI31"/>
      <c r="AJ31"/>
      <c r="AK31"/>
    </row>
    <row r="32" spans="1:37">
      <c r="A32" s="6" t="s">
        <v>45</v>
      </c>
      <c r="B32"/>
      <c r="C32"/>
      <c r="D32"/>
      <c r="E32"/>
      <c r="F32"/>
      <c r="G32"/>
      <c r="H32"/>
      <c r="I32"/>
      <c r="J32"/>
      <c r="K32"/>
      <c r="L32"/>
      <c r="M32"/>
      <c r="N32"/>
      <c r="O32"/>
      <c r="P32"/>
      <c r="Q32"/>
      <c r="R32"/>
      <c r="S32"/>
      <c r="T32"/>
      <c r="U32"/>
      <c r="V32"/>
      <c r="W32"/>
      <c r="X32"/>
      <c r="Y32"/>
      <c r="Z32"/>
      <c r="AA32"/>
      <c r="AB32"/>
      <c r="AC32"/>
      <c r="AD32"/>
      <c r="AE32"/>
      <c r="AF32"/>
      <c r="AG32"/>
      <c r="AH32"/>
      <c r="AI32"/>
      <c r="AJ32"/>
      <c r="AK32"/>
    </row>
    <row r="33" spans="1:39" s="18" customFormat="1">
      <c r="A33" s="17" t="s">
        <v>37</v>
      </c>
      <c r="B33"/>
      <c r="C33"/>
      <c r="D33"/>
      <c r="E33"/>
      <c r="F33"/>
      <c r="G33" s="499">
        <v>1E-4</v>
      </c>
      <c r="H33" s="499">
        <v>1E-4</v>
      </c>
      <c r="I33" s="499">
        <v>1E-4</v>
      </c>
      <c r="J33" s="499">
        <v>1E-4</v>
      </c>
      <c r="K33" s="499">
        <v>1E-4</v>
      </c>
      <c r="L33" s="499">
        <v>1E-4</v>
      </c>
      <c r="M33" s="499">
        <v>1E-4</v>
      </c>
      <c r="N33" s="499">
        <v>1E-4</v>
      </c>
      <c r="O33" s="499">
        <v>1E-4</v>
      </c>
      <c r="P33" s="499">
        <v>1E-4</v>
      </c>
      <c r="Q33" s="499">
        <v>1E-4</v>
      </c>
      <c r="R33" s="499">
        <v>1E-4</v>
      </c>
      <c r="S33" s="499">
        <v>1E-4</v>
      </c>
      <c r="T33" s="499">
        <v>1E-4</v>
      </c>
      <c r="U33" s="499">
        <v>1E-4</v>
      </c>
      <c r="V33" s="499">
        <v>1E-4</v>
      </c>
      <c r="W33" s="499">
        <v>1E-4</v>
      </c>
      <c r="X33" s="499">
        <v>1E-4</v>
      </c>
      <c r="Y33" s="499">
        <v>1E-4</v>
      </c>
      <c r="Z33" s="499">
        <v>1E-4</v>
      </c>
      <c r="AA33" s="499">
        <v>1E-4</v>
      </c>
      <c r="AB33" s="499">
        <v>1E-4</v>
      </c>
      <c r="AC33" s="499">
        <v>1E-4</v>
      </c>
      <c r="AD33" s="499">
        <v>1E-4</v>
      </c>
      <c r="AE33" s="499">
        <v>1E-4</v>
      </c>
      <c r="AF33" s="499">
        <v>1E-4</v>
      </c>
      <c r="AG33" s="499">
        <v>1E-4</v>
      </c>
      <c r="AH33" s="499">
        <v>1E-4</v>
      </c>
      <c r="AI33" s="499">
        <v>1E-4</v>
      </c>
      <c r="AJ33" s="499">
        <v>1E-4</v>
      </c>
      <c r="AK33"/>
    </row>
    <row r="34" spans="1:39" s="18" customFormat="1">
      <c r="A34" s="17" t="s">
        <v>662</v>
      </c>
      <c r="B34"/>
      <c r="C34"/>
      <c r="D34"/>
      <c r="E34"/>
      <c r="F34"/>
      <c r="G34" s="499">
        <v>1E-4</v>
      </c>
      <c r="H34" s="499">
        <v>1E-4</v>
      </c>
      <c r="I34" s="499">
        <v>1E-4</v>
      </c>
      <c r="J34" s="499">
        <v>1E-4</v>
      </c>
      <c r="K34" s="499">
        <v>1E-4</v>
      </c>
      <c r="L34" s="499">
        <v>1E-4</v>
      </c>
      <c r="M34" s="499">
        <v>1E-4</v>
      </c>
      <c r="N34" s="499">
        <v>1E-4</v>
      </c>
      <c r="O34" s="499">
        <v>1E-4</v>
      </c>
      <c r="P34" s="499">
        <v>1E-4</v>
      </c>
      <c r="Q34" s="499">
        <v>1E-4</v>
      </c>
      <c r="R34" s="499">
        <v>1E-4</v>
      </c>
      <c r="S34" s="499">
        <v>1E-4</v>
      </c>
      <c r="T34" s="499">
        <v>1E-4</v>
      </c>
      <c r="U34" s="499">
        <v>1E-4</v>
      </c>
      <c r="V34" s="499">
        <v>1E-4</v>
      </c>
      <c r="W34" s="499">
        <v>1E-4</v>
      </c>
      <c r="X34" s="499">
        <v>1E-4</v>
      </c>
      <c r="Y34" s="499">
        <v>1E-4</v>
      </c>
      <c r="Z34" s="499">
        <v>1E-4</v>
      </c>
      <c r="AA34" s="499">
        <v>1E-4</v>
      </c>
      <c r="AB34" s="499">
        <v>1E-4</v>
      </c>
      <c r="AC34" s="499">
        <v>1E-4</v>
      </c>
      <c r="AD34" s="499">
        <v>1E-4</v>
      </c>
      <c r="AE34" s="499">
        <v>1E-4</v>
      </c>
      <c r="AF34" s="499">
        <v>1E-4</v>
      </c>
      <c r="AG34" s="499">
        <v>1E-4</v>
      </c>
      <c r="AH34" s="499">
        <v>1E-4</v>
      </c>
      <c r="AI34" s="499">
        <v>1E-4</v>
      </c>
      <c r="AJ34" s="499">
        <v>1E-4</v>
      </c>
      <c r="AK34"/>
    </row>
    <row r="35" spans="1:39">
      <c r="A35" s="6" t="s">
        <v>39</v>
      </c>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row>
    <row r="36" spans="1:39" ht="15" customHeight="1">
      <c r="A36" s="6" t="s">
        <v>40</v>
      </c>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row>
    <row r="37" spans="1:39">
      <c r="A37" s="6" t="s">
        <v>42</v>
      </c>
      <c r="B37"/>
      <c r="C37"/>
      <c r="D37"/>
      <c r="E37"/>
      <c r="F37"/>
      <c r="G37"/>
      <c r="H37"/>
      <c r="I37"/>
      <c r="J37"/>
      <c r="K37"/>
      <c r="L37"/>
      <c r="M37"/>
      <c r="N37"/>
      <c r="O37"/>
      <c r="P37"/>
      <c r="Q37"/>
      <c r="R37"/>
      <c r="S37"/>
      <c r="T37"/>
      <c r="U37"/>
      <c r="V37"/>
      <c r="W37"/>
      <c r="X37"/>
      <c r="Y37"/>
      <c r="Z37"/>
      <c r="AA37"/>
      <c r="AB37"/>
      <c r="AC37"/>
      <c r="AD37"/>
      <c r="AE37"/>
      <c r="AF37"/>
      <c r="AG37"/>
      <c r="AH37"/>
      <c r="AI37"/>
      <c r="AJ37"/>
      <c r="AK37"/>
      <c r="AL37"/>
      <c r="AM37"/>
    </row>
    <row r="38" spans="1:39">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row>
    <row r="39" spans="1:39">
      <c r="A39" s="6" t="s">
        <v>663</v>
      </c>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row>
    <row r="40" spans="1:39">
      <c r="A40" s="6" t="s">
        <v>33</v>
      </c>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row>
    <row r="41" spans="1:39">
      <c r="A41" s="6" t="s">
        <v>46</v>
      </c>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row>
    <row r="42" spans="1:39">
      <c r="A42" s="6" t="s">
        <v>47</v>
      </c>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row>
    <row r="43" spans="1:39">
      <c r="A43" s="6" t="s">
        <v>664</v>
      </c>
      <c r="B43"/>
      <c r="C43"/>
      <c r="D43"/>
      <c r="E43"/>
      <c r="F43"/>
      <c r="G43"/>
      <c r="H43"/>
      <c r="I43"/>
      <c r="J43"/>
      <c r="K43"/>
      <c r="L43"/>
      <c r="M43"/>
      <c r="N43"/>
      <c r="O43"/>
      <c r="P43"/>
      <c r="Q43"/>
      <c r="R43"/>
      <c r="S43"/>
      <c r="T43"/>
      <c r="U43"/>
      <c r="V43"/>
      <c r="W43"/>
      <c r="X43"/>
      <c r="Y43"/>
      <c r="Z43"/>
      <c r="AA43"/>
      <c r="AB43"/>
      <c r="AC43"/>
      <c r="AD43"/>
      <c r="AE43"/>
      <c r="AF43"/>
      <c r="AG43"/>
      <c r="AH43"/>
      <c r="AI43"/>
      <c r="AJ43"/>
      <c r="AK43"/>
      <c r="AL43"/>
      <c r="AM43"/>
    </row>
    <row r="44" spans="1:39">
      <c r="A44" s="6" t="s">
        <v>48</v>
      </c>
      <c r="B44"/>
      <c r="C44"/>
      <c r="D44"/>
      <c r="E44"/>
      <c r="F44"/>
      <c r="G44"/>
      <c r="H44"/>
      <c r="I44"/>
      <c r="J44"/>
      <c r="K44"/>
      <c r="L44"/>
      <c r="M44"/>
      <c r="N44"/>
      <c r="O44"/>
      <c r="P44"/>
      <c r="Q44"/>
      <c r="R44"/>
      <c r="S44"/>
      <c r="T44"/>
      <c r="U44"/>
      <c r="V44"/>
      <c r="W44"/>
      <c r="X44"/>
      <c r="Y44"/>
      <c r="Z44"/>
      <c r="AA44"/>
      <c r="AB44"/>
      <c r="AC44"/>
      <c r="AD44"/>
      <c r="AE44"/>
      <c r="AF44"/>
      <c r="AG44"/>
      <c r="AH44"/>
      <c r="AI44"/>
      <c r="AJ44"/>
      <c r="AK44"/>
      <c r="AL44"/>
      <c r="AM44"/>
    </row>
    <row r="45" spans="1:39">
      <c r="A45" s="6" t="s">
        <v>662</v>
      </c>
      <c r="B45"/>
      <c r="C45"/>
      <c r="D45"/>
      <c r="E45"/>
      <c r="F45"/>
      <c r="G45"/>
      <c r="H45"/>
      <c r="I45"/>
      <c r="J45"/>
      <c r="K45"/>
      <c r="L45"/>
      <c r="M45"/>
      <c r="N45"/>
      <c r="O45"/>
      <c r="P45"/>
      <c r="Q45"/>
      <c r="R45"/>
      <c r="S45"/>
      <c r="T45"/>
      <c r="U45"/>
      <c r="V45"/>
      <c r="W45"/>
      <c r="X45"/>
      <c r="Y45"/>
      <c r="Z45"/>
      <c r="AA45"/>
      <c r="AB45"/>
      <c r="AC45"/>
      <c r="AD45"/>
      <c r="AE45"/>
      <c r="AF45"/>
      <c r="AG45"/>
      <c r="AH45"/>
      <c r="AI45"/>
      <c r="AJ45"/>
      <c r="AK45"/>
      <c r="AL45"/>
      <c r="AM45"/>
    </row>
    <row r="46" spans="1:39">
      <c r="A46" s="6" t="s">
        <v>39</v>
      </c>
      <c r="B46"/>
      <c r="C46"/>
      <c r="D46"/>
      <c r="E46"/>
      <c r="F46"/>
      <c r="G46"/>
      <c r="H46"/>
      <c r="I46"/>
      <c r="J46"/>
      <c r="K46"/>
      <c r="L46"/>
      <c r="M46"/>
      <c r="N46"/>
      <c r="O46"/>
      <c r="P46"/>
      <c r="Q46"/>
      <c r="R46"/>
      <c r="S46"/>
      <c r="T46"/>
      <c r="U46"/>
      <c r="V46"/>
      <c r="W46"/>
      <c r="X46"/>
      <c r="Y46"/>
      <c r="Z46"/>
      <c r="AA46"/>
      <c r="AB46"/>
      <c r="AC46"/>
      <c r="AD46"/>
      <c r="AE46"/>
      <c r="AF46"/>
      <c r="AG46"/>
      <c r="AH46"/>
      <c r="AI46"/>
      <c r="AJ46"/>
      <c r="AK46"/>
      <c r="AL46"/>
      <c r="AM46"/>
    </row>
    <row r="47" spans="1:39">
      <c r="A47" s="6" t="s">
        <v>42</v>
      </c>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row>
    <row r="48" spans="1:39">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row>
    <row r="49" spans="1:39">
      <c r="A49" s="6" t="s">
        <v>43</v>
      </c>
      <c r="B49"/>
      <c r="C49"/>
      <c r="D49"/>
      <c r="E49"/>
      <c r="F49"/>
      <c r="G49"/>
      <c r="H49"/>
      <c r="I49"/>
      <c r="J49"/>
      <c r="K49"/>
      <c r="L49"/>
      <c r="M49"/>
      <c r="N49"/>
      <c r="O49"/>
      <c r="P49"/>
      <c r="Q49"/>
      <c r="R49"/>
      <c r="S49"/>
      <c r="T49"/>
      <c r="U49"/>
      <c r="V49"/>
      <c r="W49"/>
      <c r="X49"/>
      <c r="Y49"/>
      <c r="Z49"/>
      <c r="AA49"/>
      <c r="AB49"/>
      <c r="AC49"/>
      <c r="AD49"/>
      <c r="AE49"/>
      <c r="AF49"/>
      <c r="AG49"/>
      <c r="AH49"/>
      <c r="AI49"/>
      <c r="AJ49"/>
      <c r="AK49"/>
      <c r="AL49"/>
      <c r="AM49"/>
    </row>
    <row r="50" spans="1:39">
      <c r="A50" s="6" t="s">
        <v>46</v>
      </c>
      <c r="B50"/>
      <c r="C50"/>
      <c r="D50"/>
      <c r="E50"/>
      <c r="F50"/>
      <c r="G50"/>
      <c r="H50"/>
      <c r="I50"/>
      <c r="J50"/>
      <c r="K50"/>
      <c r="L50"/>
      <c r="M50"/>
      <c r="N50"/>
      <c r="O50"/>
      <c r="P50"/>
      <c r="Q50"/>
      <c r="R50"/>
      <c r="S50"/>
      <c r="T50"/>
      <c r="U50"/>
      <c r="V50"/>
      <c r="W50"/>
      <c r="X50"/>
      <c r="Y50"/>
      <c r="Z50"/>
      <c r="AA50"/>
      <c r="AB50"/>
      <c r="AC50"/>
      <c r="AD50"/>
      <c r="AE50"/>
      <c r="AF50"/>
      <c r="AG50"/>
      <c r="AH50"/>
      <c r="AI50"/>
      <c r="AJ50"/>
      <c r="AK50"/>
      <c r="AL50"/>
      <c r="AM50"/>
    </row>
    <row r="51" spans="1:39">
      <c r="A51" s="6" t="s">
        <v>47</v>
      </c>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row>
    <row r="52" spans="1:39">
      <c r="A52" s="6" t="s">
        <v>664</v>
      </c>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row>
    <row r="53" spans="1:39">
      <c r="A53" s="6" t="s">
        <v>48</v>
      </c>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row>
    <row r="54" spans="1:39" s="18" customFormat="1">
      <c r="A54" s="17" t="s">
        <v>662</v>
      </c>
      <c r="B54"/>
      <c r="C54"/>
      <c r="D54"/>
      <c r="E54"/>
      <c r="F54"/>
      <c r="G54" s="499">
        <v>1E-4</v>
      </c>
      <c r="H54" s="499">
        <v>1E-4</v>
      </c>
      <c r="I54" s="499">
        <v>1E-4</v>
      </c>
      <c r="J54" s="499">
        <v>1E-4</v>
      </c>
      <c r="K54" s="499">
        <v>1E-4</v>
      </c>
      <c r="L54" s="499">
        <v>1E-4</v>
      </c>
      <c r="M54" s="499">
        <v>1E-4</v>
      </c>
      <c r="N54" s="499">
        <v>1E-4</v>
      </c>
      <c r="O54" s="499">
        <v>1E-4</v>
      </c>
      <c r="P54" s="499">
        <v>1E-4</v>
      </c>
      <c r="Q54" s="499">
        <v>1E-4</v>
      </c>
      <c r="R54" s="499">
        <v>1E-4</v>
      </c>
      <c r="S54" s="499">
        <v>1E-4</v>
      </c>
      <c r="T54" s="499">
        <v>1E-4</v>
      </c>
      <c r="U54" s="499">
        <v>1E-4</v>
      </c>
      <c r="V54" s="499">
        <v>1E-4</v>
      </c>
      <c r="W54" s="499">
        <v>1E-4</v>
      </c>
      <c r="X54" s="499">
        <v>1E-4</v>
      </c>
      <c r="Y54" s="499">
        <v>1E-4</v>
      </c>
      <c r="Z54" s="499">
        <v>1E-4</v>
      </c>
      <c r="AA54" s="499">
        <v>1E-4</v>
      </c>
      <c r="AB54" s="499">
        <v>1E-4</v>
      </c>
      <c r="AC54" s="499">
        <v>1E-4</v>
      </c>
      <c r="AD54" s="499">
        <v>1E-4</v>
      </c>
      <c r="AE54" s="499">
        <v>1E-4</v>
      </c>
      <c r="AF54" s="499">
        <v>1E-4</v>
      </c>
      <c r="AG54" s="499">
        <v>1E-4</v>
      </c>
      <c r="AH54" s="499">
        <v>1E-4</v>
      </c>
      <c r="AI54" s="499">
        <v>1E-4</v>
      </c>
      <c r="AJ54" s="499">
        <v>1E-4</v>
      </c>
      <c r="AK54" s="503">
        <v>9.9000000000000005E-2</v>
      </c>
    </row>
    <row r="55" spans="1:39">
      <c r="A55" s="6" t="s">
        <v>39</v>
      </c>
      <c r="B55"/>
      <c r="C55"/>
      <c r="D55"/>
      <c r="E55"/>
      <c r="F55"/>
      <c r="G55"/>
      <c r="H55"/>
      <c r="I55"/>
      <c r="J55"/>
      <c r="K55"/>
      <c r="L55"/>
      <c r="M55"/>
      <c r="N55"/>
      <c r="O55"/>
      <c r="P55"/>
      <c r="Q55"/>
      <c r="R55"/>
      <c r="S55"/>
      <c r="T55"/>
      <c r="U55"/>
      <c r="V55"/>
      <c r="W55"/>
      <c r="X55"/>
      <c r="Y55"/>
      <c r="Z55"/>
      <c r="AA55"/>
      <c r="AB55"/>
      <c r="AC55"/>
      <c r="AD55"/>
      <c r="AE55"/>
      <c r="AF55"/>
      <c r="AG55"/>
      <c r="AH55"/>
      <c r="AI55"/>
      <c r="AJ55"/>
      <c r="AK55"/>
    </row>
    <row r="56" spans="1:39">
      <c r="A56" s="6" t="s">
        <v>42</v>
      </c>
      <c r="B56"/>
      <c r="C56"/>
      <c r="D56"/>
      <c r="E56"/>
      <c r="F56"/>
      <c r="G56"/>
      <c r="H56"/>
      <c r="I56"/>
      <c r="J56"/>
      <c r="K56"/>
      <c r="L56"/>
      <c r="M56"/>
      <c r="N56"/>
      <c r="O56"/>
      <c r="P56"/>
      <c r="Q56"/>
      <c r="R56"/>
      <c r="S56"/>
      <c r="T56"/>
      <c r="U56"/>
      <c r="V56"/>
      <c r="W56"/>
      <c r="X56"/>
      <c r="Y56"/>
      <c r="Z56"/>
      <c r="AA56"/>
      <c r="AB56"/>
      <c r="AC56"/>
      <c r="AD56"/>
      <c r="AE56"/>
      <c r="AF56"/>
      <c r="AG56"/>
      <c r="AH56"/>
      <c r="AI56"/>
      <c r="AJ56"/>
      <c r="AK56"/>
    </row>
    <row r="57" spans="1:39" s="251" customFormat="1">
      <c r="A57" s="251" t="s">
        <v>350</v>
      </c>
      <c r="B57"/>
      <c r="C57"/>
      <c r="D57"/>
      <c r="E57"/>
      <c r="F57"/>
      <c r="G57"/>
      <c r="H57"/>
      <c r="I57"/>
      <c r="J57"/>
      <c r="K57"/>
      <c r="L57"/>
      <c r="M57"/>
      <c r="N57"/>
      <c r="O57"/>
      <c r="P57"/>
      <c r="Q57"/>
      <c r="R57"/>
      <c r="S57"/>
      <c r="T57"/>
      <c r="U57"/>
      <c r="V57"/>
      <c r="W57"/>
      <c r="X57"/>
      <c r="Y57"/>
      <c r="Z57"/>
      <c r="AA57"/>
      <c r="AB57"/>
      <c r="AC57"/>
      <c r="AD57"/>
      <c r="AE57"/>
      <c r="AF57"/>
      <c r="AG57"/>
      <c r="AH57"/>
      <c r="AI57"/>
      <c r="AJ57"/>
      <c r="AK57"/>
    </row>
    <row r="58" spans="1:39" s="251" customFormat="1">
      <c r="A58" s="250" t="s">
        <v>349</v>
      </c>
      <c r="B58"/>
      <c r="C58"/>
      <c r="D58"/>
      <c r="E58"/>
      <c r="F58"/>
      <c r="G58"/>
      <c r="H58"/>
      <c r="I58"/>
      <c r="J58"/>
      <c r="K58"/>
      <c r="L58"/>
      <c r="M58"/>
      <c r="N58"/>
      <c r="O58"/>
      <c r="P58"/>
      <c r="Q58"/>
      <c r="R58"/>
      <c r="S58"/>
      <c r="T58"/>
      <c r="U58"/>
      <c r="V58"/>
      <c r="W58"/>
      <c r="X58"/>
      <c r="Y58"/>
      <c r="Z58"/>
      <c r="AA58"/>
      <c r="AB58"/>
      <c r="AC58"/>
      <c r="AD58"/>
      <c r="AE58"/>
      <c r="AF58"/>
      <c r="AG58"/>
      <c r="AH58"/>
      <c r="AI58"/>
      <c r="AJ58"/>
      <c r="AK58"/>
    </row>
    <row r="59" spans="1:39">
      <c r="A59" s="6" t="s">
        <v>748</v>
      </c>
      <c r="B59"/>
      <c r="C59"/>
      <c r="D59"/>
      <c r="E59"/>
      <c r="F59"/>
      <c r="G59"/>
      <c r="H59"/>
      <c r="I59"/>
      <c r="J59"/>
      <c r="K59"/>
      <c r="L59"/>
      <c r="M59"/>
      <c r="N59"/>
      <c r="O59"/>
      <c r="P59"/>
      <c r="Q59"/>
      <c r="R59"/>
      <c r="S59"/>
      <c r="T59"/>
      <c r="U59"/>
      <c r="V59"/>
      <c r="W59"/>
      <c r="X59"/>
      <c r="Y59"/>
      <c r="Z59"/>
      <c r="AA59"/>
      <c r="AB59"/>
      <c r="AC59"/>
      <c r="AD59"/>
      <c r="AE59"/>
      <c r="AF59"/>
      <c r="AG59"/>
      <c r="AH59"/>
      <c r="AI59"/>
      <c r="AJ59"/>
      <c r="AK59"/>
      <c r="AL59" s="18" t="s">
        <v>741</v>
      </c>
      <c r="AM59" s="18" t="s">
        <v>757</v>
      </c>
    </row>
    <row r="60" spans="1:39">
      <c r="A60" s="501" t="s">
        <v>734</v>
      </c>
      <c r="G60" s="499">
        <v>44.842190000000002</v>
      </c>
      <c r="H60" s="499">
        <v>36.483971000000004</v>
      </c>
      <c r="I60" s="499">
        <v>46.312049000000002</v>
      </c>
      <c r="J60" s="499">
        <v>47.425668000000002</v>
      </c>
      <c r="K60" s="499">
        <v>48.408583</v>
      </c>
      <c r="L60" s="499">
        <v>49.257862000000003</v>
      </c>
      <c r="M60" s="499">
        <v>49.834113000000002</v>
      </c>
      <c r="N60" s="499">
        <v>49.834088000000008</v>
      </c>
      <c r="O60" s="499">
        <v>49.834101000000004</v>
      </c>
      <c r="P60" s="499">
        <v>49.834088000000008</v>
      </c>
      <c r="Q60" s="499">
        <v>49.834100000000007</v>
      </c>
      <c r="R60" s="499">
        <v>49.834065000000002</v>
      </c>
      <c r="S60" s="499">
        <v>50.109192</v>
      </c>
      <c r="T60" s="499">
        <v>50.109172000000001</v>
      </c>
      <c r="U60" s="499">
        <v>50.109192999999998</v>
      </c>
      <c r="V60" s="499">
        <v>50.213749</v>
      </c>
      <c r="W60" s="499">
        <v>50.276525999999997</v>
      </c>
      <c r="X60" s="499">
        <v>50.631925000000003</v>
      </c>
      <c r="Y60" s="499">
        <v>50.979087999999997</v>
      </c>
      <c r="Z60" s="499">
        <v>51.366464999999991</v>
      </c>
      <c r="AA60" s="499">
        <v>51.366472000000002</v>
      </c>
      <c r="AB60" s="499">
        <v>51.591163000000002</v>
      </c>
      <c r="AC60" s="499">
        <v>51.591174000000002</v>
      </c>
      <c r="AD60" s="499">
        <v>51.591174000000002</v>
      </c>
      <c r="AE60" s="499">
        <v>51.804420999999998</v>
      </c>
      <c r="AF60" s="499">
        <v>51.952124000000005</v>
      </c>
      <c r="AG60" s="499">
        <v>51.952144000000004</v>
      </c>
      <c r="AH60" s="499">
        <v>52.086152999999996</v>
      </c>
      <c r="AI60" s="499">
        <v>52.086151999999998</v>
      </c>
      <c r="AJ60" s="499">
        <v>52.086157000000007</v>
      </c>
      <c r="AK60" s="503">
        <v>4.0000000000000001E-3</v>
      </c>
      <c r="AL60" s="508" t="s">
        <v>728</v>
      </c>
      <c r="AM60" s="29">
        <v>9.9999999999999995E-7</v>
      </c>
    </row>
    <row r="61" spans="1:39">
      <c r="A61" s="501" t="s">
        <v>735</v>
      </c>
      <c r="G61" s="499">
        <v>4.0118830000000001</v>
      </c>
      <c r="H61" s="499">
        <v>3.7581989999999998</v>
      </c>
      <c r="I61" s="499">
        <v>4.1090540000000004</v>
      </c>
      <c r="J61" s="499">
        <v>4.10907</v>
      </c>
      <c r="K61" s="499">
        <v>4.1077979999999998</v>
      </c>
      <c r="L61" s="499">
        <v>4.100117</v>
      </c>
      <c r="M61" s="499">
        <v>4.5077809999999996</v>
      </c>
      <c r="N61" s="499">
        <v>4.9009479999999996</v>
      </c>
      <c r="O61" s="499">
        <v>4.9156639999999996</v>
      </c>
      <c r="P61" s="499">
        <v>4.9143330000000001</v>
      </c>
      <c r="Q61" s="499">
        <v>4.9132239999999996</v>
      </c>
      <c r="R61" s="499">
        <v>4.9197499999999996</v>
      </c>
      <c r="S61" s="499">
        <v>4.9287999999999998</v>
      </c>
      <c r="T61" s="499">
        <v>4.9247540000000001</v>
      </c>
      <c r="U61" s="499">
        <v>4.9286719999999997</v>
      </c>
      <c r="V61" s="499">
        <v>4.927543</v>
      </c>
      <c r="W61" s="499">
        <v>5.3101979999999998</v>
      </c>
      <c r="X61" s="499">
        <v>5.5501300000000002</v>
      </c>
      <c r="Y61" s="499">
        <v>5.5720200000000002</v>
      </c>
      <c r="Z61" s="499">
        <v>5.8294079999999999</v>
      </c>
      <c r="AA61" s="499">
        <v>6.0471729999999999</v>
      </c>
      <c r="AB61" s="499">
        <v>6.0445359999999999</v>
      </c>
      <c r="AC61" s="499">
        <v>6.0421290000000001</v>
      </c>
      <c r="AD61" s="499">
        <v>6.0397999999999996</v>
      </c>
      <c r="AE61" s="499">
        <v>6.0375639999999997</v>
      </c>
      <c r="AF61" s="499">
        <v>6.0354029999999996</v>
      </c>
      <c r="AG61" s="499">
        <v>6.0333230000000002</v>
      </c>
      <c r="AH61" s="499">
        <v>6.0313509999999999</v>
      </c>
      <c r="AI61" s="499">
        <v>6.0293979999999996</v>
      </c>
      <c r="AJ61" s="499">
        <v>6.0275829999999999</v>
      </c>
      <c r="AK61" s="499" t="s">
        <v>41</v>
      </c>
      <c r="AL61" s="508" t="s">
        <v>729</v>
      </c>
      <c r="AM61" s="29">
        <v>2.7822028672885395E-2</v>
      </c>
    </row>
    <row r="62" spans="1:39">
      <c r="A62" s="501" t="s">
        <v>736</v>
      </c>
      <c r="G62" s="499">
        <v>1.339353</v>
      </c>
      <c r="H62" s="499">
        <v>1.3868399999999999</v>
      </c>
      <c r="I62" s="499">
        <v>1.1280109999999999</v>
      </c>
      <c r="J62" s="499">
        <v>1.213775</v>
      </c>
      <c r="K62" s="499">
        <v>1.1110189999999998</v>
      </c>
      <c r="L62" s="499">
        <v>1.299696</v>
      </c>
      <c r="M62" s="499">
        <v>1.308611</v>
      </c>
      <c r="N62" s="499">
        <v>1.308832</v>
      </c>
      <c r="O62" s="499">
        <v>1.300244</v>
      </c>
      <c r="P62" s="499">
        <v>1.2998630000000002</v>
      </c>
      <c r="Q62" s="499">
        <v>1.2996369999999999</v>
      </c>
      <c r="R62" s="499">
        <v>1.3080210000000001</v>
      </c>
      <c r="S62" s="499">
        <v>1.2992279999999998</v>
      </c>
      <c r="T62" s="499">
        <v>1.299032</v>
      </c>
      <c r="U62" s="499">
        <v>1.3074349999999999</v>
      </c>
      <c r="V62" s="499">
        <v>1.284637</v>
      </c>
      <c r="W62" s="499">
        <v>1.298103</v>
      </c>
      <c r="X62" s="499">
        <v>1.297704</v>
      </c>
      <c r="Y62" s="499">
        <v>1.2972440000000001</v>
      </c>
      <c r="Z62" s="499">
        <v>1.296748</v>
      </c>
      <c r="AA62" s="499">
        <v>1.296254</v>
      </c>
      <c r="AB62" s="499">
        <v>1.304459</v>
      </c>
      <c r="AC62" s="499">
        <v>1.3161710000000002</v>
      </c>
      <c r="AD62" s="499">
        <v>1.3335859999999999</v>
      </c>
      <c r="AE62" s="499">
        <v>1.333243</v>
      </c>
      <c r="AF62" s="499">
        <v>1.3329070000000001</v>
      </c>
      <c r="AG62" s="499">
        <v>1.3581589999999999</v>
      </c>
      <c r="AH62" s="499">
        <v>1.3578999999999999</v>
      </c>
      <c r="AI62" s="499">
        <v>1.3576220000000001</v>
      </c>
      <c r="AJ62" s="499">
        <v>1.3573469999999999</v>
      </c>
      <c r="AK62" s="503">
        <v>4.0000000000000001E-3</v>
      </c>
      <c r="AL62" s="508" t="s">
        <v>730</v>
      </c>
      <c r="AM62" s="29">
        <v>0</v>
      </c>
    </row>
    <row r="63" spans="1:39">
      <c r="A63" s="501" t="s">
        <v>737</v>
      </c>
      <c r="G63" s="499">
        <v>14.945162</v>
      </c>
      <c r="H63" s="499">
        <v>14.431946</v>
      </c>
      <c r="I63" s="499">
        <v>15.985713000000001</v>
      </c>
      <c r="J63" s="499">
        <v>16.447120999999999</v>
      </c>
      <c r="K63" s="499">
        <v>17.050978000000001</v>
      </c>
      <c r="L63" s="499">
        <v>18.040935000000001</v>
      </c>
      <c r="M63" s="499">
        <v>19.565261</v>
      </c>
      <c r="N63" s="499">
        <v>20.441119</v>
      </c>
      <c r="O63" s="499">
        <v>21.262525000000004</v>
      </c>
      <c r="P63" s="499">
        <v>22.308201</v>
      </c>
      <c r="Q63" s="499">
        <v>23.922165</v>
      </c>
      <c r="R63" s="499">
        <v>25.017121999999997</v>
      </c>
      <c r="S63" s="499">
        <v>28.156784999999999</v>
      </c>
      <c r="T63" s="499">
        <v>29.380445999999999</v>
      </c>
      <c r="U63" s="499">
        <v>33.175676000000003</v>
      </c>
      <c r="V63" s="499">
        <v>34.292058000000004</v>
      </c>
      <c r="W63" s="499">
        <v>35.052129999999998</v>
      </c>
      <c r="X63" s="499">
        <v>35.761009999999999</v>
      </c>
      <c r="Y63" s="499">
        <v>40.052028999999997</v>
      </c>
      <c r="Z63" s="499">
        <v>40.702837000000002</v>
      </c>
      <c r="AA63" s="499">
        <v>41.248019000000006</v>
      </c>
      <c r="AB63" s="499">
        <v>41.657182000000006</v>
      </c>
      <c r="AC63" s="499">
        <v>42.205671000000002</v>
      </c>
      <c r="AD63" s="499">
        <v>42.836480000000002</v>
      </c>
      <c r="AE63" s="499">
        <v>43.374407999999995</v>
      </c>
      <c r="AF63" s="499">
        <v>44.123406000000003</v>
      </c>
      <c r="AG63" s="499">
        <v>44.932203999999999</v>
      </c>
      <c r="AH63" s="499">
        <v>45.863558999999995</v>
      </c>
      <c r="AI63" s="499">
        <v>46.833663999999999</v>
      </c>
      <c r="AJ63" s="499">
        <v>47.706866999999995</v>
      </c>
      <c r="AK63" s="503">
        <v>1.7999999999999999E-2</v>
      </c>
      <c r="AL63" s="508" t="s">
        <v>143</v>
      </c>
      <c r="AM63" s="29">
        <v>9.9999999999999995E-8</v>
      </c>
    </row>
    <row r="64" spans="1:39">
      <c r="A64" s="501" t="s">
        <v>738</v>
      </c>
      <c r="G64" s="499">
        <v>1.0267039999999998</v>
      </c>
      <c r="H64" s="499">
        <v>2.8537889999999999</v>
      </c>
      <c r="I64" s="499">
        <v>4.2529700000000004</v>
      </c>
      <c r="J64" s="499">
        <v>6.6156470000000001</v>
      </c>
      <c r="K64" s="499">
        <v>7.8609019999999994</v>
      </c>
      <c r="L64" s="499">
        <v>8.632753000000001</v>
      </c>
      <c r="M64" s="499">
        <v>8.6597589999999993</v>
      </c>
      <c r="N64" s="499">
        <v>8.7042290000000015</v>
      </c>
      <c r="O64" s="499">
        <v>8.7542929999999988</v>
      </c>
      <c r="P64" s="499">
        <v>8.8394560000000002</v>
      </c>
      <c r="Q64" s="499">
        <v>8.9440819999999999</v>
      </c>
      <c r="R64" s="499">
        <v>9.0665030000000009</v>
      </c>
      <c r="S64" s="499">
        <v>9.2123340000000002</v>
      </c>
      <c r="T64" s="499">
        <v>9.3902070000000002</v>
      </c>
      <c r="U64" s="499">
        <v>9.6184659999999997</v>
      </c>
      <c r="V64" s="499">
        <v>9.8824939999999994</v>
      </c>
      <c r="W64" s="499">
        <v>10.192751000000001</v>
      </c>
      <c r="X64" s="499">
        <v>10.572926000000001</v>
      </c>
      <c r="Y64" s="499">
        <v>11.015145</v>
      </c>
      <c r="Z64" s="499">
        <v>11.577275</v>
      </c>
      <c r="AA64" s="499">
        <v>12.280673999999999</v>
      </c>
      <c r="AB64" s="499">
        <v>12.961821</v>
      </c>
      <c r="AC64" s="499">
        <v>13.529388999999998</v>
      </c>
      <c r="AD64" s="499">
        <v>14.326228</v>
      </c>
      <c r="AE64" s="499">
        <v>15.365499</v>
      </c>
      <c r="AF64" s="499">
        <v>16.162962</v>
      </c>
      <c r="AG64" s="499">
        <v>16.775990999999998</v>
      </c>
      <c r="AH64" s="499">
        <v>17.386566999999999</v>
      </c>
      <c r="AI64" s="499">
        <v>18.015301000000001</v>
      </c>
      <c r="AJ64" s="499">
        <v>18.662105999999998</v>
      </c>
      <c r="AK64" s="503">
        <v>7.0000000000000007E-2</v>
      </c>
      <c r="AL64" s="508" t="s">
        <v>731</v>
      </c>
      <c r="AM64" s="29">
        <v>0.1834825822065432</v>
      </c>
    </row>
    <row r="65" spans="1:44">
      <c r="A65" s="501" t="s">
        <v>739</v>
      </c>
      <c r="G65" s="499">
        <v>38.983921000000002</v>
      </c>
      <c r="H65" s="499">
        <v>43.605923000000004</v>
      </c>
      <c r="I65" s="499">
        <v>46.780897999999993</v>
      </c>
      <c r="J65" s="499">
        <v>47.040753000000002</v>
      </c>
      <c r="K65" s="499">
        <v>59.372954</v>
      </c>
      <c r="L65" s="499">
        <v>67.38064</v>
      </c>
      <c r="M65" s="499">
        <v>67.380969999999991</v>
      </c>
      <c r="N65" s="499">
        <v>67.37115399999999</v>
      </c>
      <c r="O65" s="499">
        <v>67.38362699999999</v>
      </c>
      <c r="P65" s="499">
        <v>67.38749</v>
      </c>
      <c r="Q65" s="499">
        <v>67.393857999999994</v>
      </c>
      <c r="R65" s="499">
        <v>67.421112999999991</v>
      </c>
      <c r="S65" s="499">
        <v>67.413719</v>
      </c>
      <c r="T65" s="499">
        <v>67.409741999999994</v>
      </c>
      <c r="U65" s="499">
        <v>67.406160999999997</v>
      </c>
      <c r="V65" s="499">
        <v>67.415046000000004</v>
      </c>
      <c r="W65" s="499">
        <v>67.43121099999999</v>
      </c>
      <c r="X65" s="499">
        <v>67.428821999999997</v>
      </c>
      <c r="Y65" s="499">
        <v>67.500607000000002</v>
      </c>
      <c r="Z65" s="499">
        <v>67.593868000000001</v>
      </c>
      <c r="AA65" s="499">
        <v>67.692881</v>
      </c>
      <c r="AB65" s="499">
        <v>67.802678</v>
      </c>
      <c r="AC65" s="499">
        <v>67.932296000000008</v>
      </c>
      <c r="AD65" s="499">
        <v>68.157133000000002</v>
      </c>
      <c r="AE65" s="499">
        <v>68.263564000000002</v>
      </c>
      <c r="AF65" s="499">
        <v>68.268462999999997</v>
      </c>
      <c r="AG65" s="499">
        <v>68.581467000000004</v>
      </c>
      <c r="AH65" s="499">
        <v>68.813840999999996</v>
      </c>
      <c r="AI65" s="499">
        <v>69.208895999999996</v>
      </c>
      <c r="AJ65" s="499">
        <v>69.860670999999996</v>
      </c>
      <c r="AK65" s="503">
        <v>7.2999999999999995E-2</v>
      </c>
      <c r="AL65" s="508" t="s">
        <v>732</v>
      </c>
      <c r="AM65" s="29">
        <v>9.9999999999999995E-7</v>
      </c>
    </row>
    <row r="66" spans="1:44">
      <c r="A66" s="502" t="s">
        <v>740</v>
      </c>
      <c r="G66" s="500">
        <v>105.14921200000001</v>
      </c>
      <c r="H66" s="500">
        <v>102.52066500000001</v>
      </c>
      <c r="I66" s="500">
        <v>118.56869200000001</v>
      </c>
      <c r="J66" s="500">
        <v>122.85203200000001</v>
      </c>
      <c r="K66" s="500">
        <v>137.912237</v>
      </c>
      <c r="L66" s="500">
        <v>148.712006</v>
      </c>
      <c r="M66" s="500">
        <v>151.256494</v>
      </c>
      <c r="N66" s="500">
        <v>152.560371</v>
      </c>
      <c r="O66" s="500">
        <v>153.450457</v>
      </c>
      <c r="P66" s="500">
        <v>154.583426</v>
      </c>
      <c r="Q66" s="500">
        <v>156.307063</v>
      </c>
      <c r="R66" s="500">
        <v>157.56657100000001</v>
      </c>
      <c r="S66" s="500">
        <v>161.12006099999996</v>
      </c>
      <c r="T66" s="500">
        <v>162.51335699999998</v>
      </c>
      <c r="U66" s="500">
        <v>166.54560699999999</v>
      </c>
      <c r="V66" s="500">
        <v>168.015525</v>
      </c>
      <c r="W66" s="500">
        <v>169.56092100000001</v>
      </c>
      <c r="X66" s="500">
        <v>171.242514</v>
      </c>
      <c r="Y66" s="500">
        <v>176.41612999999995</v>
      </c>
      <c r="Z66" s="500">
        <v>178.366603</v>
      </c>
      <c r="AA66" s="500">
        <v>179.93147900000002</v>
      </c>
      <c r="AB66" s="500">
        <v>181.361839</v>
      </c>
      <c r="AC66" s="500">
        <v>182.616829</v>
      </c>
      <c r="AD66" s="500">
        <v>184.28439900000001</v>
      </c>
      <c r="AE66" s="500">
        <v>186.17869400000001</v>
      </c>
      <c r="AF66" s="500">
        <v>187.87526300000002</v>
      </c>
      <c r="AG66" s="500">
        <v>189.63328299999998</v>
      </c>
      <c r="AH66" s="500">
        <v>191.53937300000001</v>
      </c>
      <c r="AI66" s="500">
        <v>193.53103399999998</v>
      </c>
      <c r="AJ66" s="500">
        <v>195.70073199999999</v>
      </c>
      <c r="AK66" s="504">
        <v>2.1999999999999999E-2</v>
      </c>
      <c r="AL66" s="508" t="s">
        <v>733</v>
      </c>
      <c r="AM66" s="29">
        <v>0.23465069952323594</v>
      </c>
    </row>
    <row r="67" spans="1:44">
      <c r="A67" s="510"/>
      <c r="B67"/>
      <c r="C67"/>
      <c r="D67"/>
      <c r="E67"/>
      <c r="F67"/>
      <c r="G67"/>
      <c r="H67"/>
      <c r="I67"/>
      <c r="J67"/>
      <c r="K67"/>
      <c r="L67"/>
      <c r="M67"/>
      <c r="N67"/>
      <c r="O67"/>
      <c r="P67"/>
      <c r="Q67"/>
      <c r="R67"/>
      <c r="S67"/>
      <c r="T67"/>
      <c r="U67"/>
      <c r="V67"/>
      <c r="W67"/>
      <c r="X67"/>
      <c r="Y67"/>
      <c r="Z67"/>
      <c r="AA67"/>
      <c r="AB67"/>
      <c r="AC67"/>
      <c r="AD67"/>
      <c r="AE67"/>
      <c r="AF67"/>
      <c r="AG67"/>
      <c r="AH67"/>
      <c r="AI67"/>
      <c r="AJ67"/>
      <c r="AK67"/>
      <c r="AL67" s="509" t="s">
        <v>58</v>
      </c>
      <c r="AM67" s="29">
        <v>5.4134690685987044E-2</v>
      </c>
    </row>
    <row r="68" spans="1:44">
      <c r="A68" s="6" t="s">
        <v>54</v>
      </c>
      <c r="B68"/>
      <c r="C68"/>
      <c r="D68"/>
      <c r="E68"/>
      <c r="F68"/>
      <c r="G68"/>
      <c r="H68"/>
      <c r="I68"/>
      <c r="J68"/>
      <c r="K68"/>
      <c r="L68"/>
      <c r="M68"/>
      <c r="N68"/>
      <c r="O68"/>
      <c r="P68"/>
      <c r="Q68"/>
      <c r="R68"/>
      <c r="S68"/>
      <c r="T68"/>
      <c r="U68"/>
      <c r="V68"/>
      <c r="W68"/>
      <c r="X68"/>
      <c r="Y68"/>
      <c r="Z68"/>
      <c r="AA68"/>
      <c r="AB68"/>
      <c r="AC68"/>
      <c r="AD68"/>
      <c r="AE68"/>
      <c r="AF68"/>
      <c r="AG68"/>
      <c r="AH68"/>
      <c r="AI68"/>
      <c r="AJ68"/>
      <c r="AK68"/>
      <c r="AL68"/>
      <c r="AM68"/>
    </row>
    <row r="69" spans="1:44">
      <c r="A69" s="6"/>
      <c r="B69" s="471"/>
      <c r="C69" s="471"/>
      <c r="D69" s="471"/>
      <c r="E69" s="471"/>
      <c r="F69" s="471"/>
      <c r="G69" s="317"/>
      <c r="H69" s="317"/>
      <c r="I69" s="317"/>
      <c r="J69" s="317"/>
      <c r="K69" s="317"/>
      <c r="L69" s="317"/>
      <c r="M69" s="317"/>
      <c r="N69" s="317"/>
      <c r="O69" s="317"/>
      <c r="P69" s="317"/>
      <c r="Q69" s="317"/>
      <c r="R69" s="317"/>
      <c r="S69" s="317"/>
      <c r="T69" s="317"/>
      <c r="U69" s="317"/>
      <c r="V69" s="317"/>
      <c r="W69" s="317"/>
      <c r="X69" s="317"/>
      <c r="Y69" s="317"/>
      <c r="Z69" s="317"/>
      <c r="AA69" s="317"/>
      <c r="AB69" s="317"/>
      <c r="AC69" s="317"/>
      <c r="AD69" s="317"/>
      <c r="AE69" s="317"/>
      <c r="AF69" s="317"/>
      <c r="AG69" s="317"/>
      <c r="AH69" s="317"/>
      <c r="AI69" s="317"/>
      <c r="AJ69" s="317"/>
      <c r="AK69" s="318"/>
    </row>
    <row r="70" spans="1:44" s="90" customFormat="1">
      <c r="B70" s="472" t="s">
        <v>7</v>
      </c>
      <c r="C70" s="472" t="s">
        <v>8</v>
      </c>
      <c r="D70" s="472" t="s">
        <v>9</v>
      </c>
      <c r="E70" s="472" t="s">
        <v>10</v>
      </c>
      <c r="F70" s="472" t="s">
        <v>11</v>
      </c>
      <c r="G70" s="319" t="s">
        <v>12</v>
      </c>
      <c r="H70" s="319" t="s">
        <v>13</v>
      </c>
      <c r="I70" s="319" t="s">
        <v>14</v>
      </c>
      <c r="J70" s="319" t="s">
        <v>15</v>
      </c>
      <c r="K70" s="319" t="s">
        <v>16</v>
      </c>
      <c r="L70" s="319" t="s">
        <v>17</v>
      </c>
      <c r="M70" s="319" t="s">
        <v>18</v>
      </c>
      <c r="N70" s="319" t="s">
        <v>19</v>
      </c>
      <c r="O70" s="319" t="s">
        <v>20</v>
      </c>
      <c r="P70" s="319" t="s">
        <v>21</v>
      </c>
      <c r="Q70" s="319" t="s">
        <v>22</v>
      </c>
      <c r="R70" s="319" t="s">
        <v>23</v>
      </c>
      <c r="S70" s="319" t="s">
        <v>24</v>
      </c>
      <c r="T70" s="319" t="s">
        <v>25</v>
      </c>
      <c r="U70" s="319" t="s">
        <v>26</v>
      </c>
      <c r="V70" s="319" t="s">
        <v>27</v>
      </c>
      <c r="W70" s="319" t="s">
        <v>28</v>
      </c>
      <c r="X70" s="319" t="s">
        <v>29</v>
      </c>
      <c r="Y70" s="319" t="s">
        <v>30</v>
      </c>
      <c r="Z70" s="319" t="s">
        <v>31</v>
      </c>
      <c r="AA70" s="319" t="s">
        <v>582</v>
      </c>
      <c r="AB70" s="319" t="s">
        <v>583</v>
      </c>
      <c r="AC70" s="319" t="s">
        <v>584</v>
      </c>
      <c r="AD70" s="319" t="s">
        <v>585</v>
      </c>
      <c r="AE70" s="319" t="s">
        <v>586</v>
      </c>
      <c r="AF70" s="319" t="s">
        <v>587</v>
      </c>
      <c r="AG70" s="319" t="s">
        <v>588</v>
      </c>
      <c r="AH70" s="319" t="s">
        <v>589</v>
      </c>
      <c r="AI70" s="319" t="s">
        <v>590</v>
      </c>
      <c r="AJ70" s="319" t="s">
        <v>591</v>
      </c>
      <c r="AK70" s="319" t="s">
        <v>594</v>
      </c>
      <c r="AM70" s="90" t="s">
        <v>749</v>
      </c>
      <c r="AN70" s="90">
        <v>2006</v>
      </c>
      <c r="AO70" s="90">
        <v>2007</v>
      </c>
      <c r="AP70" s="90">
        <v>2008</v>
      </c>
      <c r="AQ70" s="90">
        <v>2009</v>
      </c>
      <c r="AR70" s="90">
        <v>2010</v>
      </c>
    </row>
    <row r="71" spans="1:44">
      <c r="B71" s="470"/>
      <c r="C71" s="470"/>
      <c r="D71" s="470"/>
      <c r="E71" s="470"/>
      <c r="F71" s="470"/>
    </row>
    <row r="72" spans="1:44" s="18" customFormat="1">
      <c r="A72" s="17" t="s">
        <v>55</v>
      </c>
      <c r="B72" s="473"/>
      <c r="C72" s="473"/>
      <c r="D72" s="473"/>
      <c r="E72" s="473"/>
      <c r="F72" s="473"/>
      <c r="G72" s="320"/>
      <c r="H72" s="320"/>
      <c r="I72" s="320"/>
      <c r="J72" s="320"/>
      <c r="K72" s="320"/>
      <c r="L72" s="320"/>
      <c r="M72" s="320"/>
      <c r="N72" s="320"/>
      <c r="O72" s="320"/>
      <c r="P72" s="320"/>
      <c r="Q72" s="320"/>
      <c r="R72" s="320"/>
      <c r="S72" s="320"/>
      <c r="T72" s="320"/>
      <c r="U72" s="320"/>
      <c r="V72" s="320"/>
      <c r="W72" s="320"/>
      <c r="X72" s="320"/>
      <c r="Y72" s="320"/>
      <c r="Z72" s="320"/>
      <c r="AA72" s="320"/>
      <c r="AB72" s="320"/>
      <c r="AC72" s="320"/>
      <c r="AD72" s="320"/>
      <c r="AE72" s="320"/>
      <c r="AF72" s="320"/>
      <c r="AG72" s="320"/>
      <c r="AH72" s="320"/>
      <c r="AI72" s="320"/>
      <c r="AJ72" s="320"/>
      <c r="AK72" s="320"/>
      <c r="AM72" s="18" t="s">
        <v>728</v>
      </c>
      <c r="AN72" s="18">
        <v>0</v>
      </c>
      <c r="AO72" s="18">
        <v>0</v>
      </c>
      <c r="AP72" s="18">
        <v>0</v>
      </c>
      <c r="AQ72" s="18">
        <v>0</v>
      </c>
      <c r="AR72" s="18">
        <v>0</v>
      </c>
    </row>
    <row r="73" spans="1:44" s="18" customFormat="1">
      <c r="A73" s="17" t="s">
        <v>49</v>
      </c>
      <c r="B73" s="491">
        <f>AN73</f>
        <v>0.71299999999999997</v>
      </c>
      <c r="C73" s="491">
        <f t="shared" ref="C73:F73" si="0">AO73</f>
        <v>0.82699999999999996</v>
      </c>
      <c r="D73" s="491">
        <f t="shared" si="0"/>
        <v>1.0640000000000001</v>
      </c>
      <c r="E73" s="491">
        <f t="shared" si="0"/>
        <v>1.236</v>
      </c>
      <c r="F73" s="491">
        <f t="shared" si="0"/>
        <v>1.109</v>
      </c>
      <c r="G73" s="484">
        <f t="shared" ref="G73:AJ73" si="1">G60*$AM61</f>
        <v>1.2476006959349748</v>
      </c>
      <c r="H73" s="484">
        <f t="shared" si="1"/>
        <v>1.0150580872627193</v>
      </c>
      <c r="I73" s="484">
        <f t="shared" si="1"/>
        <v>1.2884951551780734</v>
      </c>
      <c r="J73" s="484">
        <f t="shared" si="1"/>
        <v>1.3194782949267434</v>
      </c>
      <c r="K73" s="484">
        <f t="shared" si="1"/>
        <v>1.3468249842397526</v>
      </c>
      <c r="L73" s="484">
        <f t="shared" si="1"/>
        <v>1.370453648929032</v>
      </c>
      <c r="M73" s="484">
        <f t="shared" si="1"/>
        <v>1.3864861207738108</v>
      </c>
      <c r="N73" s="484">
        <f t="shared" si="1"/>
        <v>1.3864854252230943</v>
      </c>
      <c r="O73" s="484">
        <f t="shared" si="1"/>
        <v>1.3864857869094669</v>
      </c>
      <c r="P73" s="484">
        <f t="shared" si="1"/>
        <v>1.3864854252230943</v>
      </c>
      <c r="Q73" s="484">
        <f t="shared" si="1"/>
        <v>1.3864857590874382</v>
      </c>
      <c r="R73" s="484">
        <f t="shared" si="1"/>
        <v>1.3864847853164346</v>
      </c>
      <c r="S73" s="484">
        <f t="shared" si="1"/>
        <v>1.3941393765991195</v>
      </c>
      <c r="T73" s="484">
        <f t="shared" si="1"/>
        <v>1.3941388201585461</v>
      </c>
      <c r="U73" s="484">
        <f t="shared" si="1"/>
        <v>1.3941394044211481</v>
      </c>
      <c r="V73" s="484">
        <f t="shared" si="1"/>
        <v>1.3970483644510703</v>
      </c>
      <c r="W73" s="484">
        <f t="shared" si="1"/>
        <v>1.3987949479450681</v>
      </c>
      <c r="X73" s="484">
        <f t="shared" si="1"/>
        <v>1.408682869113383</v>
      </c>
      <c r="Y73" s="484">
        <f t="shared" si="1"/>
        <v>1.4183416480535478</v>
      </c>
      <c r="Z73" s="484">
        <f t="shared" si="1"/>
        <v>1.4291192620547639</v>
      </c>
      <c r="AA73" s="484">
        <f t="shared" si="1"/>
        <v>1.4291194568089649</v>
      </c>
      <c r="AB73" s="484">
        <f t="shared" si="1"/>
        <v>1.4353708162535042</v>
      </c>
      <c r="AC73" s="484">
        <f t="shared" si="1"/>
        <v>1.4353711222958196</v>
      </c>
      <c r="AD73" s="484">
        <f t="shared" si="1"/>
        <v>1.4353711222958196</v>
      </c>
      <c r="AE73" s="484">
        <f t="shared" si="1"/>
        <v>1.4413040864442261</v>
      </c>
      <c r="AF73" s="484">
        <f t="shared" si="1"/>
        <v>1.4454134835452976</v>
      </c>
      <c r="AG73" s="484">
        <f t="shared" si="1"/>
        <v>1.445414039985871</v>
      </c>
      <c r="AH73" s="484">
        <f t="shared" si="1"/>
        <v>1.4491424422262955</v>
      </c>
      <c r="AI73" s="484">
        <f t="shared" si="1"/>
        <v>1.4491424144042668</v>
      </c>
      <c r="AJ73" s="484">
        <f t="shared" si="1"/>
        <v>1.4491425535144105</v>
      </c>
      <c r="AK73" s="485"/>
      <c r="AM73" s="18" t="s">
        <v>729</v>
      </c>
      <c r="AN73" s="18">
        <v>0.71299999999999997</v>
      </c>
      <c r="AO73" s="18">
        <v>0.82699999999999996</v>
      </c>
      <c r="AP73" s="18">
        <v>1.0640000000000001</v>
      </c>
      <c r="AQ73" s="18">
        <v>1.236</v>
      </c>
      <c r="AR73" s="18">
        <v>1.109</v>
      </c>
    </row>
    <row r="74" spans="1:44" s="18" customFormat="1">
      <c r="A74" s="17" t="s">
        <v>50</v>
      </c>
      <c r="B74" s="491">
        <f>AN72</f>
        <v>0</v>
      </c>
      <c r="C74" s="491">
        <f t="shared" ref="C74:F74" si="2">AO72</f>
        <v>0</v>
      </c>
      <c r="D74" s="491">
        <f t="shared" si="2"/>
        <v>0</v>
      </c>
      <c r="E74" s="491">
        <f t="shared" si="2"/>
        <v>0</v>
      </c>
      <c r="F74" s="491">
        <f t="shared" si="2"/>
        <v>0</v>
      </c>
      <c r="G74" s="484">
        <f t="shared" ref="G74:AJ74" si="3">G61*$AM60</f>
        <v>4.0118829999999998E-6</v>
      </c>
      <c r="H74" s="484">
        <f t="shared" si="3"/>
        <v>3.7581989999999996E-6</v>
      </c>
      <c r="I74" s="484">
        <f t="shared" si="3"/>
        <v>4.1090540000000002E-6</v>
      </c>
      <c r="J74" s="484">
        <f t="shared" si="3"/>
        <v>4.1090699999999998E-6</v>
      </c>
      <c r="K74" s="484">
        <f t="shared" si="3"/>
        <v>4.1077979999999994E-6</v>
      </c>
      <c r="L74" s="484">
        <f t="shared" si="3"/>
        <v>4.1001169999999998E-6</v>
      </c>
      <c r="M74" s="484">
        <f t="shared" si="3"/>
        <v>4.5077809999999991E-6</v>
      </c>
      <c r="N74" s="484">
        <f t="shared" si="3"/>
        <v>4.9009479999999996E-6</v>
      </c>
      <c r="O74" s="484">
        <f t="shared" si="3"/>
        <v>4.9156639999999992E-6</v>
      </c>
      <c r="P74" s="484">
        <f t="shared" si="3"/>
        <v>4.914333E-6</v>
      </c>
      <c r="Q74" s="484">
        <f t="shared" si="3"/>
        <v>4.9132239999999996E-6</v>
      </c>
      <c r="R74" s="484">
        <f t="shared" si="3"/>
        <v>4.9197499999999998E-6</v>
      </c>
      <c r="S74" s="484">
        <f t="shared" si="3"/>
        <v>4.9287999999999993E-6</v>
      </c>
      <c r="T74" s="484">
        <f t="shared" si="3"/>
        <v>4.9247539999999998E-6</v>
      </c>
      <c r="U74" s="484">
        <f t="shared" si="3"/>
        <v>4.9286719999999991E-6</v>
      </c>
      <c r="V74" s="484">
        <f t="shared" si="3"/>
        <v>4.927543E-6</v>
      </c>
      <c r="W74" s="484">
        <f t="shared" si="3"/>
        <v>5.3101979999999991E-6</v>
      </c>
      <c r="X74" s="484">
        <f t="shared" si="3"/>
        <v>5.55013E-6</v>
      </c>
      <c r="Y74" s="484">
        <f t="shared" si="3"/>
        <v>5.5720199999999999E-6</v>
      </c>
      <c r="Z74" s="484">
        <f t="shared" si="3"/>
        <v>5.8294079999999998E-6</v>
      </c>
      <c r="AA74" s="484">
        <f t="shared" si="3"/>
        <v>6.0471729999999998E-6</v>
      </c>
      <c r="AB74" s="484">
        <f t="shared" si="3"/>
        <v>6.0445359999999996E-6</v>
      </c>
      <c r="AC74" s="484">
        <f t="shared" si="3"/>
        <v>6.0421289999999995E-6</v>
      </c>
      <c r="AD74" s="484">
        <f t="shared" si="3"/>
        <v>6.0397999999999993E-6</v>
      </c>
      <c r="AE74" s="484">
        <f t="shared" si="3"/>
        <v>6.0375639999999994E-6</v>
      </c>
      <c r="AF74" s="484">
        <f t="shared" si="3"/>
        <v>6.0354029999999997E-6</v>
      </c>
      <c r="AG74" s="484">
        <f t="shared" si="3"/>
        <v>6.0333229999999999E-6</v>
      </c>
      <c r="AH74" s="484">
        <f t="shared" si="3"/>
        <v>6.0313509999999997E-6</v>
      </c>
      <c r="AI74" s="484">
        <f t="shared" si="3"/>
        <v>6.0293979999999989E-6</v>
      </c>
      <c r="AJ74" s="484">
        <f t="shared" si="3"/>
        <v>6.0275829999999999E-6</v>
      </c>
      <c r="AK74" s="485"/>
      <c r="AM74" s="18" t="s">
        <v>730</v>
      </c>
      <c r="AN74" s="18">
        <v>0</v>
      </c>
      <c r="AO74" s="18">
        <v>0</v>
      </c>
      <c r="AP74" s="18">
        <v>0</v>
      </c>
      <c r="AQ74" s="18">
        <v>0</v>
      </c>
      <c r="AR74" s="18">
        <v>0</v>
      </c>
    </row>
    <row r="75" spans="1:44" s="18" customFormat="1">
      <c r="A75" s="17" t="s">
        <v>51</v>
      </c>
      <c r="B75" s="491">
        <f>AN77</f>
        <v>0</v>
      </c>
      <c r="C75" s="491">
        <f t="shared" ref="C75:F75" si="4">AO77</f>
        <v>0</v>
      </c>
      <c r="D75" s="491">
        <f t="shared" si="4"/>
        <v>0</v>
      </c>
      <c r="E75" s="491">
        <f t="shared" si="4"/>
        <v>0</v>
      </c>
      <c r="F75" s="491">
        <f t="shared" si="4"/>
        <v>0</v>
      </c>
      <c r="G75" s="484">
        <f t="shared" ref="G75:AJ75" si="5">G62*$AM65</f>
        <v>1.339353E-6</v>
      </c>
      <c r="H75" s="484">
        <f t="shared" si="5"/>
        <v>1.3868399999999998E-6</v>
      </c>
      <c r="I75" s="484">
        <f t="shared" si="5"/>
        <v>1.1280109999999999E-6</v>
      </c>
      <c r="J75" s="484">
        <f t="shared" si="5"/>
        <v>1.2137750000000001E-6</v>
      </c>
      <c r="K75" s="484">
        <f t="shared" si="5"/>
        <v>1.1110189999999997E-6</v>
      </c>
      <c r="L75" s="484">
        <f t="shared" si="5"/>
        <v>1.2996959999999999E-6</v>
      </c>
      <c r="M75" s="484">
        <f t="shared" si="5"/>
        <v>1.3086109999999999E-6</v>
      </c>
      <c r="N75" s="484">
        <f t="shared" si="5"/>
        <v>1.3088319999999999E-6</v>
      </c>
      <c r="O75" s="484">
        <f t="shared" si="5"/>
        <v>1.3002439999999998E-6</v>
      </c>
      <c r="P75" s="484">
        <f t="shared" si="5"/>
        <v>1.2998630000000001E-6</v>
      </c>
      <c r="Q75" s="484">
        <f t="shared" si="5"/>
        <v>1.2996369999999998E-6</v>
      </c>
      <c r="R75" s="484">
        <f t="shared" si="5"/>
        <v>1.308021E-6</v>
      </c>
      <c r="S75" s="484">
        <f t="shared" si="5"/>
        <v>1.2992279999999997E-6</v>
      </c>
      <c r="T75" s="484">
        <f t="shared" si="5"/>
        <v>1.299032E-6</v>
      </c>
      <c r="U75" s="484">
        <f t="shared" si="5"/>
        <v>1.3074349999999999E-6</v>
      </c>
      <c r="V75" s="484">
        <f t="shared" si="5"/>
        <v>1.2846369999999999E-6</v>
      </c>
      <c r="W75" s="484">
        <f t="shared" si="5"/>
        <v>1.298103E-6</v>
      </c>
      <c r="X75" s="484">
        <f t="shared" si="5"/>
        <v>1.297704E-6</v>
      </c>
      <c r="Y75" s="484">
        <f t="shared" si="5"/>
        <v>1.297244E-6</v>
      </c>
      <c r="Z75" s="484">
        <f t="shared" si="5"/>
        <v>1.2967479999999999E-6</v>
      </c>
      <c r="AA75" s="484">
        <f t="shared" si="5"/>
        <v>1.296254E-6</v>
      </c>
      <c r="AB75" s="484">
        <f t="shared" si="5"/>
        <v>1.3044589999999999E-6</v>
      </c>
      <c r="AC75" s="484">
        <f t="shared" si="5"/>
        <v>1.316171E-6</v>
      </c>
      <c r="AD75" s="484">
        <f t="shared" si="5"/>
        <v>1.3335859999999999E-6</v>
      </c>
      <c r="AE75" s="484">
        <f t="shared" si="5"/>
        <v>1.3332429999999999E-6</v>
      </c>
      <c r="AF75" s="484">
        <f t="shared" si="5"/>
        <v>1.332907E-6</v>
      </c>
      <c r="AG75" s="484">
        <f t="shared" si="5"/>
        <v>1.3581589999999999E-6</v>
      </c>
      <c r="AH75" s="484">
        <f t="shared" si="5"/>
        <v>1.3578999999999997E-6</v>
      </c>
      <c r="AI75" s="484">
        <f t="shared" si="5"/>
        <v>1.3576220000000001E-6</v>
      </c>
      <c r="AJ75" s="484">
        <f t="shared" si="5"/>
        <v>1.3573469999999997E-6</v>
      </c>
      <c r="AK75" s="485"/>
      <c r="AM75" s="18" t="s">
        <v>143</v>
      </c>
      <c r="AN75" s="18">
        <v>0</v>
      </c>
      <c r="AO75" s="18">
        <v>0</v>
      </c>
      <c r="AP75" s="18">
        <v>0</v>
      </c>
      <c r="AQ75" s="18">
        <v>0</v>
      </c>
      <c r="AR75" s="18">
        <v>0</v>
      </c>
    </row>
    <row r="76" spans="1:44" s="18" customFormat="1">
      <c r="A76" s="17" t="s">
        <v>56</v>
      </c>
      <c r="B76" s="492">
        <f>AN76</f>
        <v>2.8809999999999998</v>
      </c>
      <c r="C76" s="492">
        <f t="shared" ref="C76:F76" si="6">AO76</f>
        <v>2.8980000000000001</v>
      </c>
      <c r="D76" s="492">
        <f t="shared" si="6"/>
        <v>2.6389999999999998</v>
      </c>
      <c r="E76" s="492">
        <f t="shared" si="6"/>
        <v>2.2970000000000002</v>
      </c>
      <c r="F76" s="492">
        <f t="shared" si="6"/>
        <v>2.3929999999999998</v>
      </c>
      <c r="G76" s="492">
        <f>G63*$AM64</f>
        <v>2.7421769152551057</v>
      </c>
      <c r="H76" s="492">
        <f t="shared" ref="H76:AJ76" si="7">H63*$AM64</f>
        <v>2.6480107183453923</v>
      </c>
      <c r="I76" s="492">
        <f t="shared" si="7"/>
        <v>2.9330998996527065</v>
      </c>
      <c r="J76" s="492">
        <f t="shared" si="7"/>
        <v>3.017760230943463</v>
      </c>
      <c r="K76" s="492">
        <f t="shared" si="7"/>
        <v>3.1285574725869596</v>
      </c>
      <c r="L76" s="492">
        <f t="shared" si="7"/>
        <v>3.3101973392204029</v>
      </c>
      <c r="M76" s="492">
        <f t="shared" si="7"/>
        <v>3.5898846098249737</v>
      </c>
      <c r="N76" s="492">
        <f t="shared" si="7"/>
        <v>3.7505892973112323</v>
      </c>
      <c r="O76" s="492">
        <f t="shared" si="7"/>
        <v>3.9013029912311805</v>
      </c>
      <c r="P76" s="492">
        <f t="shared" si="7"/>
        <v>4.0931663238625893</v>
      </c>
      <c r="Q76" s="492">
        <f t="shared" si="7"/>
        <v>4.3893006061709903</v>
      </c>
      <c r="R76" s="492">
        <f t="shared" si="7"/>
        <v>4.5902061439361201</v>
      </c>
      <c r="S76" s="492">
        <f t="shared" si="7"/>
        <v>5.1662796184344622</v>
      </c>
      <c r="T76" s="492">
        <f t="shared" si="7"/>
        <v>5.3908000984599029</v>
      </c>
      <c r="U76" s="492">
        <f t="shared" si="7"/>
        <v>6.0871586989276434</v>
      </c>
      <c r="V76" s="492">
        <f t="shared" si="7"/>
        <v>6.2919953510165483</v>
      </c>
      <c r="W76" s="492">
        <f t="shared" si="7"/>
        <v>6.4314553242394386</v>
      </c>
      <c r="X76" s="492">
        <f t="shared" si="7"/>
        <v>6.5615224571140134</v>
      </c>
      <c r="Y76" s="492">
        <f t="shared" si="7"/>
        <v>7.3488497035313518</v>
      </c>
      <c r="Z76" s="492">
        <f t="shared" si="7"/>
        <v>7.4682616358920288</v>
      </c>
      <c r="AA76" s="492">
        <f t="shared" si="7"/>
        <v>7.5682930370245574</v>
      </c>
      <c r="AB76" s="492">
        <f t="shared" si="7"/>
        <v>7.6433673208079327</v>
      </c>
      <c r="AC76" s="492">
        <f t="shared" si="7"/>
        <v>7.744005498839817</v>
      </c>
      <c r="AD76" s="492">
        <f t="shared" si="7"/>
        <v>7.8597479630389442</v>
      </c>
      <c r="AE76" s="492">
        <f t="shared" si="7"/>
        <v>7.9584483815201441</v>
      </c>
      <c r="AF76" s="492">
        <f t="shared" si="7"/>
        <v>8.095876468627683</v>
      </c>
      <c r="AG76" s="492">
        <f t="shared" si="7"/>
        <v>8.2442768141511689</v>
      </c>
      <c r="AH76" s="492">
        <f t="shared" si="7"/>
        <v>8.4151642345021429</v>
      </c>
      <c r="AI76" s="492">
        <f t="shared" si="7"/>
        <v>8.5931616049136235</v>
      </c>
      <c r="AJ76" s="492">
        <f t="shared" si="7"/>
        <v>8.7533791461441215</v>
      </c>
      <c r="AK76" s="485"/>
      <c r="AM76" s="18" t="s">
        <v>746</v>
      </c>
      <c r="AN76" s="18">
        <v>2.8809999999999998</v>
      </c>
      <c r="AO76" s="18">
        <v>2.8980000000000001</v>
      </c>
      <c r="AP76" s="18">
        <v>2.6389999999999998</v>
      </c>
      <c r="AQ76" s="18">
        <v>2.2970000000000002</v>
      </c>
      <c r="AR76" s="18">
        <v>2.3929999999999998</v>
      </c>
    </row>
    <row r="77" spans="1:44" s="18" customFormat="1">
      <c r="A77" s="17" t="s">
        <v>52</v>
      </c>
      <c r="B77" s="491">
        <f>AN74</f>
        <v>0</v>
      </c>
      <c r="C77" s="491">
        <f t="shared" ref="C77:F77" si="8">AO74</f>
        <v>0</v>
      </c>
      <c r="D77" s="491">
        <f t="shared" si="8"/>
        <v>0</v>
      </c>
      <c r="E77" s="491">
        <f t="shared" si="8"/>
        <v>0</v>
      </c>
      <c r="F77" s="491">
        <f t="shared" si="8"/>
        <v>0</v>
      </c>
      <c r="G77" s="484">
        <f t="shared" ref="G77:AJ77" si="9">G64*$AM62</f>
        <v>0</v>
      </c>
      <c r="H77" s="484">
        <f t="shared" si="9"/>
        <v>0</v>
      </c>
      <c r="I77" s="484">
        <f t="shared" si="9"/>
        <v>0</v>
      </c>
      <c r="J77" s="484">
        <f t="shared" si="9"/>
        <v>0</v>
      </c>
      <c r="K77" s="484">
        <f t="shared" si="9"/>
        <v>0</v>
      </c>
      <c r="L77" s="484">
        <f t="shared" si="9"/>
        <v>0</v>
      </c>
      <c r="M77" s="484">
        <f t="shared" si="9"/>
        <v>0</v>
      </c>
      <c r="N77" s="484">
        <f t="shared" si="9"/>
        <v>0</v>
      </c>
      <c r="O77" s="484">
        <f t="shared" si="9"/>
        <v>0</v>
      </c>
      <c r="P77" s="484">
        <f t="shared" si="9"/>
        <v>0</v>
      </c>
      <c r="Q77" s="484">
        <f t="shared" si="9"/>
        <v>0</v>
      </c>
      <c r="R77" s="484">
        <f t="shared" si="9"/>
        <v>0</v>
      </c>
      <c r="S77" s="484">
        <f t="shared" si="9"/>
        <v>0</v>
      </c>
      <c r="T77" s="484">
        <f t="shared" si="9"/>
        <v>0</v>
      </c>
      <c r="U77" s="484">
        <f t="shared" si="9"/>
        <v>0</v>
      </c>
      <c r="V77" s="484">
        <f t="shared" si="9"/>
        <v>0</v>
      </c>
      <c r="W77" s="484">
        <f t="shared" si="9"/>
        <v>0</v>
      </c>
      <c r="X77" s="484">
        <f t="shared" si="9"/>
        <v>0</v>
      </c>
      <c r="Y77" s="484">
        <f t="shared" si="9"/>
        <v>0</v>
      </c>
      <c r="Z77" s="484">
        <f t="shared" si="9"/>
        <v>0</v>
      </c>
      <c r="AA77" s="484">
        <f t="shared" si="9"/>
        <v>0</v>
      </c>
      <c r="AB77" s="484">
        <f t="shared" si="9"/>
        <v>0</v>
      </c>
      <c r="AC77" s="484">
        <f t="shared" si="9"/>
        <v>0</v>
      </c>
      <c r="AD77" s="484">
        <f t="shared" si="9"/>
        <v>0</v>
      </c>
      <c r="AE77" s="484">
        <f t="shared" si="9"/>
        <v>0</v>
      </c>
      <c r="AF77" s="484">
        <f t="shared" si="9"/>
        <v>0</v>
      </c>
      <c r="AG77" s="484">
        <f t="shared" si="9"/>
        <v>0</v>
      </c>
      <c r="AH77" s="484">
        <f t="shared" si="9"/>
        <v>0</v>
      </c>
      <c r="AI77" s="484">
        <f t="shared" si="9"/>
        <v>0</v>
      </c>
      <c r="AJ77" s="484">
        <f t="shared" si="9"/>
        <v>0</v>
      </c>
      <c r="AK77" s="485"/>
      <c r="AM77" s="18" t="s">
        <v>750</v>
      </c>
      <c r="AN77" s="18">
        <v>0</v>
      </c>
      <c r="AO77" s="18">
        <v>0</v>
      </c>
      <c r="AP77" s="18">
        <v>0</v>
      </c>
      <c r="AQ77" s="18">
        <v>0</v>
      </c>
      <c r="AR77" s="18">
        <v>0</v>
      </c>
    </row>
    <row r="78" spans="1:44" s="18" customFormat="1">
      <c r="A78" s="17" t="s">
        <v>53</v>
      </c>
      <c r="B78" s="491">
        <f>AN75</f>
        <v>0</v>
      </c>
      <c r="C78" s="491">
        <f t="shared" ref="C78:F78" si="10">AO75</f>
        <v>0</v>
      </c>
      <c r="D78" s="491">
        <f t="shared" si="10"/>
        <v>0</v>
      </c>
      <c r="E78" s="491">
        <f t="shared" si="10"/>
        <v>0</v>
      </c>
      <c r="F78" s="491">
        <f t="shared" si="10"/>
        <v>0</v>
      </c>
      <c r="G78" s="484">
        <f t="shared" ref="G78:AJ78" si="11">G65*$AM63</f>
        <v>3.8983921000000004E-6</v>
      </c>
      <c r="H78" s="484">
        <f t="shared" si="11"/>
        <v>4.3605922999999998E-6</v>
      </c>
      <c r="I78" s="484">
        <f t="shared" si="11"/>
        <v>4.6780897999999987E-6</v>
      </c>
      <c r="J78" s="484">
        <f t="shared" si="11"/>
        <v>4.7040753000000002E-6</v>
      </c>
      <c r="K78" s="484">
        <f t="shared" si="11"/>
        <v>5.9372954000000001E-6</v>
      </c>
      <c r="L78" s="484">
        <f t="shared" si="11"/>
        <v>6.7380639999999998E-6</v>
      </c>
      <c r="M78" s="484">
        <f t="shared" si="11"/>
        <v>6.7380969999999983E-6</v>
      </c>
      <c r="N78" s="484">
        <f t="shared" si="11"/>
        <v>6.7371153999999985E-6</v>
      </c>
      <c r="O78" s="484">
        <f t="shared" si="11"/>
        <v>6.7383626999999987E-6</v>
      </c>
      <c r="P78" s="484">
        <f t="shared" si="11"/>
        <v>6.7387489999999994E-6</v>
      </c>
      <c r="Q78" s="484">
        <f t="shared" si="11"/>
        <v>6.7393857999999995E-6</v>
      </c>
      <c r="R78" s="484">
        <f t="shared" si="11"/>
        <v>6.7421112999999984E-6</v>
      </c>
      <c r="S78" s="484">
        <f t="shared" si="11"/>
        <v>6.7413718999999997E-6</v>
      </c>
      <c r="T78" s="484">
        <f t="shared" si="11"/>
        <v>6.7409741999999991E-6</v>
      </c>
      <c r="U78" s="484">
        <f t="shared" si="11"/>
        <v>6.7406160999999998E-6</v>
      </c>
      <c r="V78" s="484">
        <f t="shared" si="11"/>
        <v>6.7415046000000003E-6</v>
      </c>
      <c r="W78" s="484">
        <f t="shared" si="11"/>
        <v>6.7431210999999989E-6</v>
      </c>
      <c r="X78" s="484">
        <f t="shared" si="11"/>
        <v>6.7428821999999992E-6</v>
      </c>
      <c r="Y78" s="484">
        <f t="shared" si="11"/>
        <v>6.7500607000000001E-6</v>
      </c>
      <c r="Z78" s="484">
        <f t="shared" si="11"/>
        <v>6.7593867999999996E-6</v>
      </c>
      <c r="AA78" s="484">
        <f t="shared" si="11"/>
        <v>6.7692880999999993E-6</v>
      </c>
      <c r="AB78" s="484">
        <f t="shared" si="11"/>
        <v>6.7802677999999994E-6</v>
      </c>
      <c r="AC78" s="484">
        <f t="shared" si="11"/>
        <v>6.7932296000000003E-6</v>
      </c>
      <c r="AD78" s="484">
        <f t="shared" si="11"/>
        <v>6.8157133000000002E-6</v>
      </c>
      <c r="AE78" s="484">
        <f t="shared" si="11"/>
        <v>6.8263563999999998E-6</v>
      </c>
      <c r="AF78" s="484">
        <f t="shared" si="11"/>
        <v>6.8268462999999994E-6</v>
      </c>
      <c r="AG78" s="484">
        <f t="shared" si="11"/>
        <v>6.8581467E-6</v>
      </c>
      <c r="AH78" s="484">
        <f t="shared" si="11"/>
        <v>6.8813840999999994E-6</v>
      </c>
      <c r="AI78" s="484">
        <f t="shared" si="11"/>
        <v>6.9208895999999996E-6</v>
      </c>
      <c r="AJ78" s="484">
        <f t="shared" si="11"/>
        <v>6.9860670999999996E-6</v>
      </c>
      <c r="AK78" s="485"/>
      <c r="AM78" s="18" t="s">
        <v>751</v>
      </c>
      <c r="AN78" s="18">
        <v>8.1000000000000003E-2</v>
      </c>
      <c r="AO78" s="18">
        <v>8.2000000000000003E-2</v>
      </c>
      <c r="AP78" s="18">
        <v>7.0999999999999994E-2</v>
      </c>
      <c r="AQ78" s="18">
        <v>6.7000000000000004E-2</v>
      </c>
      <c r="AR78" s="18">
        <v>7.3999999999999996E-2</v>
      </c>
    </row>
    <row r="79" spans="1:44" s="18" customFormat="1">
      <c r="A79" s="17" t="s">
        <v>54</v>
      </c>
      <c r="B79" s="493">
        <f>AN79</f>
        <v>3.6760000000000002</v>
      </c>
      <c r="C79" s="493">
        <f t="shared" ref="C79:F79" si="12">AO79</f>
        <v>3.8069999999999999</v>
      </c>
      <c r="D79" s="493">
        <f t="shared" si="12"/>
        <v>3.774</v>
      </c>
      <c r="E79" s="493">
        <f t="shared" si="12"/>
        <v>3.6</v>
      </c>
      <c r="F79" s="493">
        <f t="shared" si="12"/>
        <v>3.577</v>
      </c>
      <c r="G79" s="486">
        <f>SUM(G73:G78)</f>
        <v>3.9897868608181803</v>
      </c>
      <c r="H79" s="486">
        <f t="shared" ref="H79:AJ79" si="13">SUM(H73:H78)</f>
        <v>3.6630783112394116</v>
      </c>
      <c r="I79" s="486">
        <f t="shared" si="13"/>
        <v>4.22160496998558</v>
      </c>
      <c r="J79" s="486">
        <f t="shared" si="13"/>
        <v>4.3372485527905065</v>
      </c>
      <c r="K79" s="486">
        <f t="shared" si="13"/>
        <v>4.4753936129391123</v>
      </c>
      <c r="L79" s="486">
        <f t="shared" si="13"/>
        <v>4.6806631260264346</v>
      </c>
      <c r="M79" s="486">
        <f t="shared" si="13"/>
        <v>4.9763832850877847</v>
      </c>
      <c r="N79" s="486">
        <f t="shared" si="13"/>
        <v>5.1370876694297261</v>
      </c>
      <c r="O79" s="486">
        <f t="shared" si="13"/>
        <v>5.2878017324113475</v>
      </c>
      <c r="P79" s="486">
        <f t="shared" si="13"/>
        <v>5.479664702030683</v>
      </c>
      <c r="Q79" s="486">
        <f t="shared" si="13"/>
        <v>5.7757993175052285</v>
      </c>
      <c r="R79" s="486">
        <f t="shared" si="13"/>
        <v>5.9767038991348551</v>
      </c>
      <c r="S79" s="486">
        <f t="shared" si="13"/>
        <v>6.5604319644334819</v>
      </c>
      <c r="T79" s="486">
        <f t="shared" si="13"/>
        <v>6.7849518833786489</v>
      </c>
      <c r="U79" s="486">
        <f t="shared" si="13"/>
        <v>7.4813110800718912</v>
      </c>
      <c r="V79" s="486">
        <f t="shared" si="13"/>
        <v>7.6890566691522189</v>
      </c>
      <c r="W79" s="486">
        <f t="shared" si="13"/>
        <v>7.8302636236066068</v>
      </c>
      <c r="X79" s="486">
        <f t="shared" si="13"/>
        <v>7.9702189169435966</v>
      </c>
      <c r="Y79" s="486">
        <f t="shared" si="13"/>
        <v>8.7672049709096012</v>
      </c>
      <c r="Z79" s="486">
        <f t="shared" si="13"/>
        <v>8.8973947834895917</v>
      </c>
      <c r="AA79" s="486">
        <f t="shared" si="13"/>
        <v>8.9974266065486237</v>
      </c>
      <c r="AB79" s="486">
        <f t="shared" si="13"/>
        <v>9.078752266324237</v>
      </c>
      <c r="AC79" s="486">
        <f t="shared" si="13"/>
        <v>9.1793907726652364</v>
      </c>
      <c r="AD79" s="486">
        <f t="shared" si="13"/>
        <v>9.2951332744340647</v>
      </c>
      <c r="AE79" s="486">
        <f t="shared" si="13"/>
        <v>9.3997666651277694</v>
      </c>
      <c r="AF79" s="486">
        <f t="shared" si="13"/>
        <v>9.5413041473292814</v>
      </c>
      <c r="AG79" s="486">
        <f t="shared" si="13"/>
        <v>9.6897051037657391</v>
      </c>
      <c r="AH79" s="486">
        <f t="shared" si="13"/>
        <v>9.8643209473635398</v>
      </c>
      <c r="AI79" s="486">
        <f t="shared" si="13"/>
        <v>10.042318327227491</v>
      </c>
      <c r="AJ79" s="486">
        <f t="shared" si="13"/>
        <v>10.202536070655633</v>
      </c>
      <c r="AK79" s="487"/>
      <c r="AM79" s="18" t="s">
        <v>58</v>
      </c>
      <c r="AN79" s="18">
        <v>3.6760000000000002</v>
      </c>
      <c r="AO79" s="18">
        <v>3.8069999999999999</v>
      </c>
      <c r="AP79" s="18">
        <v>3.774</v>
      </c>
      <c r="AQ79" s="18">
        <v>3.6</v>
      </c>
      <c r="AR79" s="18">
        <v>3.577</v>
      </c>
    </row>
    <row r="80" spans="1:44" s="255" customFormat="1">
      <c r="A80" s="254" t="s">
        <v>57</v>
      </c>
      <c r="B80" s="474">
        <f>B79*1000</f>
        <v>3676</v>
      </c>
      <c r="C80" s="474">
        <f t="shared" ref="C80:AJ80" si="14">C79*1000</f>
        <v>3807</v>
      </c>
      <c r="D80" s="474">
        <f t="shared" si="14"/>
        <v>3774</v>
      </c>
      <c r="E80" s="474">
        <f t="shared" si="14"/>
        <v>3600</v>
      </c>
      <c r="F80" s="474">
        <f t="shared" si="14"/>
        <v>3577</v>
      </c>
      <c r="G80" s="276">
        <f t="shared" si="14"/>
        <v>3989.7868608181802</v>
      </c>
      <c r="H80" s="276">
        <f t="shared" si="14"/>
        <v>3663.0783112394115</v>
      </c>
      <c r="I80" s="276">
        <f t="shared" si="14"/>
        <v>4221.6049699855803</v>
      </c>
      <c r="J80" s="276">
        <f t="shared" si="14"/>
        <v>4337.2485527905064</v>
      </c>
      <c r="K80" s="276">
        <f t="shared" si="14"/>
        <v>4475.3936129391122</v>
      </c>
      <c r="L80" s="276">
        <f t="shared" si="14"/>
        <v>4680.6631260264348</v>
      </c>
      <c r="M80" s="276">
        <f t="shared" si="14"/>
        <v>4976.3832850877843</v>
      </c>
      <c r="N80" s="276">
        <f t="shared" si="14"/>
        <v>5137.0876694297258</v>
      </c>
      <c r="O80" s="276">
        <f t="shared" si="14"/>
        <v>5287.801732411348</v>
      </c>
      <c r="P80" s="276">
        <f t="shared" si="14"/>
        <v>5479.6647020306827</v>
      </c>
      <c r="Q80" s="276">
        <f t="shared" si="14"/>
        <v>5775.7993175052288</v>
      </c>
      <c r="R80" s="276">
        <f t="shared" si="14"/>
        <v>5976.7038991348554</v>
      </c>
      <c r="S80" s="276">
        <f t="shared" si="14"/>
        <v>6560.4319644334819</v>
      </c>
      <c r="T80" s="276">
        <f t="shared" si="14"/>
        <v>6784.9518833786487</v>
      </c>
      <c r="U80" s="276">
        <f t="shared" si="14"/>
        <v>7481.3110800718914</v>
      </c>
      <c r="V80" s="276">
        <f t="shared" si="14"/>
        <v>7689.056669152219</v>
      </c>
      <c r="W80" s="276">
        <f t="shared" si="14"/>
        <v>7830.2636236066064</v>
      </c>
      <c r="X80" s="276">
        <f t="shared" si="14"/>
        <v>7970.2189169435969</v>
      </c>
      <c r="Y80" s="276">
        <f t="shared" si="14"/>
        <v>8767.2049709096009</v>
      </c>
      <c r="Z80" s="276">
        <f t="shared" si="14"/>
        <v>8897.3947834895916</v>
      </c>
      <c r="AA80" s="276">
        <f t="shared" si="14"/>
        <v>8997.4266065486245</v>
      </c>
      <c r="AB80" s="276">
        <f t="shared" si="14"/>
        <v>9078.7522663242362</v>
      </c>
      <c r="AC80" s="276">
        <f t="shared" si="14"/>
        <v>9179.390772665236</v>
      </c>
      <c r="AD80" s="276">
        <f t="shared" si="14"/>
        <v>9295.1332744340652</v>
      </c>
      <c r="AE80" s="276">
        <f t="shared" si="14"/>
        <v>9399.7666651277686</v>
      </c>
      <c r="AF80" s="276">
        <f t="shared" si="14"/>
        <v>9541.3041473292815</v>
      </c>
      <c r="AG80" s="276">
        <f t="shared" si="14"/>
        <v>9689.7051037657384</v>
      </c>
      <c r="AH80" s="276">
        <f t="shared" si="14"/>
        <v>9864.3209473635397</v>
      </c>
      <c r="AI80" s="276">
        <f t="shared" si="14"/>
        <v>10042.318327227491</v>
      </c>
      <c r="AJ80" s="276">
        <f t="shared" si="14"/>
        <v>10202.536070655633</v>
      </c>
      <c r="AK80" s="321"/>
    </row>
    <row r="81" spans="1:37" s="256" customFormat="1">
      <c r="A81" s="257" t="s">
        <v>339</v>
      </c>
      <c r="B81" s="260">
        <f t="shared" ref="B81:Q82" si="15">B74/SUM(B$74:B$78)</f>
        <v>0</v>
      </c>
      <c r="C81" s="260">
        <f>C74/SUM(C$74:C$78)</f>
        <v>0</v>
      </c>
      <c r="D81" s="260">
        <f t="shared" si="15"/>
        <v>0</v>
      </c>
      <c r="E81" s="260">
        <f t="shared" si="15"/>
        <v>0</v>
      </c>
      <c r="F81" s="260">
        <f t="shared" si="15"/>
        <v>0</v>
      </c>
      <c r="G81" s="260">
        <f t="shared" si="15"/>
        <v>1.4630235727160679E-6</v>
      </c>
      <c r="H81" s="260">
        <f t="shared" si="15"/>
        <v>1.4192486016425072E-6</v>
      </c>
      <c r="I81" s="260">
        <f t="shared" si="15"/>
        <v>1.4009206130830354E-6</v>
      </c>
      <c r="J81" s="260">
        <f t="shared" si="15"/>
        <v>1.3616245270137803E-6</v>
      </c>
      <c r="K81" s="260">
        <f t="shared" si="15"/>
        <v>1.3129959695682734E-6</v>
      </c>
      <c r="L81" s="260">
        <f t="shared" si="15"/>
        <v>1.2386276543426602E-6</v>
      </c>
      <c r="M81" s="260">
        <f t="shared" si="15"/>
        <v>1.2556852727733867E-6</v>
      </c>
      <c r="N81" s="260">
        <f t="shared" si="15"/>
        <v>1.3067096111218537E-6</v>
      </c>
      <c r="O81" s="260">
        <f t="shared" si="15"/>
        <v>1.2600015145319458E-6</v>
      </c>
      <c r="P81" s="260">
        <f t="shared" si="15"/>
        <v>1.2006151374422223E-6</v>
      </c>
      <c r="Q81" s="260">
        <f t="shared" si="15"/>
        <v>1.1193604500132962E-6</v>
      </c>
      <c r="R81" s="260">
        <f t="shared" ref="R81:AJ82" si="16">R74/SUM(R$74:R$78)</f>
        <v>1.0717897943454502E-6</v>
      </c>
      <c r="S81" s="260">
        <f t="shared" si="16"/>
        <v>9.5403036436735832E-7</v>
      </c>
      <c r="T81" s="260">
        <f t="shared" si="16"/>
        <v>9.1354568267264086E-7</v>
      </c>
      <c r="U81" s="260">
        <f t="shared" si="16"/>
        <v>8.0968178040963575E-7</v>
      </c>
      <c r="V81" s="260">
        <f t="shared" si="16"/>
        <v>7.831431176462892E-7</v>
      </c>
      <c r="W81" s="260">
        <f t="shared" si="16"/>
        <v>8.2565868976323582E-7</v>
      </c>
      <c r="X81" s="260">
        <f t="shared" si="16"/>
        <v>8.4585834163561924E-7</v>
      </c>
      <c r="Y81" s="260">
        <f t="shared" si="16"/>
        <v>7.5821521713027286E-7</v>
      </c>
      <c r="Z81" s="260">
        <f t="shared" si="16"/>
        <v>7.8055609802676844E-7</v>
      </c>
      <c r="AA81" s="260">
        <f t="shared" si="16"/>
        <v>7.9901262995226309E-7</v>
      </c>
      <c r="AB81" s="260">
        <f t="shared" si="16"/>
        <v>7.908196181866683E-7</v>
      </c>
      <c r="AC81" s="260">
        <f t="shared" si="16"/>
        <v>7.8023162037195609E-7</v>
      </c>
      <c r="AD81" s="260">
        <f t="shared" si="16"/>
        <v>7.6844564543939464E-7</v>
      </c>
      <c r="AE81" s="260">
        <f t="shared" si="16"/>
        <v>7.5863446492434324E-7</v>
      </c>
      <c r="AF81" s="260">
        <f t="shared" si="16"/>
        <v>7.4548968737913752E-7</v>
      </c>
      <c r="AG81" s="260">
        <f t="shared" si="16"/>
        <v>7.3181829138791017E-7</v>
      </c>
      <c r="AH81" s="260">
        <f t="shared" si="16"/>
        <v>7.1672288309962998E-7</v>
      </c>
      <c r="AI81" s="260">
        <f t="shared" si="16"/>
        <v>7.0164954856825285E-7</v>
      </c>
      <c r="AJ81" s="260">
        <f t="shared" si="16"/>
        <v>6.8859956863547385E-7</v>
      </c>
      <c r="AK81" s="322"/>
    </row>
    <row r="82" spans="1:37" s="256" customFormat="1">
      <c r="A82" s="257" t="s">
        <v>340</v>
      </c>
      <c r="B82" s="260">
        <f t="shared" si="15"/>
        <v>0</v>
      </c>
      <c r="C82" s="260">
        <f t="shared" ref="C82:AA82" si="17">C75/SUM(C$74:C$78)</f>
        <v>0</v>
      </c>
      <c r="D82" s="260">
        <f t="shared" si="17"/>
        <v>0</v>
      </c>
      <c r="E82" s="260">
        <f t="shared" si="17"/>
        <v>0</v>
      </c>
      <c r="F82" s="260">
        <f t="shared" si="17"/>
        <v>0</v>
      </c>
      <c r="G82" s="260">
        <f t="shared" si="17"/>
        <v>4.8842526344561494E-7</v>
      </c>
      <c r="H82" s="260">
        <f t="shared" si="17"/>
        <v>5.2372711788329852E-7</v>
      </c>
      <c r="I82" s="260">
        <f t="shared" si="17"/>
        <v>3.8457850923458483E-7</v>
      </c>
      <c r="J82" s="260">
        <f t="shared" si="17"/>
        <v>4.0220921285744738E-7</v>
      </c>
      <c r="K82" s="260">
        <f t="shared" si="17"/>
        <v>3.551205461207619E-7</v>
      </c>
      <c r="L82" s="260">
        <f t="shared" si="17"/>
        <v>3.9263255361701579E-7</v>
      </c>
      <c r="M82" s="260">
        <f t="shared" si="17"/>
        <v>3.645260407480431E-7</v>
      </c>
      <c r="N82" s="260">
        <f t="shared" si="17"/>
        <v>3.4896582329456219E-7</v>
      </c>
      <c r="O82" s="260">
        <f t="shared" si="17"/>
        <v>3.3328344029638219E-7</v>
      </c>
      <c r="P82" s="261">
        <f t="shared" si="17"/>
        <v>3.1756805947034104E-7</v>
      </c>
      <c r="Q82" s="260">
        <f t="shared" si="17"/>
        <v>2.9609117295973684E-7</v>
      </c>
      <c r="R82" s="260">
        <f t="shared" si="17"/>
        <v>2.8495829230947305E-7</v>
      </c>
      <c r="S82" s="260">
        <f t="shared" si="17"/>
        <v>2.5148169173759822E-7</v>
      </c>
      <c r="T82" s="260">
        <f t="shared" si="17"/>
        <v>2.4097144248293542E-7</v>
      </c>
      <c r="U82" s="260">
        <f t="shared" si="17"/>
        <v>2.1478530090252954E-7</v>
      </c>
      <c r="V82" s="260">
        <f t="shared" si="17"/>
        <v>2.0416962880359967E-7</v>
      </c>
      <c r="W82" s="260">
        <f t="shared" si="17"/>
        <v>2.0183616922715988E-7</v>
      </c>
      <c r="X82" s="260">
        <f t="shared" si="17"/>
        <v>1.9777442210793434E-7</v>
      </c>
      <c r="Y82" s="260">
        <f t="shared" si="17"/>
        <v>1.7652308159894325E-7</v>
      </c>
      <c r="Z82" s="260">
        <f t="shared" si="17"/>
        <v>1.7363419390168194E-7</v>
      </c>
      <c r="AA82" s="260">
        <f t="shared" si="17"/>
        <v>1.7127396845205864E-7</v>
      </c>
      <c r="AB82" s="260">
        <f t="shared" si="16"/>
        <v>1.7066517071288237E-7</v>
      </c>
      <c r="AC82" s="260">
        <f t="shared" si="16"/>
        <v>1.6995966686851241E-7</v>
      </c>
      <c r="AD82" s="260">
        <f t="shared" si="16"/>
        <v>1.6967256440924211E-7</v>
      </c>
      <c r="AE82" s="260">
        <f t="shared" si="16"/>
        <v>1.6752519557873442E-7</v>
      </c>
      <c r="AF82" s="260">
        <f t="shared" si="16"/>
        <v>1.6463994578911533E-7</v>
      </c>
      <c r="AG82" s="260">
        <f t="shared" si="16"/>
        <v>1.6473933167727181E-7</v>
      </c>
      <c r="AH82" s="260">
        <f t="shared" si="16"/>
        <v>1.613631842950257E-7</v>
      </c>
      <c r="AI82" s="260">
        <f t="shared" si="16"/>
        <v>1.5798838680517173E-7</v>
      </c>
      <c r="AJ82" s="260">
        <f t="shared" si="16"/>
        <v>1.5506523239724023E-7</v>
      </c>
      <c r="AK82" s="322"/>
    </row>
    <row r="83" spans="1:37" s="256" customFormat="1">
      <c r="A83" s="257" t="s">
        <v>336</v>
      </c>
      <c r="B83" s="260">
        <f>B76/SUM(B$74:B$78)</f>
        <v>1</v>
      </c>
      <c r="C83" s="260">
        <f t="shared" ref="C83:AJ83" si="18">C76/SUM(C$74:C$78)</f>
        <v>1</v>
      </c>
      <c r="D83" s="260">
        <f t="shared" si="18"/>
        <v>1</v>
      </c>
      <c r="E83" s="260">
        <f t="shared" si="18"/>
        <v>1</v>
      </c>
      <c r="F83" s="260">
        <f t="shared" si="18"/>
        <v>1</v>
      </c>
      <c r="G83" s="260">
        <f t="shared" si="18"/>
        <v>0.99999662691460622</v>
      </c>
      <c r="H83" s="260">
        <f t="shared" si="18"/>
        <v>0.99999641028749919</v>
      </c>
      <c r="I83" s="260">
        <f t="shared" si="18"/>
        <v>0.99999661957600439</v>
      </c>
      <c r="J83" s="260">
        <f t="shared" si="18"/>
        <v>0.99999667737453712</v>
      </c>
      <c r="K83" s="260">
        <f t="shared" si="18"/>
        <v>0.99999643411613293</v>
      </c>
      <c r="L83" s="260">
        <f t="shared" si="18"/>
        <v>0.99999633319973136</v>
      </c>
      <c r="M83" s="260">
        <f t="shared" si="18"/>
        <v>0.99999650282767849</v>
      </c>
      <c r="N83" s="260">
        <f t="shared" si="18"/>
        <v>0.99999654804893812</v>
      </c>
      <c r="O83" s="260">
        <f t="shared" si="18"/>
        <v>0.99999667951253357</v>
      </c>
      <c r="P83" s="261">
        <f t="shared" si="18"/>
        <v>0.99999683548065599</v>
      </c>
      <c r="Q83" s="260">
        <f t="shared" si="18"/>
        <v>0.99999704914068521</v>
      </c>
      <c r="R83" s="260">
        <f t="shared" si="18"/>
        <v>0.99999717445246539</v>
      </c>
      <c r="S83" s="260">
        <f t="shared" si="18"/>
        <v>0.99999748961180979</v>
      </c>
      <c r="T83" s="260">
        <f t="shared" si="18"/>
        <v>0.99999759502693775</v>
      </c>
      <c r="U83" s="260">
        <f t="shared" si="18"/>
        <v>0.99999786818512915</v>
      </c>
      <c r="V83" s="260">
        <f t="shared" si="18"/>
        <v>0.999997941248013</v>
      </c>
      <c r="W83" s="260">
        <f t="shared" si="18"/>
        <v>0.99999792404771404</v>
      </c>
      <c r="X83" s="260">
        <f t="shared" si="18"/>
        <v>0.99999792872947713</v>
      </c>
      <c r="Y83" s="260">
        <f t="shared" si="18"/>
        <v>0.99999814674404708</v>
      </c>
      <c r="Z83" s="260">
        <f t="shared" si="18"/>
        <v>0.99999814072970927</v>
      </c>
      <c r="AA83" s="260">
        <f t="shared" si="18"/>
        <v>0.99999813528774395</v>
      </c>
      <c r="AB83" s="260">
        <f t="shared" si="18"/>
        <v>0.99999815143822246</v>
      </c>
      <c r="AC83" s="260">
        <f t="shared" si="18"/>
        <v>0.99999817258604196</v>
      </c>
      <c r="AD83" s="260">
        <f t="shared" si="18"/>
        <v>0.99999819471645246</v>
      </c>
      <c r="AE83" s="260">
        <f t="shared" si="18"/>
        <v>0.99999821609220874</v>
      </c>
      <c r="AF83" s="260">
        <f t="shared" si="18"/>
        <v>0.99999824662203463</v>
      </c>
      <c r="AG83" s="260">
        <f t="shared" si="18"/>
        <v>0.9999982715762229</v>
      </c>
      <c r="AH83" s="260">
        <f t="shared" si="18"/>
        <v>0.99999830417915769</v>
      </c>
      <c r="AI83" s="260">
        <f t="shared" si="18"/>
        <v>0.99999833496838131</v>
      </c>
      <c r="AJ83" s="260">
        <f t="shared" si="18"/>
        <v>0.99999835823705707</v>
      </c>
      <c r="AK83" s="322"/>
    </row>
    <row r="84" spans="1:37" s="256" customFormat="1">
      <c r="A84" s="257" t="s">
        <v>338</v>
      </c>
      <c r="B84" s="260">
        <f>B77/SUM(B$74:B$78)</f>
        <v>0</v>
      </c>
      <c r="C84" s="260">
        <f t="shared" ref="C84:AJ84" si="19">C77/SUM(C$74:C$78)</f>
        <v>0</v>
      </c>
      <c r="D84" s="260">
        <f t="shared" si="19"/>
        <v>0</v>
      </c>
      <c r="E84" s="260">
        <f t="shared" si="19"/>
        <v>0</v>
      </c>
      <c r="F84" s="260">
        <f t="shared" si="19"/>
        <v>0</v>
      </c>
      <c r="G84" s="260">
        <f t="shared" si="19"/>
        <v>0</v>
      </c>
      <c r="H84" s="260">
        <f t="shared" si="19"/>
        <v>0</v>
      </c>
      <c r="I84" s="260">
        <f t="shared" si="19"/>
        <v>0</v>
      </c>
      <c r="J84" s="260">
        <f t="shared" si="19"/>
        <v>0</v>
      </c>
      <c r="K84" s="260">
        <f t="shared" si="19"/>
        <v>0</v>
      </c>
      <c r="L84" s="260">
        <f t="shared" si="19"/>
        <v>0</v>
      </c>
      <c r="M84" s="260">
        <f t="shared" si="19"/>
        <v>0</v>
      </c>
      <c r="N84" s="260">
        <f t="shared" si="19"/>
        <v>0</v>
      </c>
      <c r="O84" s="260">
        <f t="shared" si="19"/>
        <v>0</v>
      </c>
      <c r="P84" s="261">
        <f t="shared" si="19"/>
        <v>0</v>
      </c>
      <c r="Q84" s="260">
        <f t="shared" si="19"/>
        <v>0</v>
      </c>
      <c r="R84" s="260">
        <f t="shared" si="19"/>
        <v>0</v>
      </c>
      <c r="S84" s="260">
        <f t="shared" si="19"/>
        <v>0</v>
      </c>
      <c r="T84" s="260">
        <f t="shared" si="19"/>
        <v>0</v>
      </c>
      <c r="U84" s="260">
        <f t="shared" si="19"/>
        <v>0</v>
      </c>
      <c r="V84" s="260">
        <f t="shared" si="19"/>
        <v>0</v>
      </c>
      <c r="W84" s="260">
        <f t="shared" si="19"/>
        <v>0</v>
      </c>
      <c r="X84" s="260">
        <f t="shared" si="19"/>
        <v>0</v>
      </c>
      <c r="Y84" s="260">
        <f t="shared" si="19"/>
        <v>0</v>
      </c>
      <c r="Z84" s="260">
        <f t="shared" si="19"/>
        <v>0</v>
      </c>
      <c r="AA84" s="260">
        <f t="shared" si="19"/>
        <v>0</v>
      </c>
      <c r="AB84" s="260">
        <f t="shared" si="19"/>
        <v>0</v>
      </c>
      <c r="AC84" s="260">
        <f t="shared" si="19"/>
        <v>0</v>
      </c>
      <c r="AD84" s="260">
        <f t="shared" si="19"/>
        <v>0</v>
      </c>
      <c r="AE84" s="260">
        <f t="shared" si="19"/>
        <v>0</v>
      </c>
      <c r="AF84" s="260">
        <f t="shared" si="19"/>
        <v>0</v>
      </c>
      <c r="AG84" s="260">
        <f t="shared" si="19"/>
        <v>0</v>
      </c>
      <c r="AH84" s="260">
        <f t="shared" si="19"/>
        <v>0</v>
      </c>
      <c r="AI84" s="260">
        <f t="shared" si="19"/>
        <v>0</v>
      </c>
      <c r="AJ84" s="260">
        <f t="shared" si="19"/>
        <v>0</v>
      </c>
      <c r="AK84" s="322"/>
    </row>
    <row r="85" spans="1:37" s="256" customFormat="1">
      <c r="A85" s="257" t="s">
        <v>337</v>
      </c>
      <c r="B85" s="260">
        <f>B78/SUM(B$74:B$78)</f>
        <v>0</v>
      </c>
      <c r="C85" s="260">
        <f t="shared" ref="C85:AJ85" si="20">C78/SUM(C$74:C$78)</f>
        <v>0</v>
      </c>
      <c r="D85" s="260">
        <f t="shared" si="20"/>
        <v>0</v>
      </c>
      <c r="E85" s="260">
        <f t="shared" si="20"/>
        <v>0</v>
      </c>
      <c r="F85" s="260">
        <f t="shared" si="20"/>
        <v>0</v>
      </c>
      <c r="G85" s="260">
        <f t="shared" si="20"/>
        <v>1.4216365576937552E-6</v>
      </c>
      <c r="H85" s="260">
        <f t="shared" si="20"/>
        <v>1.6467367811305587E-6</v>
      </c>
      <c r="I85" s="260">
        <f t="shared" si="20"/>
        <v>1.5949248733828984E-6</v>
      </c>
      <c r="J85" s="260">
        <f t="shared" si="20"/>
        <v>1.5587917230418823E-6</v>
      </c>
      <c r="K85" s="260">
        <f t="shared" si="20"/>
        <v>1.897767351348886E-6</v>
      </c>
      <c r="L85" s="260">
        <f t="shared" si="20"/>
        <v>2.0355400607179556E-6</v>
      </c>
      <c r="M85" s="260">
        <f t="shared" si="20"/>
        <v>1.8769610079590241E-6</v>
      </c>
      <c r="N85" s="260">
        <f t="shared" si="20"/>
        <v>1.7962756275759405E-6</v>
      </c>
      <c r="O85" s="260">
        <f t="shared" si="20"/>
        <v>1.727202511698434E-6</v>
      </c>
      <c r="P85" s="261">
        <f t="shared" si="20"/>
        <v>1.6463361471075806E-6</v>
      </c>
      <c r="Q85" s="260">
        <f t="shared" si="20"/>
        <v>1.5354076919556728E-6</v>
      </c>
      <c r="R85" s="260">
        <f t="shared" si="20"/>
        <v>1.4687994478746145E-6</v>
      </c>
      <c r="S85" s="260">
        <f t="shared" si="20"/>
        <v>1.304876134169143E-6</v>
      </c>
      <c r="T85" s="260">
        <f t="shared" si="20"/>
        <v>1.2504559369701835E-6</v>
      </c>
      <c r="U85" s="260">
        <f t="shared" si="20"/>
        <v>1.1073477896086118E-6</v>
      </c>
      <c r="V85" s="260">
        <f t="shared" si="20"/>
        <v>1.0714392406257643E-6</v>
      </c>
      <c r="W85" s="260">
        <f t="shared" si="20"/>
        <v>1.0484574270753803E-6</v>
      </c>
      <c r="X85" s="260">
        <f t="shared" si="20"/>
        <v>1.027637759032011E-6</v>
      </c>
      <c r="Y85" s="260">
        <f t="shared" si="20"/>
        <v>9.1851765415289639E-7</v>
      </c>
      <c r="Z85" s="260">
        <f t="shared" si="20"/>
        <v>9.0507999880290496E-7</v>
      </c>
      <c r="AA85" s="260">
        <f t="shared" si="20"/>
        <v>8.9442565768923067E-7</v>
      </c>
      <c r="AB85" s="260">
        <f t="shared" si="20"/>
        <v>8.8707698867197771E-7</v>
      </c>
      <c r="AC85" s="260">
        <f t="shared" si="20"/>
        <v>8.7722267074515216E-7</v>
      </c>
      <c r="AD85" s="260">
        <f t="shared" si="20"/>
        <v>8.6716533758541134E-7</v>
      </c>
      <c r="AE85" s="260">
        <f t="shared" si="20"/>
        <v>8.5774813068596313E-7</v>
      </c>
      <c r="AF85" s="260">
        <f t="shared" si="20"/>
        <v>8.4324833221119149E-7</v>
      </c>
      <c r="AG85" s="260">
        <f t="shared" si="20"/>
        <v>8.3186615403843525E-7</v>
      </c>
      <c r="AH85" s="260">
        <f t="shared" si="20"/>
        <v>8.1773477482374225E-7</v>
      </c>
      <c r="AI85" s="260">
        <f t="shared" si="20"/>
        <v>8.0539368333799103E-7</v>
      </c>
      <c r="AJ85" s="260">
        <f t="shared" si="20"/>
        <v>7.9809814174578367E-7</v>
      </c>
      <c r="AK85" s="322"/>
    </row>
    <row r="86" spans="1:37" s="256" customFormat="1">
      <c r="A86" s="256" t="s">
        <v>341</v>
      </c>
      <c r="B86" s="260">
        <f>SUM(B81:B85)</f>
        <v>1</v>
      </c>
      <c r="C86" s="260">
        <f t="shared" ref="C86:AJ86" si="21">SUM(C81:C85)</f>
        <v>1</v>
      </c>
      <c r="D86" s="260">
        <f t="shared" si="21"/>
        <v>1</v>
      </c>
      <c r="E86" s="260">
        <f t="shared" si="21"/>
        <v>1</v>
      </c>
      <c r="F86" s="260">
        <f t="shared" si="21"/>
        <v>1</v>
      </c>
      <c r="G86" s="260">
        <f t="shared" si="21"/>
        <v>1</v>
      </c>
      <c r="H86" s="260">
        <f t="shared" si="21"/>
        <v>0.99999999999999989</v>
      </c>
      <c r="I86" s="260">
        <f t="shared" si="21"/>
        <v>1</v>
      </c>
      <c r="J86" s="260">
        <f t="shared" si="21"/>
        <v>1</v>
      </c>
      <c r="K86" s="260">
        <f t="shared" si="21"/>
        <v>1</v>
      </c>
      <c r="L86" s="260">
        <f t="shared" si="21"/>
        <v>1</v>
      </c>
      <c r="M86" s="260">
        <f t="shared" si="21"/>
        <v>1</v>
      </c>
      <c r="N86" s="260">
        <f t="shared" si="21"/>
        <v>1.0000000000000002</v>
      </c>
      <c r="O86" s="260">
        <f t="shared" si="21"/>
        <v>1.0000000000000002</v>
      </c>
      <c r="P86" s="260">
        <f t="shared" si="21"/>
        <v>1</v>
      </c>
      <c r="Q86" s="260">
        <f t="shared" si="21"/>
        <v>1.0000000000000002</v>
      </c>
      <c r="R86" s="260">
        <f t="shared" si="21"/>
        <v>0.99999999999999989</v>
      </c>
      <c r="S86" s="260">
        <f t="shared" si="21"/>
        <v>1</v>
      </c>
      <c r="T86" s="260">
        <f t="shared" si="21"/>
        <v>0.99999999999999989</v>
      </c>
      <c r="U86" s="260">
        <f t="shared" si="21"/>
        <v>1</v>
      </c>
      <c r="V86" s="260">
        <f t="shared" si="21"/>
        <v>1</v>
      </c>
      <c r="W86" s="260">
        <f t="shared" si="21"/>
        <v>1</v>
      </c>
      <c r="X86" s="260">
        <f t="shared" si="21"/>
        <v>0.99999999999999989</v>
      </c>
      <c r="Y86" s="260">
        <f t="shared" si="21"/>
        <v>1</v>
      </c>
      <c r="Z86" s="260">
        <f t="shared" si="21"/>
        <v>1</v>
      </c>
      <c r="AA86" s="260">
        <f t="shared" si="21"/>
        <v>1</v>
      </c>
      <c r="AB86" s="260">
        <f t="shared" si="21"/>
        <v>1</v>
      </c>
      <c r="AC86" s="260">
        <f t="shared" si="21"/>
        <v>0.99999999999999989</v>
      </c>
      <c r="AD86" s="260">
        <f t="shared" si="21"/>
        <v>0.99999999999999989</v>
      </c>
      <c r="AE86" s="260">
        <f t="shared" si="21"/>
        <v>0.99999999999999989</v>
      </c>
      <c r="AF86" s="260">
        <f t="shared" si="21"/>
        <v>1</v>
      </c>
      <c r="AG86" s="260">
        <f t="shared" si="21"/>
        <v>1</v>
      </c>
      <c r="AH86" s="260">
        <f t="shared" si="21"/>
        <v>0.99999999999999989</v>
      </c>
      <c r="AI86" s="260">
        <f t="shared" si="21"/>
        <v>1</v>
      </c>
      <c r="AJ86" s="260">
        <f t="shared" si="21"/>
        <v>0.99999999999999989</v>
      </c>
      <c r="AK86" s="322"/>
    </row>
    <row r="87" spans="1:37">
      <c r="A87" s="570" t="s">
        <v>632</v>
      </c>
      <c r="B87" s="570"/>
      <c r="C87" s="570"/>
      <c r="D87" s="570"/>
      <c r="E87" s="570"/>
      <c r="F87" s="570"/>
      <c r="G87" s="570"/>
      <c r="H87" s="570"/>
      <c r="I87" s="570"/>
      <c r="J87" s="570"/>
      <c r="K87" s="570"/>
      <c r="L87" s="570"/>
      <c r="M87" s="570"/>
      <c r="N87" s="570"/>
      <c r="O87" s="570"/>
      <c r="P87" s="570"/>
      <c r="Q87" s="570"/>
      <c r="R87" s="570"/>
      <c r="S87" s="570"/>
      <c r="T87" s="570"/>
      <c r="U87" s="570"/>
      <c r="V87" s="570"/>
      <c r="W87" s="570"/>
      <c r="X87" s="570"/>
      <c r="Y87" s="570"/>
      <c r="Z87" s="570"/>
      <c r="AA87" s="570"/>
      <c r="AB87" s="570"/>
      <c r="AC87" s="570"/>
      <c r="AD87" s="570"/>
      <c r="AE87" s="570"/>
      <c r="AF87" s="570"/>
    </row>
    <row r="88" spans="1:37">
      <c r="A88" s="569" t="s">
        <v>665</v>
      </c>
      <c r="B88" s="569"/>
      <c r="C88" s="569"/>
      <c r="D88" s="569"/>
      <c r="E88" s="569"/>
      <c r="F88" s="569"/>
      <c r="G88" s="569"/>
      <c r="H88" s="569"/>
      <c r="I88" s="569"/>
      <c r="J88" s="569"/>
      <c r="K88" s="569"/>
      <c r="L88" s="569"/>
      <c r="M88" s="569"/>
      <c r="N88" s="569"/>
      <c r="O88" s="569"/>
      <c r="P88" s="569"/>
      <c r="Q88" s="569"/>
      <c r="R88" s="569"/>
      <c r="S88" s="569"/>
      <c r="T88" s="569"/>
      <c r="U88" s="569"/>
      <c r="V88" s="569"/>
      <c r="W88" s="569"/>
      <c r="X88" s="569"/>
      <c r="Y88" s="569"/>
      <c r="Z88" s="569"/>
      <c r="AA88" s="569"/>
      <c r="AB88" s="569"/>
      <c r="AC88" s="569"/>
      <c r="AD88" s="569"/>
      <c r="AE88" s="569"/>
      <c r="AF88" s="569"/>
    </row>
    <row r="89" spans="1:37">
      <c r="A89" s="569" t="s">
        <v>666</v>
      </c>
      <c r="B89" s="569"/>
      <c r="C89" s="569"/>
      <c r="D89" s="569"/>
      <c r="E89" s="569"/>
      <c r="F89" s="569"/>
      <c r="G89" s="569"/>
      <c r="H89" s="569"/>
      <c r="I89" s="569"/>
      <c r="J89" s="569"/>
      <c r="K89" s="569"/>
      <c r="L89" s="569"/>
      <c r="M89" s="569"/>
      <c r="N89" s="569"/>
      <c r="O89" s="569"/>
      <c r="P89" s="569"/>
      <c r="Q89" s="569"/>
      <c r="R89" s="569"/>
      <c r="S89" s="569"/>
      <c r="T89" s="569"/>
      <c r="U89" s="569"/>
      <c r="V89" s="569"/>
      <c r="W89" s="569"/>
      <c r="X89" s="569"/>
      <c r="Y89" s="569"/>
      <c r="Z89" s="569"/>
      <c r="AA89" s="569"/>
      <c r="AB89" s="569"/>
      <c r="AC89" s="569"/>
      <c r="AD89" s="569"/>
      <c r="AE89" s="569"/>
      <c r="AF89" s="569"/>
    </row>
    <row r="90" spans="1:37">
      <c r="A90" s="569" t="s">
        <v>667</v>
      </c>
      <c r="B90" s="569"/>
      <c r="C90" s="569"/>
      <c r="D90" s="569"/>
      <c r="E90" s="569"/>
      <c r="F90" s="569"/>
      <c r="G90" s="569"/>
      <c r="H90" s="569"/>
      <c r="I90" s="569"/>
      <c r="J90" s="569"/>
      <c r="K90" s="569"/>
      <c r="L90" s="569"/>
      <c r="M90" s="569"/>
      <c r="N90" s="569"/>
      <c r="O90" s="569"/>
      <c r="P90" s="569"/>
      <c r="Q90" s="569"/>
      <c r="R90" s="569"/>
      <c r="S90" s="569"/>
      <c r="T90" s="569"/>
      <c r="U90" s="569"/>
      <c r="V90" s="569"/>
      <c r="W90" s="569"/>
      <c r="X90" s="569"/>
      <c r="Y90" s="569"/>
      <c r="Z90" s="569"/>
      <c r="AA90" s="569"/>
      <c r="AB90" s="569"/>
      <c r="AC90" s="569"/>
      <c r="AD90" s="569"/>
      <c r="AE90" s="569"/>
      <c r="AF90" s="569"/>
    </row>
    <row r="91" spans="1:37">
      <c r="A91" s="569" t="s">
        <v>668</v>
      </c>
      <c r="B91" s="569"/>
      <c r="C91" s="569"/>
      <c r="D91" s="569"/>
      <c r="E91" s="569"/>
      <c r="F91" s="569"/>
      <c r="G91" s="569"/>
      <c r="H91" s="569"/>
      <c r="I91" s="569"/>
      <c r="J91" s="569"/>
      <c r="K91" s="569"/>
      <c r="L91" s="569"/>
      <c r="M91" s="569"/>
      <c r="N91" s="569"/>
      <c r="O91" s="569"/>
      <c r="P91" s="569"/>
      <c r="Q91" s="569"/>
      <c r="R91" s="569"/>
      <c r="S91" s="569"/>
      <c r="T91" s="569"/>
      <c r="U91" s="569"/>
      <c r="V91" s="569"/>
      <c r="W91" s="569"/>
      <c r="X91" s="569"/>
      <c r="Y91" s="569"/>
      <c r="Z91" s="569"/>
      <c r="AA91" s="569"/>
      <c r="AB91" s="569"/>
      <c r="AC91" s="569"/>
      <c r="AD91" s="569"/>
      <c r="AE91" s="569"/>
      <c r="AF91" s="569"/>
    </row>
    <row r="92" spans="1:37">
      <c r="A92" s="569" t="s">
        <v>669</v>
      </c>
      <c r="B92" s="569"/>
      <c r="C92" s="569"/>
      <c r="D92" s="569"/>
      <c r="E92" s="569"/>
      <c r="F92" s="569"/>
      <c r="G92" s="569"/>
      <c r="H92" s="569"/>
      <c r="I92" s="569"/>
      <c r="J92" s="569"/>
      <c r="K92" s="569"/>
      <c r="L92" s="569"/>
      <c r="M92" s="569"/>
      <c r="N92" s="569"/>
      <c r="O92" s="569"/>
      <c r="P92" s="569"/>
      <c r="Q92" s="569"/>
      <c r="R92" s="569"/>
      <c r="S92" s="569"/>
      <c r="T92" s="569"/>
      <c r="U92" s="569"/>
      <c r="V92" s="569"/>
      <c r="W92" s="569"/>
      <c r="X92" s="569"/>
      <c r="Y92" s="569"/>
      <c r="Z92" s="569"/>
      <c r="AA92" s="569"/>
      <c r="AB92" s="569"/>
      <c r="AC92" s="569"/>
      <c r="AD92" s="569"/>
      <c r="AE92" s="569"/>
      <c r="AF92" s="569"/>
    </row>
    <row r="93" spans="1:37">
      <c r="A93" s="569" t="s">
        <v>670</v>
      </c>
      <c r="B93" s="569"/>
      <c r="C93" s="569"/>
      <c r="D93" s="569"/>
      <c r="E93" s="569"/>
      <c r="F93" s="569"/>
      <c r="G93" s="569"/>
      <c r="H93" s="569"/>
      <c r="I93" s="569"/>
      <c r="J93" s="569"/>
      <c r="K93" s="569"/>
      <c r="L93" s="569"/>
      <c r="M93" s="569"/>
      <c r="N93" s="569"/>
      <c r="O93" s="569"/>
      <c r="P93" s="569"/>
      <c r="Q93" s="569"/>
      <c r="R93" s="569"/>
      <c r="S93" s="569"/>
      <c r="T93" s="569"/>
      <c r="U93" s="569"/>
      <c r="V93" s="569"/>
      <c r="W93" s="569"/>
      <c r="X93" s="569"/>
      <c r="Y93" s="569"/>
      <c r="Z93" s="569"/>
      <c r="AA93" s="569"/>
      <c r="AB93" s="569"/>
      <c r="AC93" s="569"/>
      <c r="AD93" s="569"/>
      <c r="AE93" s="569"/>
      <c r="AF93" s="569"/>
    </row>
    <row r="94" spans="1:37">
      <c r="A94" s="569" t="s">
        <v>671</v>
      </c>
      <c r="B94" s="569"/>
      <c r="C94" s="569"/>
      <c r="D94" s="569"/>
      <c r="E94" s="569"/>
      <c r="F94" s="569"/>
      <c r="G94" s="569"/>
      <c r="H94" s="569"/>
      <c r="I94" s="569"/>
      <c r="J94" s="569"/>
      <c r="K94" s="569"/>
      <c r="L94" s="569"/>
      <c r="M94" s="569"/>
      <c r="N94" s="569"/>
      <c r="O94" s="569"/>
      <c r="P94" s="569"/>
      <c r="Q94" s="569"/>
      <c r="R94" s="569"/>
      <c r="S94" s="569"/>
      <c r="T94" s="569"/>
      <c r="U94" s="569"/>
      <c r="V94" s="569"/>
      <c r="W94" s="569"/>
      <c r="X94" s="569"/>
      <c r="Y94" s="569"/>
      <c r="Z94" s="569"/>
      <c r="AA94" s="569"/>
      <c r="AB94" s="569"/>
      <c r="AC94" s="569"/>
      <c r="AD94" s="569"/>
      <c r="AE94" s="569"/>
      <c r="AF94" s="569"/>
    </row>
    <row r="95" spans="1:37">
      <c r="A95" s="569" t="s">
        <v>672</v>
      </c>
      <c r="B95" s="569"/>
      <c r="C95" s="569"/>
      <c r="D95" s="569"/>
      <c r="E95" s="569"/>
      <c r="F95" s="569"/>
      <c r="G95" s="569"/>
      <c r="H95" s="569"/>
      <c r="I95" s="569"/>
      <c r="J95" s="569"/>
      <c r="K95" s="569"/>
      <c r="L95" s="569"/>
      <c r="M95" s="569"/>
      <c r="N95" s="569"/>
      <c r="O95" s="569"/>
      <c r="P95" s="569"/>
      <c r="Q95" s="569"/>
      <c r="R95" s="569"/>
      <c r="S95" s="569"/>
      <c r="T95" s="569"/>
      <c r="U95" s="569"/>
      <c r="V95" s="569"/>
      <c r="W95" s="569"/>
      <c r="X95" s="569"/>
      <c r="Y95" s="569"/>
      <c r="Z95" s="569"/>
      <c r="AA95" s="569"/>
      <c r="AB95" s="569"/>
      <c r="AC95" s="569"/>
      <c r="AD95" s="569"/>
      <c r="AE95" s="569"/>
      <c r="AF95" s="569"/>
    </row>
    <row r="96" spans="1:37">
      <c r="A96" s="569" t="s">
        <v>673</v>
      </c>
      <c r="B96" s="569"/>
      <c r="C96" s="569"/>
      <c r="D96" s="569"/>
      <c r="E96" s="569"/>
      <c r="F96" s="569"/>
      <c r="G96" s="569"/>
      <c r="H96" s="569"/>
      <c r="I96" s="569"/>
      <c r="J96" s="569"/>
      <c r="K96" s="569"/>
      <c r="L96" s="569"/>
      <c r="M96" s="569"/>
      <c r="N96" s="569"/>
      <c r="O96" s="569"/>
      <c r="P96" s="569"/>
      <c r="Q96" s="569"/>
      <c r="R96" s="569"/>
      <c r="S96" s="569"/>
      <c r="T96" s="569"/>
      <c r="U96" s="569"/>
      <c r="V96" s="569"/>
      <c r="W96" s="569"/>
      <c r="X96" s="569"/>
      <c r="Y96" s="569"/>
      <c r="Z96" s="569"/>
      <c r="AA96" s="569"/>
      <c r="AB96" s="569"/>
      <c r="AC96" s="569"/>
      <c r="AD96" s="569"/>
      <c r="AE96" s="569"/>
      <c r="AF96" s="569"/>
    </row>
    <row r="97" spans="1:32">
      <c r="A97" s="569" t="s">
        <v>674</v>
      </c>
      <c r="B97" s="569"/>
      <c r="C97" s="569"/>
      <c r="D97" s="569"/>
      <c r="E97" s="569"/>
      <c r="F97" s="569"/>
      <c r="G97" s="569"/>
      <c r="H97" s="569"/>
      <c r="I97" s="569"/>
      <c r="J97" s="569"/>
      <c r="K97" s="569"/>
      <c r="L97" s="569"/>
      <c r="M97" s="569"/>
      <c r="N97" s="569"/>
      <c r="O97" s="569"/>
      <c r="P97" s="569"/>
      <c r="Q97" s="569"/>
      <c r="R97" s="569"/>
      <c r="S97" s="569"/>
      <c r="T97" s="569"/>
      <c r="U97" s="569"/>
      <c r="V97" s="569"/>
      <c r="W97" s="569"/>
      <c r="X97" s="569"/>
      <c r="Y97" s="569"/>
      <c r="Z97" s="569"/>
      <c r="AA97" s="569"/>
      <c r="AB97" s="569"/>
      <c r="AC97" s="569"/>
      <c r="AD97" s="569"/>
      <c r="AE97" s="569"/>
      <c r="AF97" s="569"/>
    </row>
    <row r="98" spans="1:32">
      <c r="A98" s="569" t="s">
        <v>675</v>
      </c>
      <c r="B98" s="569"/>
      <c r="C98" s="569"/>
      <c r="D98" s="569"/>
      <c r="E98" s="569"/>
      <c r="F98" s="569"/>
      <c r="G98" s="569"/>
      <c r="H98" s="569"/>
      <c r="I98" s="569"/>
      <c r="J98" s="569"/>
      <c r="K98" s="569"/>
      <c r="L98" s="569"/>
      <c r="M98" s="569"/>
      <c r="N98" s="569"/>
      <c r="O98" s="569"/>
      <c r="P98" s="569"/>
      <c r="Q98" s="569"/>
      <c r="R98" s="569"/>
      <c r="S98" s="569"/>
      <c r="T98" s="569"/>
      <c r="U98" s="569"/>
      <c r="V98" s="569"/>
      <c r="W98" s="569"/>
      <c r="X98" s="569"/>
      <c r="Y98" s="569"/>
      <c r="Z98" s="569"/>
      <c r="AA98" s="569"/>
      <c r="AB98" s="569"/>
      <c r="AC98" s="569"/>
      <c r="AD98" s="569"/>
      <c r="AE98" s="569"/>
      <c r="AF98" s="569"/>
    </row>
    <row r="99" spans="1:32">
      <c r="A99" s="569" t="s">
        <v>676</v>
      </c>
      <c r="B99" s="569"/>
      <c r="C99" s="569"/>
      <c r="D99" s="569"/>
      <c r="E99" s="569"/>
      <c r="F99" s="569"/>
      <c r="G99" s="569"/>
      <c r="H99" s="569"/>
      <c r="I99" s="569"/>
      <c r="J99" s="569"/>
      <c r="K99" s="569"/>
      <c r="L99" s="569"/>
      <c r="M99" s="569"/>
      <c r="N99" s="569"/>
      <c r="O99" s="569"/>
      <c r="P99" s="569"/>
      <c r="Q99" s="569"/>
      <c r="R99" s="569"/>
      <c r="S99" s="569"/>
      <c r="T99" s="569"/>
      <c r="U99" s="569"/>
      <c r="V99" s="569"/>
      <c r="W99" s="569"/>
      <c r="X99" s="569"/>
      <c r="Y99" s="569"/>
      <c r="Z99" s="569"/>
      <c r="AA99" s="569"/>
      <c r="AB99" s="569"/>
      <c r="AC99" s="569"/>
      <c r="AD99" s="569"/>
      <c r="AE99" s="569"/>
      <c r="AF99" s="569"/>
    </row>
    <row r="100" spans="1:32">
      <c r="A100" s="569" t="s">
        <v>677</v>
      </c>
      <c r="B100" s="569"/>
      <c r="C100" s="569"/>
      <c r="D100" s="569"/>
      <c r="E100" s="569"/>
      <c r="F100" s="569"/>
      <c r="G100" s="569"/>
      <c r="H100" s="569"/>
      <c r="I100" s="569"/>
      <c r="J100" s="569"/>
      <c r="K100" s="569"/>
      <c r="L100" s="569"/>
      <c r="M100" s="569"/>
      <c r="N100" s="569"/>
      <c r="O100" s="569"/>
      <c r="P100" s="569"/>
      <c r="Q100" s="569"/>
      <c r="R100" s="569"/>
      <c r="S100" s="569"/>
      <c r="T100" s="569"/>
      <c r="U100" s="569"/>
      <c r="V100" s="569"/>
      <c r="W100" s="569"/>
      <c r="X100" s="569"/>
      <c r="Y100" s="569"/>
      <c r="Z100" s="569"/>
      <c r="AA100" s="569"/>
      <c r="AB100" s="569"/>
      <c r="AC100" s="569"/>
      <c r="AD100" s="569"/>
      <c r="AE100" s="569"/>
      <c r="AF100" s="569"/>
    </row>
    <row r="101" spans="1:32">
      <c r="A101" s="569" t="s">
        <v>678</v>
      </c>
      <c r="B101" s="569"/>
      <c r="C101" s="569"/>
      <c r="D101" s="569"/>
      <c r="E101" s="569"/>
      <c r="F101" s="569"/>
      <c r="G101" s="569"/>
      <c r="H101" s="569"/>
      <c r="I101" s="569"/>
      <c r="J101" s="569"/>
      <c r="K101" s="569"/>
      <c r="L101" s="569"/>
      <c r="M101" s="569"/>
      <c r="N101" s="569"/>
      <c r="O101" s="569"/>
      <c r="P101" s="569"/>
      <c r="Q101" s="569"/>
      <c r="R101" s="569"/>
      <c r="S101" s="569"/>
      <c r="T101" s="569"/>
      <c r="U101" s="569"/>
      <c r="V101" s="569"/>
      <c r="W101" s="569"/>
      <c r="X101" s="569"/>
      <c r="Y101" s="569"/>
      <c r="Z101" s="569"/>
      <c r="AA101" s="569"/>
      <c r="AB101" s="569"/>
      <c r="AC101" s="569"/>
      <c r="AD101" s="569"/>
      <c r="AE101" s="569"/>
      <c r="AF101" s="569"/>
    </row>
    <row r="102" spans="1:32">
      <c r="A102" s="569" t="s">
        <v>679</v>
      </c>
      <c r="B102" s="569"/>
      <c r="C102" s="569"/>
      <c r="D102" s="569"/>
      <c r="E102" s="569"/>
      <c r="F102" s="569"/>
      <c r="G102" s="569"/>
      <c r="H102" s="569"/>
      <c r="I102" s="569"/>
      <c r="J102" s="569"/>
      <c r="K102" s="569"/>
      <c r="L102" s="569"/>
      <c r="M102" s="569"/>
      <c r="N102" s="569"/>
      <c r="O102" s="569"/>
      <c r="P102" s="569"/>
      <c r="Q102" s="569"/>
      <c r="R102" s="569"/>
      <c r="S102" s="569"/>
      <c r="T102" s="569"/>
      <c r="U102" s="569"/>
      <c r="V102" s="569"/>
      <c r="W102" s="569"/>
      <c r="X102" s="569"/>
      <c r="Y102" s="569"/>
      <c r="Z102" s="569"/>
      <c r="AA102" s="569"/>
      <c r="AB102" s="569"/>
      <c r="AC102" s="569"/>
      <c r="AD102" s="569"/>
      <c r="AE102" s="569"/>
      <c r="AF102" s="569"/>
    </row>
    <row r="103" spans="1:32">
      <c r="A103" s="569" t="s">
        <v>680</v>
      </c>
      <c r="B103" s="569"/>
      <c r="C103" s="569"/>
      <c r="D103" s="569"/>
      <c r="E103" s="569"/>
      <c r="F103" s="569"/>
      <c r="G103" s="569"/>
      <c r="H103" s="569"/>
      <c r="I103" s="569"/>
      <c r="J103" s="569"/>
      <c r="K103" s="569"/>
      <c r="L103" s="569"/>
      <c r="M103" s="569"/>
      <c r="N103" s="569"/>
      <c r="O103" s="569"/>
      <c r="P103" s="569"/>
      <c r="Q103" s="569"/>
      <c r="R103" s="569"/>
      <c r="S103" s="569"/>
      <c r="T103" s="569"/>
      <c r="U103" s="569"/>
      <c r="V103" s="569"/>
      <c r="W103" s="569"/>
      <c r="X103" s="569"/>
      <c r="Y103" s="569"/>
      <c r="Z103" s="569"/>
      <c r="AA103" s="569"/>
      <c r="AB103" s="569"/>
      <c r="AC103" s="569"/>
      <c r="AD103" s="569"/>
      <c r="AE103" s="569"/>
      <c r="AF103" s="569"/>
    </row>
    <row r="104" spans="1:32">
      <c r="A104" s="569" t="s">
        <v>681</v>
      </c>
      <c r="B104" s="569"/>
      <c r="C104" s="569"/>
      <c r="D104" s="569"/>
      <c r="E104" s="569"/>
      <c r="F104" s="569"/>
      <c r="G104" s="569"/>
      <c r="H104" s="569"/>
      <c r="I104" s="569"/>
      <c r="J104" s="569"/>
      <c r="K104" s="569"/>
      <c r="L104" s="569"/>
      <c r="M104" s="569"/>
      <c r="N104" s="569"/>
      <c r="O104" s="569"/>
      <c r="P104" s="569"/>
      <c r="Q104" s="569"/>
      <c r="R104" s="569"/>
      <c r="S104" s="569"/>
      <c r="T104" s="569"/>
      <c r="U104" s="569"/>
      <c r="V104" s="569"/>
      <c r="W104" s="569"/>
      <c r="X104" s="569"/>
      <c r="Y104" s="569"/>
      <c r="Z104" s="569"/>
      <c r="AA104" s="569"/>
      <c r="AB104" s="569"/>
      <c r="AC104" s="569"/>
      <c r="AD104" s="569"/>
      <c r="AE104" s="569"/>
      <c r="AF104" s="569"/>
    </row>
    <row r="105" spans="1:32">
      <c r="A105" s="569" t="s">
        <v>682</v>
      </c>
      <c r="B105" s="569"/>
      <c r="C105" s="569"/>
      <c r="D105" s="569"/>
      <c r="E105" s="569"/>
      <c r="F105" s="569"/>
      <c r="G105" s="569"/>
      <c r="H105" s="569"/>
      <c r="I105" s="569"/>
      <c r="J105" s="569"/>
      <c r="K105" s="569"/>
      <c r="L105" s="569"/>
      <c r="M105" s="569"/>
      <c r="N105" s="569"/>
      <c r="O105" s="569"/>
      <c r="P105" s="569"/>
      <c r="Q105" s="569"/>
      <c r="R105" s="569"/>
      <c r="S105" s="569"/>
      <c r="T105" s="569"/>
      <c r="U105" s="569"/>
      <c r="V105" s="569"/>
      <c r="W105" s="569"/>
      <c r="X105" s="569"/>
      <c r="Y105" s="569"/>
      <c r="Z105" s="569"/>
      <c r="AA105" s="569"/>
      <c r="AB105" s="569"/>
      <c r="AC105" s="569"/>
      <c r="AD105" s="569"/>
      <c r="AE105" s="569"/>
      <c r="AF105" s="569"/>
    </row>
    <row r="106" spans="1:32">
      <c r="A106" s="569" t="s">
        <v>683</v>
      </c>
      <c r="B106" s="569"/>
      <c r="C106" s="569"/>
      <c r="D106" s="569"/>
      <c r="E106" s="569"/>
      <c r="F106" s="569"/>
      <c r="G106" s="569"/>
      <c r="H106" s="569"/>
      <c r="I106" s="569"/>
      <c r="J106" s="569"/>
      <c r="K106" s="569"/>
      <c r="L106" s="569"/>
      <c r="M106" s="569"/>
      <c r="N106" s="569"/>
      <c r="O106" s="569"/>
      <c r="P106" s="569"/>
      <c r="Q106" s="569"/>
      <c r="R106" s="569"/>
      <c r="S106" s="569"/>
      <c r="T106" s="569"/>
      <c r="U106" s="569"/>
      <c r="V106" s="569"/>
      <c r="W106" s="569"/>
      <c r="X106" s="569"/>
      <c r="Y106" s="569"/>
      <c r="Z106" s="569"/>
      <c r="AA106" s="569"/>
      <c r="AB106" s="569"/>
      <c r="AC106" s="569"/>
      <c r="AD106" s="569"/>
      <c r="AE106" s="569"/>
      <c r="AF106" s="569"/>
    </row>
    <row r="107" spans="1:32">
      <c r="A107" s="569" t="s">
        <v>684</v>
      </c>
      <c r="B107" s="569"/>
      <c r="C107" s="569"/>
      <c r="D107" s="569"/>
      <c r="E107" s="569"/>
      <c r="F107" s="569"/>
      <c r="G107" s="569"/>
      <c r="H107" s="569"/>
      <c r="I107" s="569"/>
      <c r="J107" s="569"/>
      <c r="K107" s="569"/>
      <c r="L107" s="569"/>
      <c r="M107" s="569"/>
      <c r="N107" s="569"/>
      <c r="O107" s="569"/>
      <c r="P107" s="569"/>
      <c r="Q107" s="569"/>
      <c r="R107" s="569"/>
      <c r="S107" s="569"/>
      <c r="T107" s="569"/>
      <c r="U107" s="569"/>
      <c r="V107" s="569"/>
      <c r="W107" s="569"/>
      <c r="X107" s="569"/>
      <c r="Y107" s="569"/>
      <c r="Z107" s="569"/>
      <c r="AA107" s="569"/>
      <c r="AB107" s="569"/>
      <c r="AC107" s="569"/>
      <c r="AD107" s="569"/>
      <c r="AE107" s="569"/>
      <c r="AF107" s="569"/>
    </row>
    <row r="108" spans="1:32">
      <c r="A108" s="569" t="s">
        <v>636</v>
      </c>
      <c r="B108" s="569"/>
      <c r="C108" s="569"/>
      <c r="D108" s="569"/>
      <c r="E108" s="569"/>
      <c r="F108" s="569"/>
      <c r="G108" s="569"/>
      <c r="H108" s="569"/>
      <c r="I108" s="569"/>
      <c r="J108" s="569"/>
      <c r="K108" s="569"/>
      <c r="L108" s="569"/>
      <c r="M108" s="569"/>
      <c r="N108" s="569"/>
      <c r="O108" s="569"/>
      <c r="P108" s="569"/>
      <c r="Q108" s="569"/>
      <c r="R108" s="569"/>
      <c r="S108" s="569"/>
      <c r="T108" s="569"/>
      <c r="U108" s="569"/>
      <c r="V108" s="569"/>
      <c r="W108" s="569"/>
      <c r="X108" s="569"/>
      <c r="Y108" s="569"/>
      <c r="Z108" s="569"/>
      <c r="AA108" s="569"/>
      <c r="AB108" s="569"/>
      <c r="AC108" s="569"/>
      <c r="AD108" s="569"/>
      <c r="AE108" s="569"/>
      <c r="AF108" s="569"/>
    </row>
    <row r="109" spans="1:32">
      <c r="A109" s="569" t="s">
        <v>685</v>
      </c>
      <c r="B109" s="569"/>
      <c r="C109" s="569"/>
      <c r="D109" s="569"/>
      <c r="E109" s="569"/>
      <c r="F109" s="569"/>
      <c r="G109" s="569"/>
      <c r="H109" s="569"/>
      <c r="I109" s="569"/>
      <c r="J109" s="569"/>
      <c r="K109" s="569"/>
      <c r="L109" s="569"/>
      <c r="M109" s="569"/>
      <c r="N109" s="569"/>
      <c r="O109" s="569"/>
      <c r="P109" s="569"/>
      <c r="Q109" s="569"/>
      <c r="R109" s="569"/>
      <c r="S109" s="569"/>
      <c r="T109" s="569"/>
      <c r="U109" s="569"/>
      <c r="V109" s="569"/>
      <c r="W109" s="569"/>
      <c r="X109" s="569"/>
      <c r="Y109" s="569"/>
      <c r="Z109" s="569"/>
      <c r="AA109" s="569"/>
      <c r="AB109" s="569"/>
      <c r="AC109" s="569"/>
      <c r="AD109" s="569"/>
      <c r="AE109" s="569"/>
      <c r="AF109" s="569"/>
    </row>
    <row r="110" spans="1:32">
      <c r="A110" s="569" t="s">
        <v>686</v>
      </c>
      <c r="B110" s="569"/>
      <c r="C110" s="569"/>
      <c r="D110" s="569"/>
      <c r="E110" s="569"/>
      <c r="F110" s="569"/>
      <c r="G110" s="569"/>
      <c r="H110" s="569"/>
      <c r="I110" s="569"/>
      <c r="J110" s="569"/>
      <c r="K110" s="569"/>
      <c r="L110" s="569"/>
      <c r="M110" s="569"/>
      <c r="N110" s="569"/>
      <c r="O110" s="569"/>
      <c r="P110" s="569"/>
      <c r="Q110" s="569"/>
      <c r="R110" s="569"/>
      <c r="S110" s="569"/>
      <c r="T110" s="569"/>
      <c r="U110" s="569"/>
      <c r="V110" s="569"/>
      <c r="W110" s="569"/>
      <c r="X110" s="569"/>
      <c r="Y110" s="569"/>
      <c r="Z110" s="569"/>
      <c r="AA110" s="569"/>
      <c r="AB110" s="569"/>
      <c r="AC110" s="569"/>
      <c r="AD110" s="569"/>
      <c r="AE110" s="569"/>
      <c r="AF110" s="569"/>
    </row>
    <row r="111" spans="1:32">
      <c r="A111" s="569" t="s">
        <v>643</v>
      </c>
      <c r="B111" s="569"/>
      <c r="C111" s="569"/>
      <c r="D111" s="569"/>
      <c r="E111" s="569"/>
      <c r="F111" s="569"/>
      <c r="G111" s="569"/>
      <c r="H111" s="569"/>
      <c r="I111" s="569"/>
      <c r="J111" s="569"/>
      <c r="K111" s="569"/>
      <c r="L111" s="569"/>
      <c r="M111" s="569"/>
      <c r="N111" s="569"/>
      <c r="O111" s="569"/>
      <c r="P111" s="569"/>
      <c r="Q111" s="569"/>
      <c r="R111" s="569"/>
      <c r="S111" s="569"/>
      <c r="T111" s="569"/>
      <c r="U111" s="569"/>
      <c r="V111" s="569"/>
      <c r="W111" s="569"/>
      <c r="X111" s="569"/>
      <c r="Y111" s="569"/>
      <c r="Z111" s="569"/>
      <c r="AA111" s="569"/>
      <c r="AB111" s="569"/>
      <c r="AC111" s="569"/>
      <c r="AD111" s="569"/>
      <c r="AE111" s="569"/>
      <c r="AF111" s="569"/>
    </row>
    <row r="112" spans="1:32">
      <c r="A112" s="569" t="s">
        <v>644</v>
      </c>
      <c r="B112" s="569"/>
      <c r="C112" s="569"/>
      <c r="D112" s="569"/>
      <c r="E112" s="569"/>
      <c r="F112" s="569"/>
      <c r="G112" s="569"/>
      <c r="H112" s="569"/>
      <c r="I112" s="569"/>
      <c r="J112" s="569"/>
      <c r="K112" s="569"/>
      <c r="L112" s="569"/>
      <c r="M112" s="569"/>
      <c r="N112" s="569"/>
      <c r="O112" s="569"/>
      <c r="P112" s="569"/>
      <c r="Q112" s="569"/>
      <c r="R112" s="569"/>
      <c r="S112" s="569"/>
      <c r="T112" s="569"/>
      <c r="U112" s="569"/>
      <c r="V112" s="569"/>
      <c r="W112" s="569"/>
      <c r="X112" s="569"/>
      <c r="Y112" s="569"/>
      <c r="Z112" s="569"/>
      <c r="AA112" s="569"/>
      <c r="AB112" s="569"/>
      <c r="AC112" s="569"/>
      <c r="AD112" s="569"/>
      <c r="AE112" s="569"/>
      <c r="AF112" s="569"/>
    </row>
    <row r="113" spans="1:32">
      <c r="A113" s="569" t="s">
        <v>645</v>
      </c>
      <c r="B113" s="569"/>
      <c r="C113" s="569"/>
      <c r="D113" s="569"/>
      <c r="E113" s="569"/>
      <c r="F113" s="569"/>
      <c r="G113" s="569"/>
      <c r="H113" s="569"/>
      <c r="I113" s="569"/>
      <c r="J113" s="569"/>
      <c r="K113" s="569"/>
      <c r="L113" s="569"/>
      <c r="M113" s="569"/>
      <c r="N113" s="569"/>
      <c r="O113" s="569"/>
      <c r="P113" s="569"/>
      <c r="Q113" s="569"/>
      <c r="R113" s="569"/>
      <c r="S113" s="569"/>
      <c r="T113" s="569"/>
      <c r="U113" s="569"/>
      <c r="V113" s="569"/>
      <c r="W113" s="569"/>
      <c r="X113" s="569"/>
      <c r="Y113" s="569"/>
      <c r="Z113" s="569"/>
      <c r="AA113" s="569"/>
      <c r="AB113" s="569"/>
      <c r="AC113" s="569"/>
      <c r="AD113" s="569"/>
      <c r="AE113" s="569"/>
      <c r="AF113" s="569"/>
    </row>
    <row r="114" spans="1:32">
      <c r="A114" s="569" t="s">
        <v>687</v>
      </c>
      <c r="B114" s="569"/>
      <c r="C114" s="569"/>
      <c r="D114" s="569"/>
      <c r="E114" s="569"/>
      <c r="F114" s="569"/>
      <c r="G114" s="569"/>
      <c r="H114" s="569"/>
      <c r="I114" s="569"/>
      <c r="J114" s="569"/>
      <c r="K114" s="569"/>
      <c r="L114" s="569"/>
      <c r="M114" s="569"/>
      <c r="N114" s="569"/>
      <c r="O114" s="569"/>
      <c r="P114" s="569"/>
      <c r="Q114" s="569"/>
      <c r="R114" s="569"/>
      <c r="S114" s="569"/>
      <c r="T114" s="569"/>
      <c r="U114" s="569"/>
      <c r="V114" s="569"/>
      <c r="W114" s="569"/>
      <c r="X114" s="569"/>
      <c r="Y114" s="569"/>
      <c r="Z114" s="569"/>
      <c r="AA114" s="569"/>
      <c r="AB114" s="569"/>
      <c r="AC114" s="569"/>
      <c r="AD114" s="569"/>
      <c r="AE114" s="569"/>
      <c r="AF114" s="569"/>
    </row>
    <row r="115" spans="1:32">
      <c r="A115" s="569" t="s">
        <v>688</v>
      </c>
      <c r="B115" s="569"/>
      <c r="C115" s="569"/>
      <c r="D115" s="569"/>
      <c r="E115" s="569"/>
      <c r="F115" s="569"/>
      <c r="G115" s="569"/>
      <c r="H115" s="569"/>
      <c r="I115" s="569"/>
      <c r="J115" s="569"/>
      <c r="K115" s="569"/>
      <c r="L115" s="569"/>
      <c r="M115" s="569"/>
      <c r="N115" s="569"/>
      <c r="O115" s="569"/>
      <c r="P115" s="569"/>
      <c r="Q115" s="569"/>
      <c r="R115" s="569"/>
      <c r="S115" s="569"/>
      <c r="T115" s="569"/>
      <c r="U115" s="569"/>
      <c r="V115" s="569"/>
      <c r="W115" s="569"/>
      <c r="X115" s="569"/>
      <c r="Y115" s="569"/>
      <c r="Z115" s="569"/>
      <c r="AA115" s="569"/>
      <c r="AB115" s="569"/>
      <c r="AC115" s="569"/>
      <c r="AD115" s="569"/>
      <c r="AE115" s="569"/>
      <c r="AF115" s="569"/>
    </row>
    <row r="116" spans="1:32">
      <c r="A116" s="569" t="s">
        <v>620</v>
      </c>
      <c r="B116" s="569"/>
      <c r="C116" s="569"/>
      <c r="D116" s="569"/>
      <c r="E116" s="569"/>
      <c r="F116" s="569"/>
      <c r="G116" s="569"/>
      <c r="H116" s="569"/>
      <c r="I116" s="569"/>
      <c r="J116" s="569"/>
      <c r="K116" s="569"/>
      <c r="L116" s="569"/>
      <c r="M116" s="569"/>
      <c r="N116" s="569"/>
      <c r="O116" s="569"/>
      <c r="P116" s="569"/>
      <c r="Q116" s="569"/>
      <c r="R116" s="569"/>
      <c r="S116" s="569"/>
      <c r="T116" s="569"/>
      <c r="U116" s="569"/>
      <c r="V116" s="569"/>
      <c r="W116" s="569"/>
      <c r="X116" s="569"/>
      <c r="Y116" s="569"/>
      <c r="Z116" s="569"/>
      <c r="AA116" s="569"/>
      <c r="AB116" s="569"/>
      <c r="AC116" s="569"/>
      <c r="AD116" s="569"/>
      <c r="AE116" s="569"/>
      <c r="AF116" s="569"/>
    </row>
    <row r="117" spans="1:32">
      <c r="A117" s="569" t="s">
        <v>621</v>
      </c>
      <c r="B117" s="569"/>
      <c r="C117" s="569"/>
      <c r="D117" s="569"/>
      <c r="E117" s="569"/>
      <c r="F117" s="569"/>
      <c r="G117" s="569"/>
      <c r="H117" s="569"/>
      <c r="I117" s="569"/>
      <c r="J117" s="569"/>
      <c r="K117" s="569"/>
      <c r="L117" s="569"/>
      <c r="M117" s="569"/>
      <c r="N117" s="569"/>
      <c r="O117" s="569"/>
      <c r="P117" s="569"/>
      <c r="Q117" s="569"/>
      <c r="R117" s="569"/>
      <c r="S117" s="569"/>
      <c r="T117" s="569"/>
      <c r="U117" s="569"/>
      <c r="V117" s="569"/>
      <c r="W117" s="569"/>
      <c r="X117" s="569"/>
      <c r="Y117" s="569"/>
      <c r="Z117" s="569"/>
      <c r="AA117" s="569"/>
      <c r="AB117" s="569"/>
      <c r="AC117" s="569"/>
      <c r="AD117" s="569"/>
      <c r="AE117" s="569"/>
      <c r="AF117" s="569"/>
    </row>
    <row r="118" spans="1:32">
      <c r="A118" s="569" t="s">
        <v>622</v>
      </c>
      <c r="B118" s="569"/>
      <c r="C118" s="569"/>
      <c r="D118" s="569"/>
      <c r="E118" s="569"/>
      <c r="F118" s="569"/>
      <c r="G118" s="569"/>
      <c r="H118" s="569"/>
      <c r="I118" s="569"/>
      <c r="J118" s="569"/>
      <c r="K118" s="569"/>
      <c r="L118" s="569"/>
      <c r="M118" s="569"/>
      <c r="N118" s="569"/>
      <c r="O118" s="569"/>
      <c r="P118" s="569"/>
      <c r="Q118" s="569"/>
      <c r="R118" s="569"/>
      <c r="S118" s="569"/>
      <c r="T118" s="569"/>
      <c r="U118" s="569"/>
      <c r="V118" s="569"/>
      <c r="W118" s="569"/>
      <c r="X118" s="569"/>
      <c r="Y118" s="569"/>
      <c r="Z118" s="569"/>
      <c r="AA118" s="569"/>
      <c r="AB118" s="569"/>
      <c r="AC118" s="569"/>
      <c r="AD118" s="569"/>
      <c r="AE118" s="569"/>
      <c r="AF118" s="569"/>
    </row>
    <row r="119" spans="1:32">
      <c r="A119" s="569" t="s">
        <v>689</v>
      </c>
      <c r="B119" s="569"/>
      <c r="C119" s="569"/>
      <c r="D119" s="569"/>
      <c r="E119" s="569"/>
      <c r="F119" s="569"/>
      <c r="G119" s="569"/>
      <c r="H119" s="569"/>
      <c r="I119" s="569"/>
      <c r="J119" s="569"/>
      <c r="K119" s="569"/>
      <c r="L119" s="569"/>
      <c r="M119" s="569"/>
      <c r="N119" s="569"/>
      <c r="O119" s="569"/>
      <c r="P119" s="569"/>
      <c r="Q119" s="569"/>
      <c r="R119" s="569"/>
      <c r="S119" s="569"/>
      <c r="T119" s="569"/>
      <c r="U119" s="569"/>
      <c r="V119" s="569"/>
      <c r="W119" s="569"/>
      <c r="X119" s="569"/>
      <c r="Y119" s="569"/>
      <c r="Z119" s="569"/>
      <c r="AA119" s="569"/>
      <c r="AB119" s="569"/>
      <c r="AC119" s="569"/>
      <c r="AD119" s="569"/>
      <c r="AE119" s="569"/>
      <c r="AF119" s="569"/>
    </row>
    <row r="120" spans="1:32">
      <c r="A120" s="569" t="s">
        <v>690</v>
      </c>
      <c r="B120" s="569"/>
      <c r="C120" s="569"/>
      <c r="D120" s="569"/>
      <c r="E120" s="569"/>
      <c r="F120" s="569"/>
      <c r="G120" s="569"/>
      <c r="H120" s="569"/>
      <c r="I120" s="569"/>
      <c r="J120" s="569"/>
      <c r="K120" s="569"/>
      <c r="L120" s="569"/>
      <c r="M120" s="569"/>
      <c r="N120" s="569"/>
      <c r="O120" s="569"/>
      <c r="P120" s="569"/>
      <c r="Q120" s="569"/>
      <c r="R120" s="569"/>
      <c r="S120" s="569"/>
      <c r="T120" s="569"/>
      <c r="U120" s="569"/>
      <c r="V120" s="569"/>
      <c r="W120" s="569"/>
      <c r="X120" s="569"/>
      <c r="Y120" s="569"/>
      <c r="Z120" s="569"/>
      <c r="AA120" s="569"/>
      <c r="AB120" s="569"/>
      <c r="AC120" s="569"/>
      <c r="AD120" s="569"/>
      <c r="AE120" s="569"/>
      <c r="AF120" s="569"/>
    </row>
    <row r="121" spans="1:32">
      <c r="A121" s="569" t="s">
        <v>624</v>
      </c>
      <c r="B121" s="569"/>
      <c r="C121" s="569"/>
      <c r="D121" s="569"/>
      <c r="E121" s="569"/>
      <c r="F121" s="569"/>
      <c r="G121" s="569"/>
      <c r="H121" s="569"/>
      <c r="I121" s="569"/>
      <c r="J121" s="569"/>
      <c r="K121" s="569"/>
      <c r="L121" s="569"/>
      <c r="M121" s="569"/>
      <c r="N121" s="569"/>
      <c r="O121" s="569"/>
      <c r="P121" s="569"/>
      <c r="Q121" s="569"/>
      <c r="R121" s="569"/>
      <c r="S121" s="569"/>
      <c r="T121" s="569"/>
      <c r="U121" s="569"/>
      <c r="V121" s="569"/>
      <c r="W121" s="569"/>
      <c r="X121" s="569"/>
      <c r="Y121" s="569"/>
      <c r="Z121" s="569"/>
      <c r="AA121" s="569"/>
      <c r="AB121" s="569"/>
      <c r="AC121" s="569"/>
      <c r="AD121" s="569"/>
      <c r="AE121" s="569"/>
      <c r="AF121" s="569"/>
    </row>
    <row r="122" spans="1:32">
      <c r="A122" s="569" t="s">
        <v>627</v>
      </c>
      <c r="B122" s="569"/>
      <c r="C122" s="569"/>
      <c r="D122" s="569"/>
      <c r="E122" s="569"/>
      <c r="F122" s="569"/>
      <c r="G122" s="569"/>
      <c r="H122" s="569"/>
      <c r="I122" s="569"/>
      <c r="J122" s="569"/>
      <c r="K122" s="569"/>
      <c r="L122" s="569"/>
      <c r="M122" s="569"/>
      <c r="N122" s="569"/>
      <c r="O122" s="569"/>
      <c r="P122" s="569"/>
      <c r="Q122" s="569"/>
      <c r="R122" s="569"/>
      <c r="S122" s="569"/>
      <c r="T122" s="569"/>
      <c r="U122" s="569"/>
      <c r="V122" s="569"/>
      <c r="W122" s="569"/>
      <c r="X122" s="569"/>
      <c r="Y122" s="569"/>
      <c r="Z122" s="569"/>
      <c r="AA122" s="569"/>
      <c r="AB122" s="569"/>
      <c r="AC122" s="569"/>
      <c r="AD122" s="569"/>
      <c r="AE122" s="569"/>
      <c r="AF122" s="569"/>
    </row>
  </sheetData>
  <mergeCells count="36">
    <mergeCell ref="A87:AF87"/>
    <mergeCell ref="A88:AF88"/>
    <mergeCell ref="A89:AF89"/>
    <mergeCell ref="A90:AF90"/>
    <mergeCell ref="A91:AF91"/>
    <mergeCell ref="A92:AF92"/>
    <mergeCell ref="A93:AF93"/>
    <mergeCell ref="A94:AF94"/>
    <mergeCell ref="A95:AF95"/>
    <mergeCell ref="A96:AF96"/>
    <mergeCell ref="A97:AF97"/>
    <mergeCell ref="A98:AF98"/>
    <mergeCell ref="A99:AF99"/>
    <mergeCell ref="A100:AF100"/>
    <mergeCell ref="A101:AF101"/>
    <mergeCell ref="A102:AF102"/>
    <mergeCell ref="A103:AF103"/>
    <mergeCell ref="A104:AF104"/>
    <mergeCell ref="A105:AF105"/>
    <mergeCell ref="A106:AF106"/>
    <mergeCell ref="A107:AF107"/>
    <mergeCell ref="A108:AF108"/>
    <mergeCell ref="A109:AF109"/>
    <mergeCell ref="A110:AF110"/>
    <mergeCell ref="A111:AF111"/>
    <mergeCell ref="A112:AF112"/>
    <mergeCell ref="A113:AF113"/>
    <mergeCell ref="A114:AF114"/>
    <mergeCell ref="A115:AF115"/>
    <mergeCell ref="A116:AF116"/>
    <mergeCell ref="A122:AF122"/>
    <mergeCell ref="A117:AF117"/>
    <mergeCell ref="A118:AF118"/>
    <mergeCell ref="A119:AF119"/>
    <mergeCell ref="A120:AF120"/>
    <mergeCell ref="A121:AF121"/>
  </mergeCells>
  <pageMargins left="0.5" right="0.5" top="0.5" bottom="0.5" header="0.5" footer="0.5"/>
  <pageSetup orientation="portrait"/>
  <headerFooter alignWithMargins="0"/>
  <legacy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2:BX61"/>
  <sheetViews>
    <sheetView workbookViewId="0">
      <selection activeCell="I25" sqref="I25"/>
    </sheetView>
  </sheetViews>
  <sheetFormatPr baseColWidth="10" defaultColWidth="8.83203125" defaultRowHeight="11" x14ac:dyDescent="0"/>
  <cols>
    <col min="1" max="1" width="35.33203125" style="55" customWidth="1"/>
    <col min="2" max="28" width="8.83203125" style="53"/>
    <col min="29" max="39" width="10" style="53" bestFit="1" customWidth="1"/>
    <col min="40" max="44" width="11" style="53" bestFit="1" customWidth="1"/>
    <col min="45" max="48" width="12.5" style="53" bestFit="1" customWidth="1"/>
    <col min="49" max="49" width="13.5" style="53" bestFit="1" customWidth="1"/>
    <col min="50" max="50" width="8.83203125" style="54"/>
    <col min="51" max="54" width="8.83203125" style="53"/>
    <col min="55" max="55" width="11" style="53" bestFit="1" customWidth="1"/>
    <col min="56" max="58" width="10" style="53" bestFit="1" customWidth="1"/>
    <col min="59" max="62" width="11" style="53" bestFit="1" customWidth="1"/>
    <col min="63" max="65" width="12" style="53" bestFit="1" customWidth="1"/>
    <col min="66" max="68" width="13.5" style="53" bestFit="1" customWidth="1"/>
    <col min="69" max="72" width="14.5" style="53" bestFit="1" customWidth="1"/>
    <col min="73" max="75" width="15.5" style="53" bestFit="1" customWidth="1"/>
    <col min="76" max="76" width="17" style="53" bestFit="1" customWidth="1"/>
    <col min="77" max="16384" width="8.83203125" style="53"/>
  </cols>
  <sheetData>
    <row r="12" spans="1:55">
      <c r="A12" s="55" t="s">
        <v>245</v>
      </c>
      <c r="AB12" s="53" t="s">
        <v>244</v>
      </c>
      <c r="AC12" s="72">
        <v>0.06</v>
      </c>
      <c r="AW12" s="53" t="s">
        <v>243</v>
      </c>
      <c r="BB12" s="54"/>
      <c r="BC12" s="55" t="s">
        <v>245</v>
      </c>
    </row>
    <row r="13" spans="1:55">
      <c r="A13" s="58"/>
      <c r="B13" s="73" t="s">
        <v>251</v>
      </c>
      <c r="C13" s="74"/>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6"/>
      <c r="BB13" s="54"/>
      <c r="BC13" s="55" t="s">
        <v>249</v>
      </c>
    </row>
    <row r="14" spans="1:55">
      <c r="AX14" s="54" t="s">
        <v>242</v>
      </c>
      <c r="BB14" s="54"/>
    </row>
    <row r="15" spans="1:55" s="67" customFormat="1">
      <c r="A15" s="71" t="s">
        <v>144</v>
      </c>
      <c r="B15" s="67">
        <v>1956</v>
      </c>
      <c r="C15" s="67">
        <v>1957</v>
      </c>
      <c r="D15" s="67">
        <v>1958</v>
      </c>
      <c r="E15" s="67">
        <v>1959</v>
      </c>
      <c r="F15" s="67">
        <v>1960</v>
      </c>
      <c r="G15" s="67">
        <v>1961</v>
      </c>
      <c r="H15" s="67">
        <v>1962</v>
      </c>
      <c r="I15" s="67">
        <v>1963</v>
      </c>
      <c r="J15" s="67">
        <v>1964</v>
      </c>
      <c r="K15" s="67">
        <v>1965</v>
      </c>
      <c r="L15" s="67">
        <v>1966</v>
      </c>
      <c r="M15" s="67">
        <v>1967</v>
      </c>
      <c r="N15" s="67">
        <v>1968</v>
      </c>
      <c r="O15" s="67">
        <v>1969</v>
      </c>
      <c r="P15" s="67">
        <v>1970</v>
      </c>
      <c r="Q15" s="67">
        <v>1971</v>
      </c>
      <c r="R15" s="67">
        <v>1972</v>
      </c>
      <c r="S15" s="67">
        <v>1973</v>
      </c>
      <c r="T15" s="67">
        <v>1974</v>
      </c>
      <c r="U15" s="67">
        <v>1975</v>
      </c>
      <c r="V15" s="67">
        <v>1976</v>
      </c>
      <c r="W15" s="67">
        <v>1977</v>
      </c>
      <c r="X15" s="67">
        <v>1978</v>
      </c>
      <c r="Y15" s="67">
        <v>1979</v>
      </c>
      <c r="Z15" s="67">
        <v>1980</v>
      </c>
      <c r="AA15" s="67">
        <v>1981</v>
      </c>
      <c r="AB15" s="67">
        <v>1982</v>
      </c>
      <c r="AC15" s="67">
        <v>1983</v>
      </c>
      <c r="AD15" s="67">
        <v>1984</v>
      </c>
      <c r="AE15" s="67">
        <v>1985</v>
      </c>
      <c r="AF15" s="67">
        <v>1986</v>
      </c>
      <c r="AG15" s="67">
        <v>1987</v>
      </c>
      <c r="AH15" s="67">
        <v>1988</v>
      </c>
      <c r="AI15" s="67">
        <v>1989</v>
      </c>
      <c r="AJ15" s="67">
        <v>1990</v>
      </c>
      <c r="AK15" s="67" t="s">
        <v>237</v>
      </c>
      <c r="AL15" s="67" t="s">
        <v>236</v>
      </c>
      <c r="AM15" s="67" t="s">
        <v>235</v>
      </c>
      <c r="AN15" s="67" t="s">
        <v>234</v>
      </c>
      <c r="AO15" s="67">
        <v>1995</v>
      </c>
      <c r="AP15" s="67">
        <v>1996</v>
      </c>
      <c r="AQ15" s="67">
        <v>1997</v>
      </c>
      <c r="AR15" s="67">
        <v>1998</v>
      </c>
      <c r="AS15" s="67">
        <v>1999</v>
      </c>
      <c r="AT15" s="67">
        <v>2000</v>
      </c>
      <c r="AU15" s="67">
        <v>2001</v>
      </c>
      <c r="AV15" s="67">
        <v>2002</v>
      </c>
      <c r="AW15" s="67">
        <v>2003</v>
      </c>
      <c r="AX15" s="68">
        <v>2004</v>
      </c>
      <c r="BB15" s="68"/>
    </row>
    <row r="16" spans="1:55">
      <c r="A16" s="55" t="s">
        <v>241</v>
      </c>
      <c r="B16" s="60">
        <v>580</v>
      </c>
      <c r="C16" s="60">
        <v>596</v>
      </c>
      <c r="D16" s="60">
        <v>628</v>
      </c>
      <c r="E16" s="60">
        <v>647</v>
      </c>
      <c r="F16" s="60">
        <v>683</v>
      </c>
      <c r="G16" s="60">
        <v>688</v>
      </c>
      <c r="H16" s="60">
        <v>704</v>
      </c>
      <c r="I16" s="60">
        <v>820</v>
      </c>
      <c r="J16" s="60">
        <v>873</v>
      </c>
      <c r="K16" s="60">
        <v>1043</v>
      </c>
      <c r="L16" s="60">
        <v>1029</v>
      </c>
      <c r="M16" s="60">
        <v>1197</v>
      </c>
      <c r="N16" s="60">
        <v>1453</v>
      </c>
      <c r="O16" s="60">
        <v>1633</v>
      </c>
      <c r="P16" s="60">
        <v>1623</v>
      </c>
      <c r="Q16" s="60">
        <v>1892</v>
      </c>
      <c r="R16" s="60">
        <v>2195</v>
      </c>
      <c r="S16" s="60">
        <v>2813</v>
      </c>
      <c r="T16" s="60">
        <v>3031</v>
      </c>
      <c r="U16" s="60">
        <v>4003</v>
      </c>
      <c r="V16" s="60">
        <v>4272</v>
      </c>
      <c r="W16" s="60">
        <v>5445</v>
      </c>
      <c r="X16" s="60">
        <v>5618</v>
      </c>
      <c r="Y16" s="60">
        <v>6529</v>
      </c>
      <c r="Z16" s="60">
        <v>7924</v>
      </c>
      <c r="AA16" s="60">
        <v>9792</v>
      </c>
      <c r="AB16" s="60">
        <v>11316</v>
      </c>
      <c r="AC16" s="60">
        <v>12560</v>
      </c>
      <c r="AD16" s="60">
        <v>13260</v>
      </c>
      <c r="AE16" s="60">
        <v>13852</v>
      </c>
      <c r="AF16" s="60">
        <v>14698</v>
      </c>
      <c r="AG16" s="60">
        <v>15562</v>
      </c>
      <c r="AH16" s="60">
        <v>16293</v>
      </c>
      <c r="AI16" s="60">
        <v>17143</v>
      </c>
      <c r="AJ16" s="60">
        <v>18522</v>
      </c>
      <c r="AK16" s="60">
        <v>20261</v>
      </c>
      <c r="AL16" s="60">
        <v>21245</v>
      </c>
      <c r="AM16" s="60">
        <v>21094</v>
      </c>
      <c r="AN16" s="60">
        <v>24504</v>
      </c>
      <c r="AO16" s="60">
        <v>26178.21225</v>
      </c>
      <c r="AP16" s="60">
        <v>26368.949250000001</v>
      </c>
      <c r="AQ16" s="60">
        <v>27566.993499999997</v>
      </c>
      <c r="AR16" s="60">
        <v>26700.432250000002</v>
      </c>
      <c r="AS16" s="60">
        <v>28323.683249999998</v>
      </c>
      <c r="AT16" s="60">
        <v>31017.4385</v>
      </c>
      <c r="AU16" s="60">
        <v>33030.028000000006</v>
      </c>
      <c r="AV16" s="60">
        <v>37363.791749999997</v>
      </c>
      <c r="AW16" s="60">
        <v>41135.236749999996</v>
      </c>
      <c r="AX16" s="59">
        <v>43141.75</v>
      </c>
      <c r="BB16" s="54"/>
    </row>
    <row r="17" spans="1:76" s="67" customFormat="1">
      <c r="A17" s="71" t="s">
        <v>239</v>
      </c>
      <c r="B17" s="70">
        <v>109</v>
      </c>
      <c r="C17" s="70">
        <v>120</v>
      </c>
      <c r="D17" s="70">
        <v>134</v>
      </c>
      <c r="E17" s="70">
        <v>102</v>
      </c>
      <c r="F17" s="70">
        <v>94</v>
      </c>
      <c r="G17" s="70">
        <v>120</v>
      </c>
      <c r="H17" s="70">
        <v>90</v>
      </c>
      <c r="I17" s="70">
        <v>162</v>
      </c>
      <c r="J17" s="70">
        <v>155</v>
      </c>
      <c r="K17" s="70">
        <v>242</v>
      </c>
      <c r="L17" s="70">
        <v>216</v>
      </c>
      <c r="M17" s="70">
        <v>324</v>
      </c>
      <c r="N17" s="70">
        <v>443</v>
      </c>
      <c r="O17" s="70">
        <v>559</v>
      </c>
      <c r="P17" s="70">
        <v>366</v>
      </c>
      <c r="Q17" s="70">
        <v>446</v>
      </c>
      <c r="R17" s="70">
        <v>495</v>
      </c>
      <c r="S17" s="70">
        <v>920</v>
      </c>
      <c r="T17" s="70">
        <v>926</v>
      </c>
      <c r="U17" s="70">
        <v>1203</v>
      </c>
      <c r="V17" s="70">
        <v>1339</v>
      </c>
      <c r="W17" s="70">
        <v>1613</v>
      </c>
      <c r="X17" s="70">
        <v>1460</v>
      </c>
      <c r="Y17" s="70">
        <v>1694</v>
      </c>
      <c r="Z17" s="70">
        <v>2095</v>
      </c>
      <c r="AA17" s="70">
        <v>2731</v>
      </c>
      <c r="AB17" s="70">
        <v>3208</v>
      </c>
      <c r="AC17" s="70">
        <v>3679</v>
      </c>
      <c r="AD17" s="70">
        <v>3863</v>
      </c>
      <c r="AE17" s="70">
        <v>3830</v>
      </c>
      <c r="AF17" s="70">
        <v>3904</v>
      </c>
      <c r="AG17" s="70">
        <v>4095</v>
      </c>
      <c r="AH17" s="70">
        <v>4106</v>
      </c>
      <c r="AI17" s="70">
        <v>4683</v>
      </c>
      <c r="AJ17" s="70">
        <v>5491</v>
      </c>
      <c r="AK17" s="70">
        <v>5686</v>
      </c>
      <c r="AL17" s="70">
        <v>5690</v>
      </c>
      <c r="AM17" s="70">
        <v>5682</v>
      </c>
      <c r="AN17" s="70">
        <v>7102</v>
      </c>
      <c r="AO17" s="70">
        <v>7513.6582500000004</v>
      </c>
      <c r="AP17" s="70">
        <v>7531.7754999999997</v>
      </c>
      <c r="AQ17" s="70">
        <v>7571.0775000000003</v>
      </c>
      <c r="AR17" s="70">
        <v>7659.3407499999994</v>
      </c>
      <c r="AS17" s="70">
        <v>8082.08025</v>
      </c>
      <c r="AT17" s="70">
        <v>9432.36175</v>
      </c>
      <c r="AU17" s="70">
        <v>9287.1537500000013</v>
      </c>
      <c r="AV17" s="70">
        <v>12170.851999999999</v>
      </c>
      <c r="AW17" s="70">
        <v>14612.89575</v>
      </c>
      <c r="AX17" s="69">
        <v>15543.25</v>
      </c>
      <c r="BB17" s="68"/>
    </row>
    <row r="18" spans="1:76">
      <c r="A18" s="55" t="s">
        <v>238</v>
      </c>
      <c r="B18" s="60">
        <v>471</v>
      </c>
      <c r="C18" s="60">
        <v>476</v>
      </c>
      <c r="D18" s="60">
        <v>494</v>
      </c>
      <c r="E18" s="60">
        <v>545</v>
      </c>
      <c r="F18" s="60">
        <v>589</v>
      </c>
      <c r="G18" s="60">
        <v>568</v>
      </c>
      <c r="H18" s="60">
        <v>614</v>
      </c>
      <c r="I18" s="60">
        <v>658</v>
      </c>
      <c r="J18" s="60">
        <v>718</v>
      </c>
      <c r="K18" s="60">
        <v>801</v>
      </c>
      <c r="L18" s="60">
        <v>813</v>
      </c>
      <c r="M18" s="60">
        <v>873</v>
      </c>
      <c r="N18" s="60">
        <v>1010</v>
      </c>
      <c r="O18" s="60">
        <v>1074</v>
      </c>
      <c r="P18" s="60">
        <v>1257</v>
      </c>
      <c r="Q18" s="60">
        <v>1446</v>
      </c>
      <c r="R18" s="60">
        <v>1700</v>
      </c>
      <c r="S18" s="60">
        <v>1893</v>
      </c>
      <c r="T18" s="60">
        <v>2105</v>
      </c>
      <c r="U18" s="60">
        <v>2800</v>
      </c>
      <c r="V18" s="60">
        <v>2933</v>
      </c>
      <c r="W18" s="60">
        <v>3832</v>
      </c>
      <c r="X18" s="60">
        <v>4158</v>
      </c>
      <c r="Y18" s="60">
        <v>4835</v>
      </c>
      <c r="Z18" s="60">
        <v>5829</v>
      </c>
      <c r="AA18" s="60">
        <v>7061</v>
      </c>
      <c r="AB18" s="60">
        <v>8108</v>
      </c>
      <c r="AC18" s="60">
        <v>8881</v>
      </c>
      <c r="AD18" s="60">
        <v>9397</v>
      </c>
      <c r="AE18" s="60">
        <v>10022</v>
      </c>
      <c r="AF18" s="60">
        <v>10794</v>
      </c>
      <c r="AG18" s="60">
        <v>11467</v>
      </c>
      <c r="AH18" s="60">
        <v>12187</v>
      </c>
      <c r="AI18" s="60">
        <v>12460</v>
      </c>
      <c r="AJ18" s="60">
        <v>13031</v>
      </c>
      <c r="AK18" s="60">
        <v>14575</v>
      </c>
      <c r="AL18" s="60">
        <v>15555</v>
      </c>
      <c r="AM18" s="60">
        <v>15412</v>
      </c>
      <c r="AN18" s="60">
        <v>17402</v>
      </c>
      <c r="AO18" s="60">
        <v>18664.554</v>
      </c>
      <c r="AP18" s="60">
        <v>18837.173750000002</v>
      </c>
      <c r="AQ18" s="60">
        <v>19995.915999999997</v>
      </c>
      <c r="AR18" s="60">
        <v>19041.091500000002</v>
      </c>
      <c r="AS18" s="60">
        <v>20241.602999999999</v>
      </c>
      <c r="AT18" s="60">
        <v>21585.07675</v>
      </c>
      <c r="AU18" s="60">
        <v>23742.874250000001</v>
      </c>
      <c r="AV18" s="60">
        <v>25192.939749999998</v>
      </c>
      <c r="AW18" s="60">
        <v>26522.341</v>
      </c>
      <c r="AX18" s="59">
        <v>27598.5</v>
      </c>
      <c r="BB18" s="54"/>
    </row>
    <row r="19" spans="1:76">
      <c r="B19" s="60"/>
      <c r="C19" s="60"/>
      <c r="D19" s="60"/>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59"/>
      <c r="BB19" s="54"/>
    </row>
    <row r="20" spans="1:76">
      <c r="A20" s="55" t="s">
        <v>240</v>
      </c>
      <c r="B20" s="60">
        <v>8</v>
      </c>
      <c r="C20" s="60">
        <v>10</v>
      </c>
      <c r="D20" s="60">
        <v>14</v>
      </c>
      <c r="E20" s="60">
        <v>12</v>
      </c>
      <c r="F20" s="60">
        <v>10</v>
      </c>
      <c r="G20" s="60">
        <v>10</v>
      </c>
      <c r="H20" s="60">
        <v>26</v>
      </c>
      <c r="I20" s="60">
        <v>12</v>
      </c>
      <c r="J20" s="60">
        <v>15</v>
      </c>
      <c r="K20" s="60">
        <v>29</v>
      </c>
      <c r="L20" s="60">
        <v>26</v>
      </c>
      <c r="M20" s="60">
        <v>41</v>
      </c>
      <c r="N20" s="60">
        <v>28</v>
      </c>
      <c r="O20" s="60">
        <v>29</v>
      </c>
      <c r="P20" s="60">
        <v>30</v>
      </c>
      <c r="Q20" s="60">
        <v>119</v>
      </c>
      <c r="R20" s="60">
        <v>152</v>
      </c>
      <c r="S20" s="60">
        <v>187</v>
      </c>
      <c r="T20" s="60">
        <v>243</v>
      </c>
      <c r="U20" s="60">
        <v>929</v>
      </c>
      <c r="V20" s="60">
        <v>1459</v>
      </c>
      <c r="W20" s="60">
        <v>1895</v>
      </c>
      <c r="X20" s="60">
        <v>1938</v>
      </c>
      <c r="Y20" s="60">
        <v>2059</v>
      </c>
      <c r="Z20" s="60">
        <v>2404</v>
      </c>
      <c r="AA20" s="60">
        <v>3716</v>
      </c>
      <c r="AB20" s="60">
        <v>2154</v>
      </c>
      <c r="AC20" s="60">
        <v>1342</v>
      </c>
      <c r="AD20" s="60">
        <v>1558</v>
      </c>
      <c r="AE20" s="60">
        <v>1072</v>
      </c>
      <c r="AF20" s="60">
        <v>908</v>
      </c>
      <c r="AG20" s="60">
        <v>829</v>
      </c>
      <c r="AH20" s="60">
        <v>598</v>
      </c>
      <c r="AI20" s="60">
        <v>623</v>
      </c>
      <c r="AJ20" s="60">
        <v>558</v>
      </c>
      <c r="AK20" s="60">
        <v>807</v>
      </c>
      <c r="AL20" s="60">
        <v>928</v>
      </c>
      <c r="AM20" s="60">
        <v>839</v>
      </c>
      <c r="AN20" s="60">
        <v>854</v>
      </c>
      <c r="AO20" s="60">
        <v>1060</v>
      </c>
      <c r="AP20" s="60">
        <v>1023</v>
      </c>
      <c r="AQ20" s="60">
        <v>1147</v>
      </c>
      <c r="AR20" s="60">
        <v>1103</v>
      </c>
      <c r="AS20" s="60">
        <v>452</v>
      </c>
      <c r="AT20" s="60">
        <v>778</v>
      </c>
      <c r="AU20" s="60">
        <v>755</v>
      </c>
      <c r="AV20" s="60">
        <v>1317</v>
      </c>
      <c r="AW20" s="60">
        <v>1232</v>
      </c>
      <c r="AX20" s="59">
        <v>1534</v>
      </c>
      <c r="BB20" s="54"/>
    </row>
    <row r="21" spans="1:76" s="67" customFormat="1">
      <c r="A21" s="71" t="s">
        <v>239</v>
      </c>
      <c r="B21" s="70">
        <v>0</v>
      </c>
      <c r="C21" s="70">
        <v>0</v>
      </c>
      <c r="D21" s="70">
        <v>0</v>
      </c>
      <c r="E21" s="70">
        <v>0</v>
      </c>
      <c r="F21" s="70">
        <v>0</v>
      </c>
      <c r="G21" s="70">
        <v>0</v>
      </c>
      <c r="H21" s="70">
        <v>0</v>
      </c>
      <c r="I21" s="70">
        <v>0</v>
      </c>
      <c r="J21" s="70">
        <v>0</v>
      </c>
      <c r="K21" s="70">
        <v>0</v>
      </c>
      <c r="L21" s="70">
        <v>0</v>
      </c>
      <c r="M21" s="70">
        <v>0</v>
      </c>
      <c r="N21" s="70">
        <v>0</v>
      </c>
      <c r="O21" s="70">
        <v>0</v>
      </c>
      <c r="P21" s="70">
        <v>0</v>
      </c>
      <c r="Q21" s="70">
        <v>0</v>
      </c>
      <c r="R21" s="70">
        <v>0</v>
      </c>
      <c r="S21" s="70">
        <v>0</v>
      </c>
      <c r="T21" s="70">
        <v>47</v>
      </c>
      <c r="U21" s="70">
        <v>205</v>
      </c>
      <c r="V21" s="70">
        <v>568</v>
      </c>
      <c r="W21" s="70">
        <v>931</v>
      </c>
      <c r="X21" s="70">
        <v>848</v>
      </c>
      <c r="Y21" s="70">
        <v>1155</v>
      </c>
      <c r="Z21" s="70">
        <v>1246</v>
      </c>
      <c r="AA21" s="70">
        <v>451</v>
      </c>
      <c r="AB21" s="70">
        <v>521</v>
      </c>
      <c r="AC21" s="70">
        <v>426</v>
      </c>
      <c r="AD21" s="70">
        <v>433</v>
      </c>
      <c r="AE21" s="70">
        <v>336</v>
      </c>
      <c r="AF21" s="70">
        <v>136</v>
      </c>
      <c r="AG21" s="70">
        <v>148</v>
      </c>
      <c r="AH21" s="70">
        <v>0</v>
      </c>
      <c r="AI21" s="70">
        <v>-6</v>
      </c>
      <c r="AJ21" s="70">
        <v>-48</v>
      </c>
      <c r="AK21" s="70">
        <v>228</v>
      </c>
      <c r="AL21" s="70">
        <v>357</v>
      </c>
      <c r="AM21" s="70">
        <v>255</v>
      </c>
      <c r="AN21" s="70">
        <v>287</v>
      </c>
      <c r="AO21" s="70">
        <v>464</v>
      </c>
      <c r="AP21" s="70">
        <v>529</v>
      </c>
      <c r="AQ21" s="70">
        <v>664</v>
      </c>
      <c r="AR21" s="70">
        <v>638</v>
      </c>
      <c r="AS21" s="70">
        <v>316</v>
      </c>
      <c r="AT21" s="70">
        <v>620</v>
      </c>
      <c r="AU21" s="70">
        <v>596</v>
      </c>
      <c r="AV21" s="70">
        <v>1122</v>
      </c>
      <c r="AW21" s="70">
        <v>1043</v>
      </c>
      <c r="AX21" s="69">
        <v>1320</v>
      </c>
      <c r="BB21" s="68"/>
    </row>
    <row r="22" spans="1:76">
      <c r="A22" s="55" t="s">
        <v>238</v>
      </c>
      <c r="B22" s="60">
        <v>8</v>
      </c>
      <c r="C22" s="60">
        <v>10</v>
      </c>
      <c r="D22" s="60">
        <v>14</v>
      </c>
      <c r="E22" s="60">
        <v>12</v>
      </c>
      <c r="F22" s="60">
        <v>10</v>
      </c>
      <c r="G22" s="60">
        <v>10</v>
      </c>
      <c r="H22" s="60">
        <v>26</v>
      </c>
      <c r="I22" s="60">
        <v>12</v>
      </c>
      <c r="J22" s="60">
        <v>15</v>
      </c>
      <c r="K22" s="60">
        <v>29</v>
      </c>
      <c r="L22" s="60">
        <v>26</v>
      </c>
      <c r="M22" s="60">
        <v>41</v>
      </c>
      <c r="N22" s="60">
        <v>28</v>
      </c>
      <c r="O22" s="60">
        <v>29</v>
      </c>
      <c r="P22" s="60">
        <v>30</v>
      </c>
      <c r="Q22" s="60">
        <v>119</v>
      </c>
      <c r="R22" s="60">
        <v>152</v>
      </c>
      <c r="S22" s="60">
        <v>187</v>
      </c>
      <c r="T22" s="60">
        <v>196</v>
      </c>
      <c r="U22" s="60">
        <v>724</v>
      </c>
      <c r="V22" s="60">
        <v>891</v>
      </c>
      <c r="W22" s="60">
        <v>964</v>
      </c>
      <c r="X22" s="60">
        <v>1090</v>
      </c>
      <c r="Y22" s="60">
        <v>904</v>
      </c>
      <c r="Z22" s="60">
        <v>1158</v>
      </c>
      <c r="AA22" s="60">
        <v>3265</v>
      </c>
      <c r="AB22" s="60">
        <v>1633</v>
      </c>
      <c r="AC22" s="60">
        <v>916</v>
      </c>
      <c r="AD22" s="60">
        <v>1125</v>
      </c>
      <c r="AE22" s="60">
        <v>736</v>
      </c>
      <c r="AF22" s="60">
        <v>772</v>
      </c>
      <c r="AG22" s="60">
        <v>681</v>
      </c>
      <c r="AH22" s="60">
        <v>598</v>
      </c>
      <c r="AI22" s="60">
        <v>629</v>
      </c>
      <c r="AJ22" s="60">
        <v>606</v>
      </c>
      <c r="AK22" s="60">
        <v>579</v>
      </c>
      <c r="AL22" s="60">
        <v>571</v>
      </c>
      <c r="AM22" s="60">
        <v>584</v>
      </c>
      <c r="AN22" s="60">
        <v>567</v>
      </c>
      <c r="AO22" s="60">
        <v>596</v>
      </c>
      <c r="AP22" s="60">
        <v>494</v>
      </c>
      <c r="AQ22" s="60">
        <v>483</v>
      </c>
      <c r="AR22" s="60">
        <v>465</v>
      </c>
      <c r="AS22" s="60">
        <v>136</v>
      </c>
      <c r="AT22" s="60">
        <v>158</v>
      </c>
      <c r="AU22" s="60">
        <v>159</v>
      </c>
      <c r="AV22" s="60">
        <v>195</v>
      </c>
      <c r="AW22" s="60">
        <v>189</v>
      </c>
      <c r="AX22" s="59">
        <v>214</v>
      </c>
      <c r="BB22" s="54"/>
    </row>
    <row r="23" spans="1:76">
      <c r="B23" s="60"/>
      <c r="C23" s="60"/>
      <c r="D23" s="60"/>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59"/>
      <c r="BB23" s="54"/>
    </row>
    <row r="24" spans="1:76" s="67" customFormat="1">
      <c r="A24" s="71" t="s">
        <v>293</v>
      </c>
      <c r="B24" s="67">
        <v>1956</v>
      </c>
      <c r="C24" s="67">
        <v>1957</v>
      </c>
      <c r="D24" s="67">
        <v>1958</v>
      </c>
      <c r="E24" s="67">
        <v>1959</v>
      </c>
      <c r="F24" s="67">
        <v>1960</v>
      </c>
      <c r="G24" s="67">
        <v>1961</v>
      </c>
      <c r="H24" s="67">
        <v>1962</v>
      </c>
      <c r="I24" s="67">
        <v>1963</v>
      </c>
      <c r="J24" s="67">
        <v>1964</v>
      </c>
      <c r="K24" s="67">
        <v>1965</v>
      </c>
      <c r="L24" s="67">
        <v>1966</v>
      </c>
      <c r="M24" s="67">
        <v>1967</v>
      </c>
      <c r="N24" s="67">
        <v>1968</v>
      </c>
      <c r="O24" s="67">
        <v>1969</v>
      </c>
      <c r="P24" s="67">
        <v>1970</v>
      </c>
      <c r="Q24" s="67">
        <v>1971</v>
      </c>
      <c r="R24" s="67">
        <v>1972</v>
      </c>
      <c r="S24" s="67">
        <v>1973</v>
      </c>
      <c r="T24" s="67">
        <v>1974</v>
      </c>
      <c r="U24" s="67">
        <v>1975</v>
      </c>
      <c r="V24" s="67">
        <v>1976</v>
      </c>
      <c r="W24" s="67">
        <v>1977</v>
      </c>
      <c r="X24" s="67">
        <v>1978</v>
      </c>
      <c r="Y24" s="67">
        <v>1979</v>
      </c>
      <c r="Z24" s="67">
        <v>1980</v>
      </c>
      <c r="AA24" s="67">
        <v>1981</v>
      </c>
      <c r="AB24" s="67">
        <v>1982</v>
      </c>
      <c r="AC24" s="67">
        <v>1983</v>
      </c>
      <c r="AD24" s="67">
        <v>1984</v>
      </c>
      <c r="AE24" s="67">
        <v>1985</v>
      </c>
      <c r="AF24" s="67">
        <v>1986</v>
      </c>
      <c r="AG24" s="67">
        <v>1987</v>
      </c>
      <c r="AH24" s="67">
        <v>1988</v>
      </c>
      <c r="AI24" s="67">
        <v>1989</v>
      </c>
      <c r="AJ24" s="67">
        <v>1990</v>
      </c>
      <c r="AK24" s="67" t="s">
        <v>237</v>
      </c>
      <c r="AL24" s="67" t="s">
        <v>236</v>
      </c>
      <c r="AM24" s="67" t="s">
        <v>235</v>
      </c>
      <c r="AN24" s="67" t="s">
        <v>234</v>
      </c>
      <c r="AO24" s="67">
        <v>1995</v>
      </c>
      <c r="AP24" s="67">
        <v>1996</v>
      </c>
      <c r="AQ24" s="67">
        <v>1997</v>
      </c>
      <c r="AR24" s="67">
        <v>1998</v>
      </c>
      <c r="AS24" s="67">
        <v>1999</v>
      </c>
      <c r="AT24" s="67">
        <v>2000</v>
      </c>
      <c r="AU24" s="67">
        <v>2001</v>
      </c>
      <c r="AV24" s="67">
        <v>2002</v>
      </c>
      <c r="AW24" s="67">
        <v>2003</v>
      </c>
      <c r="AX24" s="68">
        <v>2004</v>
      </c>
      <c r="AY24" s="67">
        <v>2005</v>
      </c>
      <c r="AZ24" s="67">
        <v>2006</v>
      </c>
      <c r="BA24" s="67">
        <v>2007</v>
      </c>
      <c r="BB24" s="68">
        <v>2008</v>
      </c>
      <c r="BC24" s="67">
        <v>2009</v>
      </c>
      <c r="BD24" s="67">
        <v>2010</v>
      </c>
      <c r="BE24" s="67">
        <v>2011</v>
      </c>
      <c r="BF24" s="67">
        <v>2012</v>
      </c>
      <c r="BG24" s="67">
        <v>2013</v>
      </c>
      <c r="BH24" s="67">
        <v>2014</v>
      </c>
      <c r="BI24" s="67">
        <v>2015</v>
      </c>
      <c r="BJ24" s="67">
        <v>2016</v>
      </c>
      <c r="BK24" s="67">
        <v>2017</v>
      </c>
      <c r="BL24" s="67">
        <v>2018</v>
      </c>
      <c r="BM24" s="67">
        <v>2019</v>
      </c>
      <c r="BN24" s="67">
        <v>2020</v>
      </c>
      <c r="BO24" s="67">
        <v>2021</v>
      </c>
      <c r="BP24" s="67">
        <v>2022</v>
      </c>
      <c r="BQ24" s="67">
        <v>2023</v>
      </c>
      <c r="BR24" s="67">
        <v>2024</v>
      </c>
      <c r="BS24" s="67">
        <v>2025</v>
      </c>
      <c r="BT24" s="67">
        <v>2026</v>
      </c>
      <c r="BU24" s="67">
        <v>2027</v>
      </c>
      <c r="BV24" s="67">
        <v>2028</v>
      </c>
      <c r="BW24" s="67">
        <v>2029</v>
      </c>
      <c r="BX24" s="67">
        <v>2030</v>
      </c>
    </row>
    <row r="25" spans="1:76" s="67" customFormat="1">
      <c r="A25" s="71" t="s">
        <v>233</v>
      </c>
      <c r="B25" s="70">
        <f t="shared" ref="B25:AG25" si="0">SUM(B17,B21)</f>
        <v>109</v>
      </c>
      <c r="C25" s="70">
        <f t="shared" si="0"/>
        <v>120</v>
      </c>
      <c r="D25" s="70">
        <f t="shared" si="0"/>
        <v>134</v>
      </c>
      <c r="E25" s="70">
        <f t="shared" si="0"/>
        <v>102</v>
      </c>
      <c r="F25" s="70">
        <f t="shared" si="0"/>
        <v>94</v>
      </c>
      <c r="G25" s="70">
        <f t="shared" si="0"/>
        <v>120</v>
      </c>
      <c r="H25" s="70">
        <f t="shared" si="0"/>
        <v>90</v>
      </c>
      <c r="I25" s="70">
        <f t="shared" si="0"/>
        <v>162</v>
      </c>
      <c r="J25" s="70">
        <f t="shared" si="0"/>
        <v>155</v>
      </c>
      <c r="K25" s="70">
        <f t="shared" si="0"/>
        <v>242</v>
      </c>
      <c r="L25" s="70">
        <f t="shared" si="0"/>
        <v>216</v>
      </c>
      <c r="M25" s="70">
        <f t="shared" si="0"/>
        <v>324</v>
      </c>
      <c r="N25" s="70">
        <f t="shared" si="0"/>
        <v>443</v>
      </c>
      <c r="O25" s="70">
        <f t="shared" si="0"/>
        <v>559</v>
      </c>
      <c r="P25" s="70">
        <f t="shared" si="0"/>
        <v>366</v>
      </c>
      <c r="Q25" s="70">
        <f t="shared" si="0"/>
        <v>446</v>
      </c>
      <c r="R25" s="70">
        <f t="shared" si="0"/>
        <v>495</v>
      </c>
      <c r="S25" s="70">
        <f t="shared" si="0"/>
        <v>920</v>
      </c>
      <c r="T25" s="70">
        <f t="shared" si="0"/>
        <v>973</v>
      </c>
      <c r="U25" s="70">
        <f t="shared" si="0"/>
        <v>1408</v>
      </c>
      <c r="V25" s="70">
        <f t="shared" si="0"/>
        <v>1907</v>
      </c>
      <c r="W25" s="70">
        <f t="shared" si="0"/>
        <v>2544</v>
      </c>
      <c r="X25" s="70">
        <f t="shared" si="0"/>
        <v>2308</v>
      </c>
      <c r="Y25" s="70">
        <f t="shared" si="0"/>
        <v>2849</v>
      </c>
      <c r="Z25" s="70">
        <f t="shared" si="0"/>
        <v>3341</v>
      </c>
      <c r="AA25" s="70">
        <f t="shared" si="0"/>
        <v>3182</v>
      </c>
      <c r="AB25" s="70">
        <f t="shared" si="0"/>
        <v>3729</v>
      </c>
      <c r="AC25" s="70">
        <f t="shared" si="0"/>
        <v>4105</v>
      </c>
      <c r="AD25" s="70">
        <f t="shared" si="0"/>
        <v>4296</v>
      </c>
      <c r="AE25" s="70">
        <f t="shared" si="0"/>
        <v>4166</v>
      </c>
      <c r="AF25" s="70">
        <f t="shared" si="0"/>
        <v>4040</v>
      </c>
      <c r="AG25" s="70">
        <f t="shared" si="0"/>
        <v>4243</v>
      </c>
      <c r="AH25" s="70">
        <f t="shared" ref="AH25:AX25" si="1">SUM(AH17,AH21)</f>
        <v>4106</v>
      </c>
      <c r="AI25" s="70">
        <f t="shared" si="1"/>
        <v>4677</v>
      </c>
      <c r="AJ25" s="70">
        <f t="shared" si="1"/>
        <v>5443</v>
      </c>
      <c r="AK25" s="70">
        <f t="shared" si="1"/>
        <v>5914</v>
      </c>
      <c r="AL25" s="70">
        <f t="shared" si="1"/>
        <v>6047</v>
      </c>
      <c r="AM25" s="70">
        <f t="shared" si="1"/>
        <v>5937</v>
      </c>
      <c r="AN25" s="70">
        <f t="shared" si="1"/>
        <v>7389</v>
      </c>
      <c r="AO25" s="70">
        <f t="shared" si="1"/>
        <v>7977.6582500000004</v>
      </c>
      <c r="AP25" s="70">
        <f t="shared" si="1"/>
        <v>8060.7754999999997</v>
      </c>
      <c r="AQ25" s="70">
        <f t="shared" si="1"/>
        <v>8235.0774999999994</v>
      </c>
      <c r="AR25" s="70">
        <f t="shared" si="1"/>
        <v>8297.3407499999994</v>
      </c>
      <c r="AS25" s="70">
        <f t="shared" si="1"/>
        <v>8398.0802499999991</v>
      </c>
      <c r="AT25" s="70">
        <f t="shared" si="1"/>
        <v>10052.36175</v>
      </c>
      <c r="AU25" s="70">
        <f t="shared" si="1"/>
        <v>9883.1537500000013</v>
      </c>
      <c r="AV25" s="70">
        <f t="shared" si="1"/>
        <v>13292.851999999999</v>
      </c>
      <c r="AW25" s="70">
        <f t="shared" si="1"/>
        <v>15655.89575</v>
      </c>
      <c r="AX25" s="69">
        <f t="shared" si="1"/>
        <v>16863.25</v>
      </c>
      <c r="BB25" s="68"/>
    </row>
    <row r="26" spans="1:76">
      <c r="A26" s="71" t="s">
        <v>250</v>
      </c>
      <c r="B26" s="60"/>
      <c r="C26" s="60"/>
      <c r="D26" s="60"/>
      <c r="E26" s="60"/>
      <c r="F26" s="60">
        <f>F25</f>
        <v>94</v>
      </c>
      <c r="G26" s="60">
        <f t="shared" ref="G26:Z26" si="2">F26*(1+$F$27)</f>
        <v>112.8</v>
      </c>
      <c r="H26" s="60">
        <f t="shared" si="2"/>
        <v>135.35999999999999</v>
      </c>
      <c r="I26" s="60">
        <f t="shared" si="2"/>
        <v>162.43199999999999</v>
      </c>
      <c r="J26" s="60">
        <f t="shared" si="2"/>
        <v>194.91839999999999</v>
      </c>
      <c r="K26" s="60">
        <f t="shared" si="2"/>
        <v>233.90207999999998</v>
      </c>
      <c r="L26" s="60">
        <f t="shared" si="2"/>
        <v>280.68249599999996</v>
      </c>
      <c r="M26" s="60">
        <f t="shared" si="2"/>
        <v>336.81899519999996</v>
      </c>
      <c r="N26" s="60">
        <f t="shared" si="2"/>
        <v>404.18279423999996</v>
      </c>
      <c r="O26" s="60">
        <f t="shared" si="2"/>
        <v>485.01935308799995</v>
      </c>
      <c r="P26" s="60">
        <f t="shared" si="2"/>
        <v>582.02322370559989</v>
      </c>
      <c r="Q26" s="60">
        <f t="shared" si="2"/>
        <v>698.4278684467198</v>
      </c>
      <c r="R26" s="60">
        <f t="shared" si="2"/>
        <v>838.11344213606378</v>
      </c>
      <c r="S26" s="60">
        <f t="shared" si="2"/>
        <v>1005.7361305632764</v>
      </c>
      <c r="T26" s="60">
        <f t="shared" si="2"/>
        <v>1206.8833566759317</v>
      </c>
      <c r="U26" s="60">
        <f t="shared" si="2"/>
        <v>1448.260028011118</v>
      </c>
      <c r="V26" s="60">
        <f t="shared" si="2"/>
        <v>1737.9120336133417</v>
      </c>
      <c r="W26" s="60">
        <f t="shared" si="2"/>
        <v>2085.49444033601</v>
      </c>
      <c r="X26" s="60">
        <f t="shared" si="2"/>
        <v>2502.5933284032121</v>
      </c>
      <c r="Y26" s="60">
        <f t="shared" si="2"/>
        <v>3003.1119940838544</v>
      </c>
      <c r="Z26" s="60">
        <f t="shared" si="2"/>
        <v>3603.7343929006252</v>
      </c>
      <c r="AA26" s="60">
        <f>AA25</f>
        <v>3182</v>
      </c>
      <c r="AB26" s="60">
        <f t="shared" ref="AB26:BG26" si="3">AA26*(1+$AA$27)</f>
        <v>3392.9666000000002</v>
      </c>
      <c r="AC26" s="60">
        <f t="shared" si="3"/>
        <v>3617.9202855800004</v>
      </c>
      <c r="AD26" s="60">
        <f t="shared" si="3"/>
        <v>3857.7884005139545</v>
      </c>
      <c r="AE26" s="60">
        <f t="shared" si="3"/>
        <v>4113.5597714680298</v>
      </c>
      <c r="AF26" s="60">
        <f t="shared" si="3"/>
        <v>4386.2887843163599</v>
      </c>
      <c r="AG26" s="60">
        <f t="shared" si="3"/>
        <v>4677.0997307165344</v>
      </c>
      <c r="AH26" s="60">
        <f t="shared" si="3"/>
        <v>4987.1914428630407</v>
      </c>
      <c r="AI26" s="60">
        <f t="shared" si="3"/>
        <v>5317.8422355248604</v>
      </c>
      <c r="AJ26" s="60">
        <f t="shared" si="3"/>
        <v>5670.4151757401587</v>
      </c>
      <c r="AK26" s="60">
        <f t="shared" si="3"/>
        <v>6046.3637018917316</v>
      </c>
      <c r="AL26" s="60">
        <f t="shared" si="3"/>
        <v>6447.2376153271534</v>
      </c>
      <c r="AM26" s="60">
        <f t="shared" si="3"/>
        <v>6874.6894692233436</v>
      </c>
      <c r="AN26" s="60">
        <f t="shared" si="3"/>
        <v>7330.4813810328515</v>
      </c>
      <c r="AO26" s="60">
        <f t="shared" si="3"/>
        <v>7816.4922965953301</v>
      </c>
      <c r="AP26" s="60">
        <f t="shared" si="3"/>
        <v>8334.7257358595998</v>
      </c>
      <c r="AQ26" s="60">
        <f t="shared" si="3"/>
        <v>8887.3180521470913</v>
      </c>
      <c r="AR26" s="60">
        <f t="shared" si="3"/>
        <v>9476.5472390044433</v>
      </c>
      <c r="AS26" s="60">
        <f t="shared" si="3"/>
        <v>10104.842320950438</v>
      </c>
      <c r="AT26" s="60">
        <f t="shared" si="3"/>
        <v>10774.793366829452</v>
      </c>
      <c r="AU26" s="60">
        <f t="shared" si="3"/>
        <v>11489.162167050245</v>
      </c>
      <c r="AV26" s="60">
        <f t="shared" si="3"/>
        <v>12250.893618725677</v>
      </c>
      <c r="AW26" s="60">
        <f t="shared" si="3"/>
        <v>13063.12786564719</v>
      </c>
      <c r="AX26" s="59">
        <f t="shared" si="3"/>
        <v>13929.213243139598</v>
      </c>
      <c r="AY26" s="64">
        <f t="shared" si="3"/>
        <v>14852.720081159754</v>
      </c>
      <c r="AZ26" s="64">
        <f t="shared" si="3"/>
        <v>15837.455422540646</v>
      </c>
      <c r="BA26" s="64">
        <f t="shared" si="3"/>
        <v>16887.478717055092</v>
      </c>
      <c r="BB26" s="59">
        <f t="shared" si="3"/>
        <v>18007.118555995843</v>
      </c>
      <c r="BC26" s="64">
        <f t="shared" si="3"/>
        <v>19200.990516258367</v>
      </c>
      <c r="BD26" s="64">
        <f t="shared" si="3"/>
        <v>20474.016187486297</v>
      </c>
      <c r="BE26" s="64">
        <f t="shared" si="3"/>
        <v>21831.44346071664</v>
      </c>
      <c r="BF26" s="64">
        <f t="shared" si="3"/>
        <v>23278.868162162154</v>
      </c>
      <c r="BG26" s="64">
        <f t="shared" si="3"/>
        <v>24822.257121313505</v>
      </c>
      <c r="BH26" s="64">
        <f t="shared" ref="BH26:BX26" si="4">BG26*(1+$AA$27)</f>
        <v>26467.972768456591</v>
      </c>
      <c r="BI26" s="64">
        <f t="shared" si="4"/>
        <v>28222.799363005262</v>
      </c>
      <c r="BJ26" s="64">
        <f t="shared" si="4"/>
        <v>30093.970960772513</v>
      </c>
      <c r="BK26" s="64">
        <f t="shared" si="4"/>
        <v>32089.20123547173</v>
      </c>
      <c r="BL26" s="64">
        <f t="shared" si="4"/>
        <v>34216.715277383504</v>
      </c>
      <c r="BM26" s="64">
        <f t="shared" si="4"/>
        <v>36485.283500274032</v>
      </c>
      <c r="BN26" s="64">
        <f t="shared" si="4"/>
        <v>38904.257796342201</v>
      </c>
      <c r="BO26" s="64">
        <f t="shared" si="4"/>
        <v>41483.610088239693</v>
      </c>
      <c r="BP26" s="64">
        <f t="shared" si="4"/>
        <v>44233.973437089982</v>
      </c>
      <c r="BQ26" s="64">
        <f t="shared" si="4"/>
        <v>47166.685875969051</v>
      </c>
      <c r="BR26" s="64">
        <f t="shared" si="4"/>
        <v>50293.837149545798</v>
      </c>
      <c r="BS26" s="64">
        <f t="shared" si="4"/>
        <v>53628.318552560682</v>
      </c>
      <c r="BT26" s="64">
        <f t="shared" si="4"/>
        <v>57183.876072595456</v>
      </c>
      <c r="BU26" s="64">
        <f t="shared" si="4"/>
        <v>60975.167056208535</v>
      </c>
      <c r="BV26" s="64">
        <f t="shared" si="4"/>
        <v>65017.82063203516</v>
      </c>
      <c r="BW26" s="64">
        <f t="shared" si="4"/>
        <v>69328.502139939097</v>
      </c>
      <c r="BX26" s="64">
        <f t="shared" si="4"/>
        <v>73924.981831817058</v>
      </c>
    </row>
    <row r="27" spans="1:76">
      <c r="A27" s="71" t="s">
        <v>258</v>
      </c>
      <c r="B27" s="60"/>
      <c r="C27" s="60"/>
      <c r="D27" s="60"/>
      <c r="E27" s="60"/>
      <c r="F27" s="66">
        <v>0.2</v>
      </c>
      <c r="G27" s="61" t="s">
        <v>248</v>
      </c>
      <c r="H27" s="60"/>
      <c r="I27" s="60"/>
      <c r="J27" s="60"/>
      <c r="K27" s="60"/>
      <c r="L27" s="60"/>
      <c r="M27" s="60"/>
      <c r="N27" s="60"/>
      <c r="O27" s="60"/>
      <c r="P27" s="60"/>
      <c r="Q27" s="60"/>
      <c r="R27" s="60"/>
      <c r="S27" s="60"/>
      <c r="T27" s="60"/>
      <c r="U27" s="60"/>
      <c r="V27" s="60"/>
      <c r="W27" s="60"/>
      <c r="X27" s="60"/>
      <c r="Y27" s="60"/>
      <c r="Z27" s="60"/>
      <c r="AA27" s="65">
        <v>6.6299999999999998E-2</v>
      </c>
      <c r="AB27" s="60"/>
      <c r="AC27" s="60"/>
      <c r="AD27" s="60"/>
      <c r="AE27" s="60"/>
      <c r="AF27" s="60"/>
      <c r="AG27" s="60"/>
      <c r="AH27" s="60"/>
      <c r="AI27" s="60"/>
      <c r="AJ27" s="60"/>
      <c r="AK27" s="60"/>
      <c r="AL27" s="60"/>
      <c r="AM27" s="60"/>
      <c r="AN27" s="60"/>
      <c r="AO27" s="60"/>
      <c r="AP27" s="60"/>
      <c r="AQ27" s="60"/>
      <c r="AR27" s="60"/>
      <c r="AS27" s="60"/>
      <c r="AT27" s="60"/>
      <c r="AU27" s="60"/>
      <c r="AV27" s="60"/>
      <c r="AW27" s="60"/>
      <c r="AX27" s="59"/>
      <c r="AY27" s="53" t="s">
        <v>0</v>
      </c>
      <c r="BB27" s="54"/>
      <c r="BC27" s="64">
        <f>BC26</f>
        <v>19200.990516258367</v>
      </c>
      <c r="BD27" s="64" t="e">
        <f>BC27*(1+Inputs!#REF!)</f>
        <v>#REF!</v>
      </c>
      <c r="BE27" s="64" t="e">
        <f>BD27*(1+Inputs!#REF!)</f>
        <v>#REF!</v>
      </c>
      <c r="BF27" s="64" t="e">
        <f>BE27*(1+Inputs!#REF!)</f>
        <v>#REF!</v>
      </c>
      <c r="BG27" s="64" t="e">
        <f>BF27*(1+Inputs!#REF!)</f>
        <v>#REF!</v>
      </c>
      <c r="BH27" s="64" t="e">
        <f>BG27*(1+Inputs!#REF!)</f>
        <v>#REF!</v>
      </c>
      <c r="BI27" s="64" t="e">
        <f>BH27*(1+Inputs!#REF!)</f>
        <v>#REF!</v>
      </c>
      <c r="BJ27" s="64" t="e">
        <f>BI27*(1+Inputs!#REF!)</f>
        <v>#REF!</v>
      </c>
      <c r="BK27" s="64" t="e">
        <f>BJ27*(1+Inputs!#REF!)</f>
        <v>#REF!</v>
      </c>
      <c r="BL27" s="64" t="e">
        <f>BK27*(1+Inputs!#REF!)</f>
        <v>#REF!</v>
      </c>
      <c r="BM27" s="64" t="e">
        <f>BL27*(1+Inputs!#REF!)</f>
        <v>#REF!</v>
      </c>
      <c r="BN27" s="64" t="e">
        <f>BM27*(1+Inputs!#REF!)</f>
        <v>#REF!</v>
      </c>
      <c r="BO27" s="64" t="e">
        <f>BN27*(1+Inputs!#REF!)</f>
        <v>#REF!</v>
      </c>
      <c r="BP27" s="64" t="e">
        <f>BO27*(1+Inputs!#REF!)</f>
        <v>#REF!</v>
      </c>
      <c r="BQ27" s="64" t="e">
        <f>BP27*(1+Inputs!#REF!)</f>
        <v>#REF!</v>
      </c>
      <c r="BR27" s="64" t="e">
        <f>BQ27*(1+Inputs!#REF!)</f>
        <v>#REF!</v>
      </c>
      <c r="BS27" s="64" t="e">
        <f>BR27*(1+Inputs!#REF!)</f>
        <v>#REF!</v>
      </c>
      <c r="BT27" s="64" t="e">
        <f>BS27*(1+Inputs!#REF!)</f>
        <v>#REF!</v>
      </c>
      <c r="BU27" s="64" t="e">
        <f>BT27*(1+Inputs!#REF!)</f>
        <v>#REF!</v>
      </c>
      <c r="BV27" s="64" t="e">
        <f>BU27*(1+Inputs!#REF!)</f>
        <v>#REF!</v>
      </c>
      <c r="BW27" s="64" t="e">
        <f>BV27*(1+Inputs!#REF!)</f>
        <v>#REF!</v>
      </c>
      <c r="BX27" s="64" t="e">
        <f>BW27*(1+Inputs!#REF!)</f>
        <v>#REF!</v>
      </c>
    </row>
    <row r="28" spans="1:76">
      <c r="B28" s="60"/>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59"/>
      <c r="BB28" s="54"/>
      <c r="BD28" s="63"/>
      <c r="BE28" s="63"/>
      <c r="BF28" s="63"/>
      <c r="BG28" s="63"/>
      <c r="BH28" s="63"/>
      <c r="BI28" s="63"/>
      <c r="BJ28" s="63"/>
      <c r="BK28" s="63"/>
      <c r="BL28" s="63"/>
      <c r="BM28" s="63"/>
      <c r="BN28" s="63"/>
      <c r="BO28" s="63"/>
      <c r="BP28" s="63"/>
      <c r="BQ28" s="63"/>
      <c r="BR28" s="63"/>
      <c r="BS28" s="63"/>
      <c r="BT28" s="63"/>
      <c r="BU28" s="63"/>
      <c r="BV28" s="63"/>
      <c r="BW28" s="63"/>
      <c r="BX28" s="63"/>
    </row>
    <row r="29" spans="1:76">
      <c r="B29" s="60"/>
      <c r="C29" s="60"/>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59"/>
      <c r="BB29" s="54"/>
      <c r="BD29" s="63"/>
      <c r="BE29" s="63"/>
      <c r="BF29" s="63"/>
      <c r="BG29" s="63"/>
      <c r="BH29" s="63"/>
      <c r="BI29" s="63"/>
      <c r="BJ29" s="63"/>
      <c r="BK29" s="63"/>
      <c r="BL29" s="63"/>
      <c r="BM29" s="63"/>
      <c r="BN29" s="63"/>
      <c r="BO29" s="63"/>
      <c r="BP29" s="63"/>
      <c r="BQ29" s="63"/>
      <c r="BR29" s="63"/>
      <c r="BS29" s="63"/>
      <c r="BT29" s="63"/>
      <c r="BU29" s="63"/>
      <c r="BV29" s="63"/>
      <c r="BW29" s="63"/>
      <c r="BX29" s="63"/>
    </row>
    <row r="30" spans="1:76">
      <c r="A30" s="55" t="s">
        <v>291</v>
      </c>
      <c r="B30" s="60"/>
      <c r="C30" s="60"/>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59"/>
      <c r="BB30" s="54"/>
      <c r="BC30" s="62" t="e">
        <f>BC26*Inputs!$C$59</f>
        <v>#REF!</v>
      </c>
      <c r="BD30" s="62" t="e">
        <f>BD26*Inputs!$C$59</f>
        <v>#REF!</v>
      </c>
      <c r="BE30" s="62" t="e">
        <f>BE26*Inputs!$C$59</f>
        <v>#REF!</v>
      </c>
      <c r="BF30" s="62" t="e">
        <f>BF26*Inputs!$C$59</f>
        <v>#REF!</v>
      </c>
      <c r="BG30" s="62" t="e">
        <f>BG26*Inputs!$C$59</f>
        <v>#REF!</v>
      </c>
      <c r="BH30" s="62" t="e">
        <f>BH26*Inputs!$C$59</f>
        <v>#REF!</v>
      </c>
      <c r="BI30" s="62" t="e">
        <f>BI26*Inputs!$C$59</f>
        <v>#REF!</v>
      </c>
      <c r="BJ30" s="62" t="e">
        <f>BJ26*Inputs!$C$59</f>
        <v>#REF!</v>
      </c>
      <c r="BK30" s="62" t="e">
        <f>BK26*Inputs!$C$59</f>
        <v>#REF!</v>
      </c>
      <c r="BL30" s="62" t="e">
        <f>BL26*Inputs!$C$59</f>
        <v>#REF!</v>
      </c>
      <c r="BM30" s="62" t="e">
        <f>BM26*Inputs!$C$59</f>
        <v>#REF!</v>
      </c>
      <c r="BN30" s="62" t="e">
        <f>BN26*Inputs!$C$59</f>
        <v>#REF!</v>
      </c>
      <c r="BO30" s="62" t="e">
        <f>BO26*Inputs!$C$59</f>
        <v>#REF!</v>
      </c>
      <c r="BP30" s="62" t="e">
        <f>BP26*Inputs!$C$59</f>
        <v>#REF!</v>
      </c>
      <c r="BQ30" s="62" t="e">
        <f>BQ26*Inputs!$C$59</f>
        <v>#REF!</v>
      </c>
      <c r="BR30" s="62" t="e">
        <f>BR26*Inputs!$C$59</f>
        <v>#REF!</v>
      </c>
      <c r="BS30" s="62" t="e">
        <f>BS26*Inputs!$C$59</f>
        <v>#REF!</v>
      </c>
      <c r="BT30" s="62" t="e">
        <f>BT26*Inputs!$C$59</f>
        <v>#REF!</v>
      </c>
      <c r="BU30" s="62" t="e">
        <f>BU26*Inputs!$C$59</f>
        <v>#REF!</v>
      </c>
      <c r="BV30" s="62" t="e">
        <f>BV26*Inputs!$C$59</f>
        <v>#REF!</v>
      </c>
      <c r="BW30" s="62" t="e">
        <f>BW26*Inputs!$C$59</f>
        <v>#REF!</v>
      </c>
      <c r="BX30" s="62" t="e">
        <f>BX26*Inputs!$C$59</f>
        <v>#REF!</v>
      </c>
    </row>
    <row r="31" spans="1:76">
      <c r="A31" s="55" t="s">
        <v>292</v>
      </c>
      <c r="B31" s="60"/>
      <c r="C31" s="60"/>
      <c r="D31" s="60"/>
      <c r="E31" s="60"/>
      <c r="F31" s="60"/>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59"/>
      <c r="BB31" s="54"/>
      <c r="BC31" s="62" t="e">
        <f>BC30*Inputs!$H$59</f>
        <v>#REF!</v>
      </c>
      <c r="BD31" s="62" t="e">
        <f>BD30*Inputs!$H$59</f>
        <v>#REF!</v>
      </c>
      <c r="BE31" s="62" t="e">
        <f>BE30*Inputs!$H$59</f>
        <v>#REF!</v>
      </c>
      <c r="BF31" s="62" t="e">
        <f>BF30*Inputs!$H$59</f>
        <v>#REF!</v>
      </c>
      <c r="BG31" s="62" t="e">
        <f>BG30*Inputs!$H$59</f>
        <v>#REF!</v>
      </c>
      <c r="BH31" s="62" t="e">
        <f>BH30*Inputs!$H$59</f>
        <v>#REF!</v>
      </c>
      <c r="BI31" s="62" t="e">
        <f>BI30*Inputs!$H$59</f>
        <v>#REF!</v>
      </c>
      <c r="BJ31" s="62" t="e">
        <f>BJ30*Inputs!$H$59</f>
        <v>#REF!</v>
      </c>
      <c r="BK31" s="62" t="e">
        <f>BK30*Inputs!$H$59</f>
        <v>#REF!</v>
      </c>
      <c r="BL31" s="62" t="e">
        <f>BL30*Inputs!$H$59</f>
        <v>#REF!</v>
      </c>
      <c r="BM31" s="62" t="e">
        <f>BM30*Inputs!$H$59</f>
        <v>#REF!</v>
      </c>
      <c r="BN31" s="62" t="e">
        <f>BN30*Inputs!$H$59</f>
        <v>#REF!</v>
      </c>
      <c r="BO31" s="62" t="e">
        <f>BO30*Inputs!$H$59</f>
        <v>#REF!</v>
      </c>
      <c r="BP31" s="62" t="e">
        <f>BP30*Inputs!$H$59</f>
        <v>#REF!</v>
      </c>
      <c r="BQ31" s="62" t="e">
        <f>BQ30*Inputs!$H$59</f>
        <v>#REF!</v>
      </c>
      <c r="BR31" s="62" t="e">
        <f>BR30*Inputs!$H$59</f>
        <v>#REF!</v>
      </c>
      <c r="BS31" s="62" t="e">
        <f>BS30*Inputs!$H$59</f>
        <v>#REF!</v>
      </c>
      <c r="BT31" s="62" t="e">
        <f>BT30*Inputs!$H$59</f>
        <v>#REF!</v>
      </c>
      <c r="BU31" s="62" t="e">
        <f>BU30*Inputs!$H$59</f>
        <v>#REF!</v>
      </c>
      <c r="BV31" s="62" t="e">
        <f>BV30*Inputs!$H$59</f>
        <v>#REF!</v>
      </c>
      <c r="BW31" s="62" t="e">
        <f>BW30*Inputs!$H$59</f>
        <v>#REF!</v>
      </c>
      <c r="BX31" s="62" t="e">
        <f>BX30*Inputs!$H$59</f>
        <v>#REF!</v>
      </c>
    </row>
    <row r="32" spans="1:76">
      <c r="A32" s="55" t="s">
        <v>283</v>
      </c>
      <c r="B32" s="60"/>
      <c r="C32" s="60"/>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59"/>
      <c r="BB32" s="54"/>
      <c r="BC32" s="62" t="e">
        <f>BC27*Inputs!$C$59</f>
        <v>#REF!</v>
      </c>
      <c r="BD32" s="62" t="e">
        <f>BD27*Inputs!$C$59</f>
        <v>#REF!</v>
      </c>
      <c r="BE32" s="62" t="e">
        <f>BE27*Inputs!$C$59</f>
        <v>#REF!</v>
      </c>
      <c r="BF32" s="62" t="e">
        <f>BF27*Inputs!$C$59</f>
        <v>#REF!</v>
      </c>
      <c r="BG32" s="62" t="e">
        <f>BG27*Inputs!$C$59</f>
        <v>#REF!</v>
      </c>
      <c r="BH32" s="62" t="e">
        <f>BH27*Inputs!$C$59</f>
        <v>#REF!</v>
      </c>
      <c r="BI32" s="62" t="e">
        <f>BI27*Inputs!$C$59</f>
        <v>#REF!</v>
      </c>
      <c r="BJ32" s="62" t="e">
        <f>BJ27*Inputs!$C$59</f>
        <v>#REF!</v>
      </c>
      <c r="BK32" s="62" t="e">
        <f>BK27*Inputs!$C$59</f>
        <v>#REF!</v>
      </c>
      <c r="BL32" s="62" t="e">
        <f>BL27*Inputs!$C$59</f>
        <v>#REF!</v>
      </c>
      <c r="BM32" s="62" t="e">
        <f>BM27*Inputs!$C$59</f>
        <v>#REF!</v>
      </c>
      <c r="BN32" s="62" t="e">
        <f>BN27*Inputs!$C$59</f>
        <v>#REF!</v>
      </c>
      <c r="BO32" s="62" t="e">
        <f>BO27*Inputs!$C$59</f>
        <v>#REF!</v>
      </c>
      <c r="BP32" s="62" t="e">
        <f>BP27*Inputs!$C$59</f>
        <v>#REF!</v>
      </c>
      <c r="BQ32" s="62" t="e">
        <f>BQ27*Inputs!$C$59</f>
        <v>#REF!</v>
      </c>
      <c r="BR32" s="62" t="e">
        <f>BR27*Inputs!$C$59</f>
        <v>#REF!</v>
      </c>
      <c r="BS32" s="62" t="e">
        <f>BS27*Inputs!$C$59</f>
        <v>#REF!</v>
      </c>
      <c r="BT32" s="62" t="e">
        <f>BT27*Inputs!$C$59</f>
        <v>#REF!</v>
      </c>
      <c r="BU32" s="62" t="e">
        <f>BU27*Inputs!$C$59</f>
        <v>#REF!</v>
      </c>
      <c r="BV32" s="62" t="e">
        <f>BV27*Inputs!$C$59</f>
        <v>#REF!</v>
      </c>
      <c r="BW32" s="62" t="e">
        <f>BW27*Inputs!$C$59</f>
        <v>#REF!</v>
      </c>
      <c r="BX32" s="62" t="e">
        <f>BX27*Inputs!$C$59</f>
        <v>#REF!</v>
      </c>
    </row>
    <row r="33" spans="1:76">
      <c r="A33" s="55" t="s">
        <v>284</v>
      </c>
      <c r="B33" s="60"/>
      <c r="C33" s="60"/>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60"/>
      <c r="AL33" s="60"/>
      <c r="AM33" s="60"/>
      <c r="AN33" s="60"/>
      <c r="AO33" s="60"/>
      <c r="AP33" s="60"/>
      <c r="AQ33" s="60"/>
      <c r="AR33" s="60"/>
      <c r="AS33" s="60"/>
      <c r="AT33" s="60"/>
      <c r="AU33" s="60"/>
      <c r="AV33" s="60"/>
      <c r="AW33" s="60"/>
      <c r="AX33" s="59"/>
      <c r="BB33" s="54"/>
      <c r="BC33" s="62" t="e">
        <f>BC32*Inputs!$H$59</f>
        <v>#REF!</v>
      </c>
      <c r="BD33" s="62" t="e">
        <f>BD32*Inputs!$H$59</f>
        <v>#REF!</v>
      </c>
      <c r="BE33" s="62" t="e">
        <f>BE32*Inputs!$H$59</f>
        <v>#REF!</v>
      </c>
      <c r="BF33" s="62" t="e">
        <f>BF32*Inputs!$H$59</f>
        <v>#REF!</v>
      </c>
      <c r="BG33" s="62" t="e">
        <f>BG32*Inputs!$H$59</f>
        <v>#REF!</v>
      </c>
      <c r="BH33" s="62" t="e">
        <f>BH32*Inputs!$H$59</f>
        <v>#REF!</v>
      </c>
      <c r="BI33" s="62" t="e">
        <f>BI32*Inputs!$H$59</f>
        <v>#REF!</v>
      </c>
      <c r="BJ33" s="62" t="e">
        <f>BJ32*Inputs!$H$59</f>
        <v>#REF!</v>
      </c>
      <c r="BK33" s="62" t="e">
        <f>BK32*Inputs!$H$59</f>
        <v>#REF!</v>
      </c>
      <c r="BL33" s="62" t="e">
        <f>BL32*Inputs!$H$59</f>
        <v>#REF!</v>
      </c>
      <c r="BM33" s="62" t="e">
        <f>BM32*Inputs!$H$59</f>
        <v>#REF!</v>
      </c>
      <c r="BN33" s="62" t="e">
        <f>BN32*Inputs!$H$59</f>
        <v>#REF!</v>
      </c>
      <c r="BO33" s="62" t="e">
        <f>BO32*Inputs!$H$59</f>
        <v>#REF!</v>
      </c>
      <c r="BP33" s="62" t="e">
        <f>BP32*Inputs!$H$59</f>
        <v>#REF!</v>
      </c>
      <c r="BQ33" s="62" t="e">
        <f>BQ32*Inputs!$H$59</f>
        <v>#REF!</v>
      </c>
      <c r="BR33" s="62" t="e">
        <f>BR32*Inputs!$H$59</f>
        <v>#REF!</v>
      </c>
      <c r="BS33" s="62" t="e">
        <f>BS32*Inputs!$H$59</f>
        <v>#REF!</v>
      </c>
      <c r="BT33" s="62" t="e">
        <f>BT32*Inputs!$H$59</f>
        <v>#REF!</v>
      </c>
      <c r="BU33" s="62" t="e">
        <f>BU32*Inputs!$H$59</f>
        <v>#REF!</v>
      </c>
      <c r="BV33" s="62" t="e">
        <f>BV32*Inputs!$H$59</f>
        <v>#REF!</v>
      </c>
      <c r="BW33" s="62" t="e">
        <f>BW32*Inputs!$H$59</f>
        <v>#REF!</v>
      </c>
      <c r="BX33" s="62" t="e">
        <f>BX32*Inputs!$H$59</f>
        <v>#REF!</v>
      </c>
    </row>
    <row r="34" spans="1:76">
      <c r="A34" s="55" t="s">
        <v>232</v>
      </c>
      <c r="B34" s="60"/>
      <c r="C34" s="60"/>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59"/>
      <c r="BB34" s="54"/>
      <c r="BC34" s="62" t="e">
        <f>BC32-BC30</f>
        <v>#REF!</v>
      </c>
      <c r="BD34" s="62" t="e">
        <f>SUM(BD32:BD33)-SUM(BD30:BD31)</f>
        <v>#REF!</v>
      </c>
      <c r="BE34" s="62" t="e">
        <f t="shared" ref="BE34:BX34" si="5">SUM(BE32:BE33)-SUM(BE30:BE31)</f>
        <v>#REF!</v>
      </c>
      <c r="BF34" s="62" t="e">
        <f t="shared" si="5"/>
        <v>#REF!</v>
      </c>
      <c r="BG34" s="62" t="e">
        <f t="shared" si="5"/>
        <v>#REF!</v>
      </c>
      <c r="BH34" s="62" t="e">
        <f t="shared" si="5"/>
        <v>#REF!</v>
      </c>
      <c r="BI34" s="62" t="e">
        <f t="shared" si="5"/>
        <v>#REF!</v>
      </c>
      <c r="BJ34" s="62" t="e">
        <f t="shared" si="5"/>
        <v>#REF!</v>
      </c>
      <c r="BK34" s="62" t="e">
        <f t="shared" si="5"/>
        <v>#REF!</v>
      </c>
      <c r="BL34" s="62" t="e">
        <f t="shared" si="5"/>
        <v>#REF!</v>
      </c>
      <c r="BM34" s="62" t="e">
        <f t="shared" si="5"/>
        <v>#REF!</v>
      </c>
      <c r="BN34" s="62" t="e">
        <f t="shared" si="5"/>
        <v>#REF!</v>
      </c>
      <c r="BO34" s="62" t="e">
        <f t="shared" si="5"/>
        <v>#REF!</v>
      </c>
      <c r="BP34" s="62" t="e">
        <f t="shared" si="5"/>
        <v>#REF!</v>
      </c>
      <c r="BQ34" s="62" t="e">
        <f t="shared" si="5"/>
        <v>#REF!</v>
      </c>
      <c r="BR34" s="62" t="e">
        <f t="shared" si="5"/>
        <v>#REF!</v>
      </c>
      <c r="BS34" s="62" t="e">
        <f t="shared" si="5"/>
        <v>#REF!</v>
      </c>
      <c r="BT34" s="62" t="e">
        <f t="shared" si="5"/>
        <v>#REF!</v>
      </c>
      <c r="BU34" s="62" t="e">
        <f t="shared" si="5"/>
        <v>#REF!</v>
      </c>
      <c r="BV34" s="62" t="e">
        <f t="shared" si="5"/>
        <v>#REF!</v>
      </c>
      <c r="BW34" s="62" t="e">
        <f t="shared" si="5"/>
        <v>#REF!</v>
      </c>
      <c r="BX34" s="62" t="e">
        <f t="shared" si="5"/>
        <v>#REF!</v>
      </c>
    </row>
    <row r="35" spans="1:76">
      <c r="B35" s="60"/>
      <c r="C35" s="60"/>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59"/>
    </row>
    <row r="36" spans="1:76">
      <c r="A36" s="55" t="s">
        <v>0</v>
      </c>
      <c r="B36" s="60"/>
      <c r="C36" s="60"/>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59"/>
    </row>
    <row r="37" spans="1:76">
      <c r="A37" s="61" t="s">
        <v>0</v>
      </c>
      <c r="B37" s="60"/>
      <c r="C37" s="60"/>
      <c r="D37" s="60"/>
      <c r="E37" s="60"/>
      <c r="F37" s="60"/>
      <c r="G37" s="60"/>
      <c r="H37" s="60"/>
      <c r="I37" s="60"/>
      <c r="K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59"/>
    </row>
    <row r="38" spans="1:76">
      <c r="B38" s="60"/>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0"/>
      <c r="AS38" s="60"/>
      <c r="AT38" s="60"/>
      <c r="AU38" s="60"/>
      <c r="AV38" s="60"/>
      <c r="AW38" s="60"/>
      <c r="AX38" s="59"/>
    </row>
    <row r="39" spans="1:76">
      <c r="B39" s="61" t="s">
        <v>230</v>
      </c>
      <c r="C39" s="60"/>
      <c r="D39" s="60"/>
      <c r="F39" s="60"/>
      <c r="G39" s="60"/>
      <c r="H39" s="60"/>
      <c r="I39" s="60"/>
      <c r="J39" s="61" t="s">
        <v>231</v>
      </c>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0"/>
      <c r="AO39" s="60"/>
      <c r="AP39" s="60"/>
      <c r="AQ39" s="60"/>
      <c r="AR39" s="60"/>
      <c r="AS39" s="60"/>
      <c r="AT39" s="60"/>
      <c r="AU39" s="60"/>
      <c r="AV39" s="60"/>
      <c r="AW39" s="60"/>
      <c r="AX39" s="59"/>
    </row>
    <row r="40" spans="1:76">
      <c r="B40" s="60"/>
      <c r="C40" s="60"/>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0"/>
      <c r="AI40" s="60"/>
      <c r="AJ40" s="60"/>
      <c r="AK40" s="60"/>
      <c r="AL40" s="60"/>
      <c r="AM40" s="60"/>
      <c r="AN40" s="60"/>
      <c r="AO40" s="60"/>
      <c r="AP40" s="60"/>
      <c r="AQ40" s="60"/>
      <c r="AR40" s="60"/>
      <c r="AS40" s="60"/>
      <c r="AT40" s="60"/>
      <c r="AU40" s="60"/>
      <c r="AV40" s="60"/>
      <c r="AW40" s="60"/>
      <c r="AX40" s="59"/>
    </row>
    <row r="41" spans="1:76">
      <c r="B41" s="60"/>
      <c r="C41" s="60"/>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60"/>
      <c r="AS41" s="60"/>
      <c r="AT41" s="60"/>
      <c r="AU41" s="60"/>
      <c r="AV41" s="60"/>
      <c r="AW41" s="60"/>
      <c r="AX41" s="59"/>
    </row>
    <row r="42" spans="1:76">
      <c r="B42" s="60"/>
      <c r="C42" s="60"/>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0"/>
      <c r="AI42" s="60"/>
      <c r="AJ42" s="60"/>
      <c r="AK42" s="60"/>
      <c r="AL42" s="60"/>
      <c r="AM42" s="60"/>
      <c r="AN42" s="60"/>
      <c r="AO42" s="60"/>
      <c r="AP42" s="60"/>
      <c r="AQ42" s="60"/>
      <c r="AR42" s="60"/>
      <c r="AS42" s="60"/>
      <c r="AT42" s="60"/>
      <c r="AU42" s="60"/>
      <c r="AV42" s="60"/>
      <c r="AW42" s="60"/>
      <c r="AX42" s="59"/>
    </row>
    <row r="43" spans="1:76">
      <c r="B43" s="60"/>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59"/>
    </row>
    <row r="44" spans="1:76">
      <c r="B44" s="60"/>
      <c r="C44" s="60"/>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0"/>
      <c r="AI44" s="60"/>
      <c r="AJ44" s="60"/>
      <c r="AK44" s="60"/>
      <c r="AL44" s="60"/>
      <c r="AM44" s="60"/>
      <c r="AN44" s="60"/>
      <c r="AO44" s="60"/>
      <c r="AP44" s="60"/>
      <c r="AQ44" s="60"/>
      <c r="AR44" s="60"/>
      <c r="AS44" s="60"/>
      <c r="AT44" s="60"/>
      <c r="AU44" s="60"/>
      <c r="AV44" s="60"/>
      <c r="AW44" s="60"/>
      <c r="AX44" s="59"/>
    </row>
    <row r="45" spans="1:76">
      <c r="B45" s="60"/>
      <c r="C45" s="60"/>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0"/>
      <c r="AI45" s="60"/>
      <c r="AJ45" s="60"/>
      <c r="AK45" s="60"/>
      <c r="AL45" s="60"/>
      <c r="AM45" s="60"/>
      <c r="AN45" s="60"/>
      <c r="AO45" s="60"/>
      <c r="AP45" s="60"/>
      <c r="AQ45" s="60"/>
      <c r="AR45" s="60"/>
      <c r="AS45" s="60"/>
      <c r="AT45" s="60"/>
      <c r="AU45" s="60"/>
      <c r="AV45" s="60"/>
      <c r="AW45" s="60"/>
      <c r="AX45" s="59"/>
    </row>
    <row r="46" spans="1:76">
      <c r="B46" s="60"/>
      <c r="C46" s="60"/>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0"/>
      <c r="AI46" s="60"/>
      <c r="AJ46" s="60"/>
      <c r="AK46" s="60"/>
      <c r="AL46" s="60"/>
      <c r="AM46" s="60"/>
      <c r="AN46" s="60"/>
      <c r="AO46" s="60"/>
      <c r="AP46" s="60"/>
      <c r="AQ46" s="60"/>
      <c r="AR46" s="60"/>
      <c r="AS46" s="60"/>
      <c r="AT46" s="60"/>
      <c r="AU46" s="60"/>
      <c r="AV46" s="60"/>
      <c r="AW46" s="60"/>
      <c r="AX46" s="59"/>
    </row>
    <row r="47" spans="1:76">
      <c r="B47" s="60"/>
      <c r="C47" s="60"/>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0"/>
      <c r="AI47" s="60"/>
      <c r="AJ47" s="60"/>
      <c r="AK47" s="60"/>
      <c r="AL47" s="60"/>
      <c r="AM47" s="60"/>
      <c r="AN47" s="60"/>
      <c r="AO47" s="60"/>
      <c r="AP47" s="60"/>
      <c r="AQ47" s="60"/>
      <c r="AR47" s="60"/>
      <c r="AS47" s="60"/>
      <c r="AT47" s="60"/>
      <c r="AU47" s="60"/>
      <c r="AV47" s="60"/>
      <c r="AW47" s="60"/>
      <c r="AX47" s="59"/>
    </row>
    <row r="48" spans="1:76">
      <c r="B48" s="60"/>
      <c r="C48" s="60"/>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0"/>
      <c r="AI48" s="60"/>
      <c r="AJ48" s="60"/>
      <c r="AK48" s="60"/>
      <c r="AL48" s="60"/>
      <c r="AM48" s="60"/>
      <c r="AN48" s="60"/>
      <c r="AO48" s="60"/>
      <c r="AP48" s="60"/>
      <c r="AQ48" s="60"/>
      <c r="AR48" s="60"/>
      <c r="AS48" s="60"/>
      <c r="AT48" s="60"/>
      <c r="AU48" s="60"/>
      <c r="AV48" s="60"/>
      <c r="AW48" s="60"/>
      <c r="AX48" s="59"/>
    </row>
    <row r="49" spans="1:50">
      <c r="A49" s="58"/>
      <c r="B49" s="57"/>
      <c r="C49" s="57"/>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57"/>
      <c r="AL49" s="57"/>
      <c r="AM49" s="57"/>
      <c r="AN49" s="57"/>
      <c r="AO49" s="57"/>
      <c r="AP49" s="57"/>
      <c r="AQ49" s="57"/>
      <c r="AR49" s="57"/>
      <c r="AS49" s="57"/>
      <c r="AT49" s="57"/>
      <c r="AU49" s="57"/>
      <c r="AV49" s="57"/>
      <c r="AW49" s="57"/>
      <c r="AX49" s="56"/>
    </row>
    <row r="51" spans="1:50">
      <c r="A51" s="55" t="s">
        <v>229</v>
      </c>
    </row>
    <row r="52" spans="1:50">
      <c r="A52" s="55" t="s">
        <v>228</v>
      </c>
      <c r="B52" s="55"/>
    </row>
    <row r="53" spans="1:50">
      <c r="A53" s="55" t="s">
        <v>227</v>
      </c>
      <c r="B53" s="55"/>
    </row>
    <row r="54" spans="1:50">
      <c r="A54" s="55" t="s">
        <v>226</v>
      </c>
      <c r="B54" s="55"/>
    </row>
    <row r="55" spans="1:50">
      <c r="A55" s="58"/>
      <c r="B55" s="57"/>
      <c r="C55" s="57"/>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7"/>
      <c r="AI55" s="57"/>
      <c r="AJ55" s="57"/>
      <c r="AK55" s="57"/>
      <c r="AL55" s="57"/>
      <c r="AM55" s="57"/>
      <c r="AN55" s="57"/>
      <c r="AO55" s="57"/>
      <c r="AP55" s="57"/>
      <c r="AQ55" s="57"/>
      <c r="AR55" s="57"/>
      <c r="AS55" s="57"/>
      <c r="AT55" s="57"/>
      <c r="AU55" s="57"/>
      <c r="AV55" s="57"/>
      <c r="AW55" s="57"/>
      <c r="AX55" s="56"/>
    </row>
    <row r="61" spans="1:50">
      <c r="A61" s="53"/>
      <c r="D61" s="53">
        <f>EXP(0.185)</f>
        <v>1.2032184401276953</v>
      </c>
      <c r="AX61" s="53"/>
    </row>
  </sheetData>
  <pageMargins left="0.5" right="0.5" top="0.5" bottom="0.5" header="0.5" footer="0.5"/>
  <pageSetup orientation="landscape"/>
  <headerFooter alignWithMargins="0"/>
  <drawing r:id="rId1"/>
  <legacy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10</vt:i4>
      </vt:variant>
    </vt:vector>
  </HeadingPairs>
  <TitlesOfParts>
    <vt:vector size="10" baseType="lpstr">
      <vt:lpstr>Inputs</vt:lpstr>
      <vt:lpstr>Instructions</vt:lpstr>
      <vt:lpstr>Output -Jobs vs Yr</vt:lpstr>
      <vt:lpstr>Output - Jobs vs Yr (BAU)</vt:lpstr>
      <vt:lpstr>Technologies and jobs per MW</vt:lpstr>
      <vt:lpstr>Refs</vt:lpstr>
      <vt:lpstr>EIA_electricity_aeo2014</vt:lpstr>
      <vt:lpstr>EIA_RE_aeo2014</vt:lpstr>
      <vt:lpstr>backup - Mass Transit</vt:lpstr>
      <vt:lpstr>backup - EIA liq_fuelS_aeo2014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Max</dc:creator>
  <cp:lastModifiedBy>Karim El Alami</cp:lastModifiedBy>
  <dcterms:created xsi:type="dcterms:W3CDTF">2009-01-23T01:26:21Z</dcterms:created>
  <dcterms:modified xsi:type="dcterms:W3CDTF">2015-02-18T22:49:51Z</dcterms:modified>
</cp:coreProperties>
</file>